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erms" sheetId="1" state="visible" r:id="rId1"/>
    <sheet name="ashwath_evaluation " sheetId="2" state="visible" r:id="rId2"/>
    <sheet name="reliance" sheetId="3" state="visible" r:id="rId3"/>
    <sheet name="reliance-6" sheetId="4" state="visible" r:id="rId4"/>
    <sheet name="KHC" sheetId="5" state="visible" r:id="rId5"/>
    <sheet name="hindalco-6" sheetId="6" state="visible" r:id="rId6"/>
    <sheet name="hindalco" sheetId="7" state="visible" r:id="rId7"/>
    <sheet name="birla-group-6" sheetId="8" state="visible" r:id="rId8"/>
    <sheet name="birla-group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<sst xmlns="http://schemas.openxmlformats.org/spreadsheetml/2006/main" count="523" uniqueCount="523">
  <si>
    <t xml:space="preserve">Terms </t>
  </si>
  <si>
    <t xml:space="preserve">Meaning </t>
  </si>
  <si>
    <t xml:space="preserve">Stock in trade</t>
  </si>
  <si>
    <t xml:space="preserve">Stock that is present in my shop, and waiting to be sold </t>
  </si>
  <si>
    <t xml:space="preserve">Purchase of stock in trade</t>
  </si>
  <si>
    <t xml:space="preserve">This is the stock that I bought from a manufacturer and I will sell it later with higher margin , so this is purchase of stock in trade</t>
  </si>
  <si>
    <t>Non-liquid</t>
  </si>
  <si>
    <t xml:space="preserve">OCI </t>
  </si>
  <si>
    <t xml:space="preserve">Unrealized income ,  property revaluate ho gyi , unrealized gains / loss  on stocks , foreign currency translation   </t>
  </si>
  <si>
    <t xml:space="preserve">Stock split</t>
  </si>
  <si>
    <t xml:space="preserve">reduces the share price to the split ratio , increases the no of shares</t>
  </si>
  <si>
    <t xml:space="preserve">Why bull run on stock split always ? </t>
  </si>
  <si>
    <t xml:space="preserve">Diluted EPS</t>
  </si>
  <si>
    <t xml:space="preserve">Worst case scenario assuming everything and everyone will come and everything will get coonverted to share and they will take up increase the denomintor </t>
  </si>
  <si>
    <t xml:space="preserve">FCFE </t>
  </si>
  <si>
    <t xml:space="preserve">Free cash flow to equity</t>
  </si>
  <si>
    <t xml:space="preserve">Total cash profit</t>
  </si>
  <si>
    <t xml:space="preserve">net income + D&amp;A + Goodwill impairment</t>
  </si>
  <si>
    <t xml:space="preserve">Accural accounting</t>
  </si>
  <si>
    <t xml:space="preserve">Record revenue when they are earned and expenses when they are incurred, regardless whether the cash is received or paid .. service dete he record kr lo uss amount ko </t>
  </si>
  <si>
    <t xml:space="preserve">Cash accounting </t>
  </si>
  <si>
    <t xml:space="preserve">This is for cash-flow , this is cash based accounting , here we record what has actually been paid out </t>
  </si>
  <si>
    <t xml:space="preserve">Trade receivables </t>
  </si>
  <si>
    <t xml:space="preserve">The amount that is yet </t>
  </si>
  <si>
    <t xml:space="preserve">Equity shares != outstanding shares</t>
  </si>
  <si>
    <t xml:space="preserve">Financing cash flow</t>
  </si>
  <si>
    <t xml:space="preserve">NCI (non controlling interest)</t>
  </si>
  <si>
    <t xml:space="preserve">These are subsidiaries companies where RIL does not own it </t>
  </si>
  <si>
    <t xml:space="preserve">Equity raised from investors </t>
  </si>
  <si>
    <t xml:space="preserve">Net of dividend</t>
  </si>
  <si>
    <t xml:space="preserve">If the company even paid out the dividends, net of them  </t>
  </si>
  <si>
    <t xml:space="preserve">proceeds from issue of share capital to non-controlling interest ( net of dividend paid ) </t>
  </si>
  <si>
    <t xml:space="preserve">Debt repaid</t>
  </si>
  <si>
    <t xml:space="preserve">comes from cash flow financing statement </t>
  </si>
  <si>
    <t xml:space="preserve">Debt raised</t>
  </si>
  <si>
    <t xml:space="preserve">Comes from cash flow financing statement </t>
  </si>
  <si>
    <t xml:space="preserve">Non Current Borrowing  </t>
  </si>
  <si>
    <t xml:space="preserve">borrowed the money but that is not to be paid in early up </t>
  </si>
  <si>
    <t xml:space="preserve">Repayment of borrowing </t>
  </si>
  <si>
    <t xml:space="preserve">This is the money repaid from borrowing </t>
  </si>
  <si>
    <t xml:space="preserve">Interest paid </t>
  </si>
  <si>
    <t xml:space="preserve">Actual money that is paid for the debt taken .. </t>
  </si>
  <si>
    <t xml:space="preserve">Finance cost </t>
  </si>
  <si>
    <t xml:space="preserve">accural accounting , itna hona chahiye tha </t>
  </si>
  <si>
    <t xml:space="preserve">Exceptional income</t>
  </si>
  <si>
    <t xml:space="preserve">Achanak se mila hua , ek-time income jo regular nhi milta </t>
  </si>
  <si>
    <t xml:space="preserve">Interest Paid &gt; Finance cost</t>
  </si>
  <si>
    <t xml:space="preserve">iska matlab last year ka amount iss year pay kr rha hu, tabhi jyada ho gya</t>
  </si>
  <si>
    <t>Settlement</t>
  </si>
  <si>
    <t xml:space="preserve">This is the money you get once you settle that investments</t>
  </si>
  <si>
    <t xml:space="preserve">proceeds </t>
  </si>
  <si>
    <t xml:space="preserve">money that you get when you sell something</t>
  </si>
  <si>
    <t xml:space="preserve">Borrowing - current </t>
  </si>
  <si>
    <t xml:space="preserve">liya - paid  &gt; 0 : zyada liya  ::  &lt; 0 matlab km liya </t>
  </si>
  <si>
    <t xml:space="preserve">Capital expenditure </t>
  </si>
  <si>
    <t>Capex</t>
  </si>
  <si>
    <t xml:space="preserve">Money a company spends to acquire , upgrade and maintaining long term assets </t>
  </si>
  <si>
    <t xml:space="preserve">Expenditure on property , plant and equipment and intangible assets</t>
  </si>
  <si>
    <t xml:space="preserve">Change in non-cash working capital </t>
  </si>
  <si>
    <t xml:space="preserve">within a year lets say, meri inventory badh gyi , receivable badh gye , payables badh gye .. toh inn sb ka net effect hoga change in non-cash WC</t>
  </si>
  <si>
    <t xml:space="preserve">net of Current assets and current liabilities from BS </t>
  </si>
  <si>
    <t xml:space="preserve">capital work in progress </t>
  </si>
  <si>
    <t xml:space="preserve">long term projects that are in development / progress</t>
  </si>
  <si>
    <t xml:space="preserve">Other equity</t>
  </si>
  <si>
    <t xml:space="preserve">Retained earnings  + general reserve (emergency fund) + securities premium (shares issued above face value ) + revaluation reserve + OCI </t>
  </si>
  <si>
    <t xml:space="preserve">Global Depository Receipts</t>
  </si>
  <si>
    <t xml:space="preserve">The way by which things gets traded in the foreign market ... the broken of country-1 contacts broker in country-2 and tries to get a GDR for the shares you bought .... </t>
  </si>
  <si>
    <t xml:space="preserve">Balance sheet</t>
  </si>
  <si>
    <t xml:space="preserve">Uss din jitni bhi cheeze h jinse future m fyada hoga woh sari likh do </t>
  </si>
  <si>
    <t>assets</t>
  </si>
  <si>
    <t xml:space="preserve">Udhar dena h + rent dena h + lease liability + jitna paisa dena h </t>
  </si>
  <si>
    <t>liabliities</t>
  </si>
  <si>
    <t xml:space="preserve">Share holder se paise uthaya </t>
  </si>
  <si>
    <t>equity</t>
  </si>
  <si>
    <t xml:space="preserve">Current asset - current liabilities</t>
  </si>
  <si>
    <t xml:space="preserve">Working capital </t>
  </si>
  <si>
    <t xml:space="preserve">company ko apne day to day operations chalana k liye joh paisa chahiye, in short apna kharacha nikalene k liye joh paisa chahiye usse working capital bolte h </t>
  </si>
  <si>
    <t xml:space="preserve">Working capital changes</t>
  </si>
  <si>
    <t xml:space="preserve">current assets - current liabilities</t>
  </si>
  <si>
    <t xml:space="preserve">Loss on Sale / Discard of Property, Plant and Equipment and Other Intangible Assets (Net) </t>
  </si>
  <si>
    <t xml:space="preserve">No cash is lost here , instead we only got some money back from that activity</t>
  </si>
  <si>
    <t xml:space="preserve">Cash flow from operating activities </t>
  </si>
  <si>
    <t xml:space="preserve">activities jisme paisa actual mai flow hua h + johd daily operational activities hai  </t>
  </si>
  <si>
    <t xml:space="preserve">free cash flow to equity</t>
  </si>
  <si>
    <t xml:space="preserve">Equity holders ko kitna cash milega .. after everything has been netted out / kitna milta</t>
  </si>
  <si>
    <t xml:space="preserve">Free cash flow to firm </t>
  </si>
  <si>
    <t xml:space="preserve">After tax operating income * ( 1 - reinvestment rate ) </t>
  </si>
  <si>
    <t xml:space="preserve">This tells how much cash the business as a whole is generating  </t>
  </si>
  <si>
    <t>Divesting</t>
  </si>
  <si>
    <t xml:space="preserve">Selling off or disposing of an asset , business , unit or subsidiary</t>
  </si>
  <si>
    <t xml:space="preserve">Reinvestment </t>
  </si>
  <si>
    <t xml:space="preserve">Capex  + change in working capital </t>
  </si>
  <si>
    <t xml:space="preserve">Net income gets related to equity investors</t>
  </si>
  <si>
    <t xml:space="preserve">OI gets related to whole / all investments</t>
  </si>
  <si>
    <t xml:space="preserve">Retention ratio</t>
  </si>
  <si>
    <t xml:space="preserve">Net income - dividends / net income</t>
  </si>
  <si>
    <t>ROE</t>
  </si>
  <si>
    <t xml:space="preserve">Net income / capital from equity investors</t>
  </si>
  <si>
    <t xml:space="preserve">Goodwill </t>
  </si>
  <si>
    <t xml:space="preserve">strong brand name , strong customer base , great reputation , smart employees</t>
  </si>
  <si>
    <t xml:space="preserve">Goodwill Impairment</t>
  </si>
  <si>
    <t xml:space="preserve">lets suppose u want to increase ur goodwill so u will basically run AD campaign , hire mcnsey  </t>
  </si>
  <si>
    <t xml:space="preserve">Goodwill and intangible asset impairment losses</t>
  </si>
  <si>
    <t xml:space="preserve">Cash Flow </t>
  </si>
  <si>
    <t xml:space="preserve">debt prepayment</t>
  </si>
  <si>
    <t xml:space="preserve">debt paid before the actual date</t>
  </si>
  <si>
    <t xml:space="preserve">commercial paper</t>
  </si>
  <si>
    <t xml:space="preserve">short term , unsecured debt instrument to meet short term funding needs </t>
  </si>
  <si>
    <t xml:space="preserve">Non cash Working capital </t>
  </si>
  <si>
    <t xml:space="preserve">(current assets - cash and cash equivalent) - (Current Liabilities - short-term debt) </t>
  </si>
  <si>
    <t xml:space="preserve">Cash Working capital </t>
  </si>
  <si>
    <t xml:space="preserve">Current assets  - current debt</t>
  </si>
  <si>
    <t xml:space="preserve">Revolving credit facility</t>
  </si>
  <si>
    <t xml:space="preserve">corporate credit card . they can draw , repay , redraw funds</t>
  </si>
  <si>
    <t xml:space="preserve">EBITDA </t>
  </si>
  <si>
    <t xml:space="preserve">This is an operating performance -includes profit from its core business before accounting</t>
  </si>
  <si>
    <t>Revision</t>
  </si>
  <si>
    <t xml:space="preserve">FCFE  / potential dividend</t>
  </si>
  <si>
    <t xml:space="preserve">Cash available to company shareholders after all expenses , reinvestments and debt repayments have been taken care of </t>
  </si>
  <si>
    <t xml:space="preserve">Cash left </t>
  </si>
  <si>
    <t xml:space="preserve">actual income - (reinvestments) -&gt; cash left , this includes both for equity + debt investors </t>
  </si>
  <si>
    <t xml:space="preserve">Potential Dividend</t>
  </si>
  <si>
    <t xml:space="preserve">cash left - removed debt </t>
  </si>
  <si>
    <t xml:space="preserve">Equity income </t>
  </si>
  <si>
    <t xml:space="preserve">Operating income or net income ?</t>
  </si>
  <si>
    <t xml:space="preserve">Operating income</t>
  </si>
  <si>
    <t xml:space="preserve">Any activity will this effect my next year's operating income ? --&gt; if yes , then include it , else ignore it </t>
  </si>
  <si>
    <t xml:space="preserve">Add back non-cash</t>
  </si>
  <si>
    <t xml:space="preserve">D&amp;A  + non-cash</t>
  </si>
  <si>
    <t>Reinvestments</t>
  </si>
  <si>
    <t xml:space="preserve">Capex + non-cash Working capital</t>
  </si>
  <si>
    <t xml:space="preserve">net Borrowings</t>
  </si>
  <si>
    <t xml:space="preserve">debt raised - debt repaid</t>
  </si>
  <si>
    <t>FCFF</t>
  </si>
  <si>
    <t xml:space="preserve">Cash available to all capital providers of the company both equity and debt holders </t>
  </si>
  <si>
    <t xml:space="preserve">Firm income</t>
  </si>
  <si>
    <t xml:space="preserve">add back non cash</t>
  </si>
  <si>
    <t xml:space="preserve">D&amp;A + non-cash items</t>
  </si>
  <si>
    <t xml:space="preserve">Relative Valuation</t>
  </si>
  <si>
    <t xml:space="preserve">operating assets </t>
  </si>
  <si>
    <t xml:space="preserve">Assets that are used in day to day operations are called Operating Assets </t>
  </si>
  <si>
    <t xml:space="preserve">Market value of equity</t>
  </si>
  <si>
    <t xml:space="preserve">Market capitalization </t>
  </si>
  <si>
    <t xml:space="preserve">Market value of the firm</t>
  </si>
  <si>
    <t xml:space="preserve">Enterprise value -&gt; equity + debt - cash </t>
  </si>
  <si>
    <t xml:space="preserve">Market value of operating assets</t>
  </si>
  <si>
    <t xml:space="preserve">Market value of assets actively being used in company's operations  only core business activities  .. excludes cash , investments , non-operating land , core operational value</t>
  </si>
  <si>
    <t xml:space="preserve">Multiples  = ratios</t>
  </si>
  <si>
    <t xml:space="preserve">Discount rate </t>
  </si>
  <si>
    <t xml:space="preserve">-&gt; Expected ROI from this asset</t>
  </si>
  <si>
    <t xml:space="preserve">Descriptive Tests</t>
  </si>
  <si>
    <t xml:space="preserve">What is a high multiple and low multiple ?</t>
  </si>
  <si>
    <t xml:space="preserve">Enterprise value -&gt; market cap  + debt - cash </t>
  </si>
  <si>
    <t xml:space="preserve">EBITDA -&gt; Earnings  =&gt; gross income - operating expense</t>
  </si>
  <si>
    <t xml:space="preserve">PE </t>
  </si>
  <si>
    <t xml:space="preserve">Price / Earnings</t>
  </si>
  <si>
    <t xml:space="preserve">if earnings are negative, PE ratio doesnt make much sense</t>
  </si>
  <si>
    <t xml:space="preserve">Expected dividends / ( cost of equity - expected growth rate ) </t>
  </si>
  <si>
    <t>COE</t>
  </si>
  <si>
    <t xml:space="preserve">Expected growth rate</t>
  </si>
  <si>
    <t xml:space="preserve">Dividend payout ratio</t>
  </si>
  <si>
    <t xml:space="preserve">Dividend per share / Earning per share </t>
  </si>
  <si>
    <t xml:space="preserve">Book Value </t>
  </si>
  <si>
    <t xml:space="preserve">assets - liabilities</t>
  </si>
  <si>
    <t xml:space="preserve">OFF-TOPIC  LEARNINGS</t>
  </si>
  <si>
    <t xml:space="preserve">Rights issued </t>
  </si>
  <si>
    <t xml:space="preserve">Existing shareholders gets a chance to get equity shares below market price .. (with conditions) </t>
  </si>
  <si>
    <t xml:space="preserve">Grey market </t>
  </si>
  <si>
    <t xml:space="preserve">unofficial or unauthorized market where goods or financial instruments are bought and sold outside of the official distribution channels but not illegally  </t>
  </si>
  <si>
    <t xml:space="preserve">QIB </t>
  </si>
  <si>
    <t xml:space="preserve">Qualified Institutional buyers</t>
  </si>
  <si>
    <t xml:space="preserve">sectoral increase leads to increase in all the companies that are working in that sector .. (mostly) so if a single entity in a sector shows its income out , the rest follow .. TODO : Take a sector lets says cement sector and see the correlation and also emphasize on the time, when the price was released </t>
  </si>
  <si>
    <t xml:space="preserve">Cash flow </t>
  </si>
  <si>
    <t xml:space="preserve">Risk </t>
  </si>
  <si>
    <t xml:space="preserve">Growth rate</t>
  </si>
  <si>
    <t xml:space="preserve">Terminal value</t>
  </si>
  <si>
    <t>Cash-flow</t>
  </si>
  <si>
    <t xml:space="preserve">Net Income</t>
  </si>
  <si>
    <t xml:space="preserve">cash flow </t>
  </si>
  <si>
    <t xml:space="preserve">Depreciation and amortization </t>
  </si>
  <si>
    <t xml:space="preserve">Cash generated from operations</t>
  </si>
  <si>
    <t xml:space="preserve">current receivables</t>
  </si>
  <si>
    <t xml:space="preserve">Other non-cash activities</t>
  </si>
  <si>
    <t>inventory</t>
  </si>
  <si>
    <t xml:space="preserve">capital expenditure (ppe maintainance)</t>
  </si>
  <si>
    <t xml:space="preserve">current payables</t>
  </si>
  <si>
    <t xml:space="preserve">paisa toh daily operations chalane ke liye lgta h </t>
  </si>
  <si>
    <t xml:space="preserve">net borrowing</t>
  </si>
  <si>
    <t xml:space="preserve">Aur paisa uthaya</t>
  </si>
  <si>
    <t xml:space="preserve">FCFE / potential dividend</t>
  </si>
  <si>
    <t xml:space="preserve">Tax rate</t>
  </si>
  <si>
    <t xml:space="preserve">OI * ( 1 - tax )</t>
  </si>
  <si>
    <t>D&amp;A</t>
  </si>
  <si>
    <t xml:space="preserve">Goodwill impairment</t>
  </si>
  <si>
    <t xml:space="preserve">Change in non-cash WC</t>
  </si>
  <si>
    <t xml:space="preserve">Cost of equity</t>
  </si>
  <si>
    <t xml:space="preserve">Risk free rate</t>
  </si>
  <si>
    <t xml:space="preserve">treasury rate</t>
  </si>
  <si>
    <t xml:space="preserve">Equity risk premium </t>
  </si>
  <si>
    <t xml:space="preserve">avg returns that stocks gave in last 100 years</t>
  </si>
  <si>
    <t>beta</t>
  </si>
  <si>
    <t>?</t>
  </si>
  <si>
    <t xml:space="preserve">Sector beta</t>
  </si>
  <si>
    <t xml:space="preserve">beta </t>
  </si>
  <si>
    <t xml:space="preserve">Rate of growth </t>
  </si>
  <si>
    <t xml:space="preserve">Correlation between past rate of return and future rate of returns is negative </t>
  </si>
  <si>
    <t xml:space="preserve">Terminal Value</t>
  </si>
  <si>
    <t xml:space="preserve">Value of business or project beyond the forecast period</t>
  </si>
  <si>
    <t xml:space="preserve">Income statement</t>
  </si>
  <si>
    <t>Revenue</t>
  </si>
  <si>
    <t xml:space="preserve">Indirect tax</t>
  </si>
  <si>
    <t xml:space="preserve">Revenue from Operation </t>
  </si>
  <si>
    <t xml:space="preserve">Other income </t>
  </si>
  <si>
    <t xml:space="preserve">Cost of materials Consumed</t>
  </si>
  <si>
    <t xml:space="preserve">Purchases of stock in trade</t>
  </si>
  <si>
    <t xml:space="preserve">Change in inventory</t>
  </si>
  <si>
    <t>COGS</t>
  </si>
  <si>
    <t xml:space="preserve">Gross Profit / Income</t>
  </si>
  <si>
    <t xml:space="preserve">Excise duty</t>
  </si>
  <si>
    <t xml:space="preserve">Employee benefits expense</t>
  </si>
  <si>
    <t>Interest</t>
  </si>
  <si>
    <t xml:space="preserve">Finance cost</t>
  </si>
  <si>
    <t xml:space="preserve">Other expense</t>
  </si>
  <si>
    <t xml:space="preserve">Operating Expense</t>
  </si>
  <si>
    <t>EBITDA</t>
  </si>
  <si>
    <t xml:space="preserve">Operating Income ( EBIT) </t>
  </si>
  <si>
    <t>PBT</t>
  </si>
  <si>
    <t>Taxes</t>
  </si>
  <si>
    <t xml:space="preserve">PAT / Net Income</t>
  </si>
  <si>
    <t xml:space="preserve">Joint ventures</t>
  </si>
  <si>
    <t xml:space="preserve">PAT + JV</t>
  </si>
  <si>
    <t xml:space="preserve">Unrealised income</t>
  </si>
  <si>
    <t>OCI</t>
  </si>
  <si>
    <t xml:space="preserve">Total comprehensive income</t>
  </si>
  <si>
    <t xml:space="preserve">Owner of the company</t>
  </si>
  <si>
    <t xml:space="preserve">Debt holders, class B </t>
  </si>
  <si>
    <t xml:space="preserve">Non controlling interest</t>
  </si>
  <si>
    <t xml:space="preserve">No of shares</t>
  </si>
  <si>
    <t xml:space="preserve">Earnings per share</t>
  </si>
  <si>
    <t xml:space="preserve">revenue from operatiosn - cogs </t>
  </si>
  <si>
    <t xml:space="preserve">Gross profit</t>
  </si>
  <si>
    <t xml:space="preserve">Net income yoy</t>
  </si>
  <si>
    <t xml:space="preserve">revenue - cogs - other expense</t>
  </si>
  <si>
    <t xml:space="preserve">EBITDA %</t>
  </si>
  <si>
    <t xml:space="preserve">EBITDA yoy</t>
  </si>
  <si>
    <t>PPE</t>
  </si>
  <si>
    <t xml:space="preserve">Intangible asset</t>
  </si>
  <si>
    <t xml:space="preserve">capital work in progress</t>
  </si>
  <si>
    <t xml:space="preserve">intangible asset undere development</t>
  </si>
  <si>
    <t>investments</t>
  </si>
  <si>
    <t>loans</t>
  </si>
  <si>
    <t xml:space="preserve">others financial asset</t>
  </si>
  <si>
    <t xml:space="preserve">other NCA</t>
  </si>
  <si>
    <t xml:space="preserve">Total NCA</t>
  </si>
  <si>
    <t>Inventory</t>
  </si>
  <si>
    <t>Investments</t>
  </si>
  <si>
    <t xml:space="preserve">Trade receivable</t>
  </si>
  <si>
    <t xml:space="preserve">cash and cash eq</t>
  </si>
  <si>
    <t xml:space="preserve">other financial assets</t>
  </si>
  <si>
    <t>OCA</t>
  </si>
  <si>
    <t xml:space="preserve">Equity share capital </t>
  </si>
  <si>
    <t xml:space="preserve">purana hissab </t>
  </si>
  <si>
    <t xml:space="preserve">Total equity</t>
  </si>
  <si>
    <t>Borrowings</t>
  </si>
  <si>
    <t xml:space="preserve">Lease liabilities</t>
  </si>
  <si>
    <t xml:space="preserve">Other financial liabilities</t>
  </si>
  <si>
    <t>Provisions</t>
  </si>
  <si>
    <t xml:space="preserve">Deferred tax liabilities</t>
  </si>
  <si>
    <t xml:space="preserve">other Non current liabilites</t>
  </si>
  <si>
    <t xml:space="preserve">includes cash </t>
  </si>
  <si>
    <t xml:space="preserve">Cash flow from Operating activities</t>
  </si>
  <si>
    <t xml:space="preserve">Starting position </t>
  </si>
  <si>
    <t xml:space="preserve">Net income</t>
  </si>
  <si>
    <t xml:space="preserve">goodwill impairment + non cash expense</t>
  </si>
  <si>
    <t xml:space="preserve">Remove Non-operating expense </t>
  </si>
  <si>
    <t>CF</t>
  </si>
  <si>
    <t xml:space="preserve">Operating activities other than those included in net income</t>
  </si>
  <si>
    <t xml:space="preserve">Trade receivables + other receivables</t>
  </si>
  <si>
    <t>Inventories</t>
  </si>
  <si>
    <t xml:space="preserve">Trade and other payables</t>
  </si>
  <si>
    <t xml:space="preserve">Cash flow from Investing activities</t>
  </si>
  <si>
    <t xml:space="preserve">PPE  -&gt; dispose</t>
  </si>
  <si>
    <t xml:space="preserve">Expenditure on PPE</t>
  </si>
  <si>
    <t xml:space="preserve">proceeds Financial assets </t>
  </si>
  <si>
    <t xml:space="preserve">Invested some amount and now getting the money </t>
  </si>
  <si>
    <t xml:space="preserve">Interest income</t>
  </si>
  <si>
    <t xml:space="preserve">dividend income from others </t>
  </si>
  <si>
    <t xml:space="preserve">Cash flow from financial activities</t>
  </si>
  <si>
    <t xml:space="preserve">Debt repay</t>
  </si>
  <si>
    <t xml:space="preserve">Equity raised</t>
  </si>
  <si>
    <t xml:space="preserve">payment of lease liabilities</t>
  </si>
  <si>
    <t xml:space="preserve">proceeds from borrowings </t>
  </si>
  <si>
    <t xml:space="preserve">Company offers new shares to existing shareholders usally at a discount to the market price , to raise capital </t>
  </si>
  <si>
    <t xml:space="preserve">Proceeds from rights issue</t>
  </si>
  <si>
    <t xml:space="preserve">Reliance industries limited</t>
  </si>
  <si>
    <t>Inc</t>
  </si>
  <si>
    <t xml:space="preserve">Composed of:</t>
  </si>
  <si>
    <t xml:space="preserve">JPL ( jio private limited ) </t>
  </si>
  <si>
    <t xml:space="preserve">Mobile Networks , internet , broadband , dish services  , jio fiiber , all digital applications </t>
  </si>
  <si>
    <t xml:space="preserve">RRVL ( reliance retail ventures limited ) </t>
  </si>
  <si>
    <t xml:space="preserve">Trends stores , ajio, jio mart , reliance digital </t>
  </si>
  <si>
    <t xml:space="preserve">Share price</t>
  </si>
  <si>
    <t xml:space="preserve">O2C ( oil to chemical ) </t>
  </si>
  <si>
    <t xml:space="preserve">No. of shares</t>
  </si>
  <si>
    <t xml:space="preserve">ONG ( oil and gas ) </t>
  </si>
  <si>
    <t xml:space="preserve">Market cap </t>
  </si>
  <si>
    <t xml:space="preserve">Cash </t>
  </si>
  <si>
    <t xml:space="preserve">debt </t>
  </si>
  <si>
    <t>https://www.ril.com/sites/default/files/2025-04/25042025_Media_Release_RIL_Q4_FY2024_25_Financial_and_Operational_Performance.pdf</t>
  </si>
  <si>
    <t>EV</t>
  </si>
  <si>
    <t xml:space="preserve">JPL </t>
  </si>
  <si>
    <t xml:space="preserve">Akash Ambani</t>
  </si>
  <si>
    <t>FY24</t>
  </si>
  <si>
    <t>FY25</t>
  </si>
  <si>
    <t xml:space="preserve">from cash flow statement</t>
  </si>
  <si>
    <t xml:space="preserve">Debt paid</t>
  </si>
  <si>
    <t xml:space="preserve">Total Revenue</t>
  </si>
  <si>
    <t xml:space="preserve">Revenue from operation</t>
  </si>
  <si>
    <t xml:space="preserve">Operational expense</t>
  </si>
  <si>
    <t xml:space="preserve">borrowing -current</t>
  </si>
  <si>
    <t xml:space="preserve">EBITDA aka OI aka OP</t>
  </si>
  <si>
    <t>depreciation</t>
  </si>
  <si>
    <t>Tax</t>
  </si>
  <si>
    <t xml:space="preserve">Profit after tax / net profit</t>
  </si>
  <si>
    <t xml:space="preserve">Net profit margin</t>
  </si>
  <si>
    <t xml:space="preserve">Customer base</t>
  </si>
  <si>
    <t xml:space="preserve">ARPU ( average revenue per user ) </t>
  </si>
  <si>
    <t xml:space="preserve">Hike in telecom service</t>
  </si>
  <si>
    <t xml:space="preserve">Total revenue</t>
  </si>
  <si>
    <t xml:space="preserve">Data traffic</t>
  </si>
  <si>
    <t xml:space="preserve">Voice traffic</t>
  </si>
  <si>
    <t xml:space="preserve">JIO x SpaceX merger </t>
  </si>
  <si>
    <t xml:space="preserve">RRVL </t>
  </si>
  <si>
    <t xml:space="preserve">Isha Ambani</t>
  </si>
  <si>
    <t xml:space="preserve">Gross revenue</t>
  </si>
  <si>
    <t xml:space="preserve">Revenue from Operations</t>
  </si>
  <si>
    <t>PAT</t>
  </si>
  <si>
    <t>Stores</t>
  </si>
  <si>
    <t>Area</t>
  </si>
  <si>
    <t xml:space="preserve">Registered customer base</t>
  </si>
  <si>
    <t xml:space="preserve">No of transaction</t>
  </si>
  <si>
    <t>Jiomart</t>
  </si>
  <si>
    <t xml:space="preserve">Average orders increased by 62% yoy </t>
  </si>
  <si>
    <t xml:space="preserve">Tier-1, 2</t>
  </si>
  <si>
    <t xml:space="preserve">O2G </t>
  </si>
  <si>
    <t xml:space="preserve">Oil to Gas</t>
  </si>
  <si>
    <t>Exports</t>
  </si>
  <si>
    <t xml:space="preserve">Exports reduced ? </t>
  </si>
  <si>
    <t xml:space="preserve">EBITDA Margin</t>
  </si>
  <si>
    <t>Depreciation</t>
  </si>
  <si>
    <t xml:space="preserve">Export reduced due to weakness in transportation fuel cracks and subdued downstream chemical delta </t>
  </si>
  <si>
    <t xml:space="preserve">Sharp fall in transportation fuel cracks and lower polyester chain margins partially offset by higher volume, feedstock cost optimization and higher PP and PVC delta</t>
  </si>
  <si>
    <t xml:space="preserve">Total throughput</t>
  </si>
  <si>
    <t xml:space="preserve">Production meant for Sale</t>
  </si>
  <si>
    <t xml:space="preserve">Cracks spreads are the profit margins that refiners earn by converting crude oil into refined products like gasoline , diesel and jet fuels</t>
  </si>
  <si>
    <t xml:space="preserve">1. Geopolitical issue</t>
  </si>
  <si>
    <t xml:space="preserve">2. New refinery additions</t>
  </si>
  <si>
    <t xml:space="preserve">3. China's demand dipped</t>
  </si>
  <si>
    <t xml:space="preserve">4. Singapore inventories high </t>
  </si>
  <si>
    <t>O&amp;G</t>
  </si>
  <si>
    <t xml:space="preserve">Oil and Gas</t>
  </si>
  <si>
    <t xml:space="preserve">EBITDA Margin %</t>
  </si>
  <si>
    <t xml:space="preserve">Depreciation </t>
  </si>
  <si>
    <t xml:space="preserve">Jio Star</t>
  </si>
  <si>
    <t xml:space="preserve">Gross Revenue</t>
  </si>
  <si>
    <t xml:space="preserve">income , profit , earnings</t>
  </si>
  <si>
    <t xml:space="preserve">Revenue from operation </t>
  </si>
  <si>
    <t xml:space="preserve">Finance Cost </t>
  </si>
  <si>
    <t xml:space="preserve">Tax Expense</t>
  </si>
  <si>
    <t xml:space="preserve">Profit After Tax</t>
  </si>
  <si>
    <t xml:space="preserve">2022 Annual report</t>
  </si>
  <si>
    <t xml:space="preserve">For US companies fiscal year ends on 25th December .. </t>
  </si>
  <si>
    <t xml:space="preserve">Income Statement </t>
  </si>
  <si>
    <t xml:space="preserve">Net sales</t>
  </si>
  <si>
    <t xml:space="preserve">KHC ( Kraft Heinz ) company</t>
  </si>
  <si>
    <t xml:space="preserve">they sell food and beverages</t>
  </si>
  <si>
    <t>cogs</t>
  </si>
  <si>
    <t xml:space="preserve">Cash flow statement</t>
  </si>
  <si>
    <t xml:space="preserve">gross profit</t>
  </si>
  <si>
    <t xml:space="preserve">operating expenses</t>
  </si>
  <si>
    <t xml:space="preserve">SGA </t>
  </si>
  <si>
    <t xml:space="preserve">selling , general and admin expenses</t>
  </si>
  <si>
    <t xml:space="preserve">goodwill impairment</t>
  </si>
  <si>
    <t xml:space="preserve">intangible asset impairment losses</t>
  </si>
  <si>
    <t xml:space="preserve">Operating Income / EBIT</t>
  </si>
  <si>
    <t xml:space="preserve">interest expense</t>
  </si>
  <si>
    <t xml:space="preserve">Actual Net Income</t>
  </si>
  <si>
    <t xml:space="preserve">Profit before tax </t>
  </si>
  <si>
    <t xml:space="preserve">CASH FLOW FROM INVESTING ACTIVITIES</t>
  </si>
  <si>
    <t xml:space="preserve">Capital expenditure</t>
  </si>
  <si>
    <t xml:space="preserve">Provision for income tax</t>
  </si>
  <si>
    <t xml:space="preserve">payment to acquire business </t>
  </si>
  <si>
    <t xml:space="preserve">proceeds from sale of business , net of cash disposed and WC adjustments</t>
  </si>
  <si>
    <t xml:space="preserve">Loss to NCI </t>
  </si>
  <si>
    <t xml:space="preserve">Actual Capex</t>
  </si>
  <si>
    <t xml:space="preserve">Net income for shareholders</t>
  </si>
  <si>
    <t>BS</t>
  </si>
  <si>
    <t xml:space="preserve">Current assets</t>
  </si>
  <si>
    <t xml:space="preserve">Current debt</t>
  </si>
  <si>
    <t xml:space="preserve">Cash and cash eq</t>
  </si>
  <si>
    <t xml:space="preserve">short term debt</t>
  </si>
  <si>
    <t xml:space="preserve">Working Capital </t>
  </si>
  <si>
    <t>Raised</t>
  </si>
  <si>
    <t>paid</t>
  </si>
  <si>
    <t xml:space="preserve">repayment of long term debt</t>
  </si>
  <si>
    <t xml:space="preserve">Borrowing </t>
  </si>
  <si>
    <t xml:space="preserve">issuance of long term debt</t>
  </si>
  <si>
    <t>FCFE</t>
  </si>
  <si>
    <t xml:space="preserve">Gained due to prepayment</t>
  </si>
  <si>
    <t xml:space="preserve">Issuance of commercial paper</t>
  </si>
  <si>
    <t xml:space="preserve">repayments of commercial paper</t>
  </si>
  <si>
    <t xml:space="preserve">dividend income</t>
  </si>
  <si>
    <t xml:space="preserve">Free cash flow to firm, that includes both the equity + the debtors</t>
  </si>
  <si>
    <t xml:space="preserve">FCFF </t>
  </si>
  <si>
    <t xml:space="preserve">Firm -&gt; equity (shareholder) + debtors </t>
  </si>
  <si>
    <t xml:space="preserve">Interest </t>
  </si>
  <si>
    <t xml:space="preserve">debtors </t>
  </si>
  <si>
    <t xml:space="preserve">Operating Income</t>
  </si>
  <si>
    <t>tax-rate</t>
  </si>
  <si>
    <t xml:space="preserve">Tax </t>
  </si>
  <si>
    <t>OI(1=-t)</t>
  </si>
  <si>
    <t>Tax-rate</t>
  </si>
  <si>
    <t xml:space="preserve">OI - Tax</t>
  </si>
  <si>
    <t xml:space="preserve">OI * ( 1-tr)</t>
  </si>
  <si>
    <t xml:space="preserve">CA - CL  , next 12 months m joh aane-jane wala h woh sb ... is called working caps </t>
  </si>
  <si>
    <t xml:space="preserve">Working caps</t>
  </si>
  <si>
    <t xml:space="preserve">Hindalco </t>
  </si>
  <si>
    <t xml:space="preserve">mining, refining, smelting, end product : aluminium rolls</t>
  </si>
  <si>
    <t xml:space="preserve">Green energy </t>
  </si>
  <si>
    <t xml:space="preserve">300 MW </t>
  </si>
  <si>
    <t xml:space="preserve">2 recylcing centers</t>
  </si>
  <si>
    <t xml:space="preserve">$300 M cost improvements &amp; efficiency plan </t>
  </si>
  <si>
    <t>reinvestment</t>
  </si>
  <si>
    <t xml:space="preserve">Upstream </t>
  </si>
  <si>
    <t xml:space="preserve">Mining , refining , smelting </t>
  </si>
  <si>
    <t xml:space="preserve">Bauxite ore -&gt; alumina -&gt; smelting -&gt; aluminium metal  , ingots</t>
  </si>
  <si>
    <t xml:space="preserve">Downstream </t>
  </si>
  <si>
    <t xml:space="preserve">finished products</t>
  </si>
  <si>
    <t xml:space="preserve"> value added products like sheets , foils </t>
  </si>
  <si>
    <t xml:space="preserve">Inter segment routing </t>
  </si>
  <si>
    <t xml:space="preserve">In large companies , some internal transactions occur between segments , and they are not real for the consolidated company so they are eliminated to avoid double counting </t>
  </si>
  <si>
    <t xml:space="preserve">GAAP adjustments</t>
  </si>
  <si>
    <t xml:space="preserve">Accounting k time,  company has its own standards that they need to follow and they remove / add certain segments .. that is called GAAP adjustments</t>
  </si>
  <si>
    <t xml:space="preserve">Unallocated Income </t>
  </si>
  <si>
    <t xml:space="preserve">wo paisa, jo kisi business segment se direct linked nhi hota  like .. puri company ka CEO h koi , ibank interest joh company ko direct milta h . </t>
  </si>
  <si>
    <t xml:space="preserve">LME ( london metal exchange ) the prices are linked directly to raw materias , ingots and they are benchmarked to it ... </t>
  </si>
  <si>
    <t xml:space="preserve">If the Aluminium price at LME increase the price of upstream increase</t>
  </si>
  <si>
    <t xml:space="preserve">Alumina ( production )</t>
  </si>
  <si>
    <t xml:space="preserve">Upstream process</t>
  </si>
  <si>
    <t xml:space="preserve">Income Statement</t>
  </si>
  <si>
    <t>https://www.hindalco.com/upload/pdf/hindalco-annual-report-2023-24.pdf</t>
  </si>
  <si>
    <t>https://www.hindalco.com/upload/pdf/hindalco-q4fy23-earnings-presentation.pdf</t>
  </si>
  <si>
    <t>https://www.hindalco.com/Upload/PDF/earnings-presentation-q4-fy25.pdf</t>
  </si>
  <si>
    <t>https://www.lme.com/en/</t>
  </si>
  <si>
    <t>Novelis</t>
  </si>
  <si>
    <t xml:space="preserve">Aluminium upstream</t>
  </si>
  <si>
    <t xml:space="preserve">Aluminium downstream </t>
  </si>
  <si>
    <t>Copper</t>
  </si>
  <si>
    <t xml:space="preserve">Business EBITDA</t>
  </si>
  <si>
    <t xml:space="preserve">internal transactions between companies</t>
  </si>
  <si>
    <t xml:space="preserve">Inter segment profit</t>
  </si>
  <si>
    <t xml:space="preserve">Unallocated income - gaap adjustments</t>
  </si>
  <si>
    <t xml:space="preserve">Debt financing costs </t>
  </si>
  <si>
    <t xml:space="preserve">Finance costs</t>
  </si>
  <si>
    <t xml:space="preserve">Profit before depreciation &amp; tax</t>
  </si>
  <si>
    <t xml:space="preserve">Share in profit / loss of equity accounted investments</t>
  </si>
  <si>
    <t xml:space="preserve">Profit before exceptional items and tax</t>
  </si>
  <si>
    <t xml:space="preserve">Exceptional income </t>
  </si>
  <si>
    <t xml:space="preserve">Profit before tax</t>
  </si>
  <si>
    <t>Profit</t>
  </si>
  <si>
    <t xml:space="preserve">Current share price</t>
  </si>
  <si>
    <t>EPS</t>
  </si>
  <si>
    <t xml:space="preserve">!= shares outstanding</t>
  </si>
  <si>
    <t xml:space="preserve">Equity shares</t>
  </si>
  <si>
    <t xml:space="preserve">Revenue YoY</t>
  </si>
  <si>
    <t xml:space="preserve">B. EBITDA YoY</t>
  </si>
  <si>
    <t xml:space="preserve">Ebitda yoy</t>
  </si>
  <si>
    <t xml:space="preserve">Profit YoY</t>
  </si>
  <si>
    <t xml:space="preserve">aluminium price increased , moderation in coal price , demand increase</t>
  </si>
  <si>
    <t xml:space="preserve">Upstream YoY</t>
  </si>
  <si>
    <t xml:space="preserve">Downstream YoY</t>
  </si>
  <si>
    <t xml:space="preserve">Copper YoY</t>
  </si>
  <si>
    <t xml:space="preserve">Novelis YoY</t>
  </si>
  <si>
    <t xml:space="preserve">India segment</t>
  </si>
  <si>
    <t xml:space="preserve">Aluminium upstream </t>
  </si>
  <si>
    <t xml:space="preserve">Aluminium downstream</t>
  </si>
  <si>
    <t>copper</t>
  </si>
  <si>
    <t xml:space="preserve">Business Segment EBITDA</t>
  </si>
  <si>
    <t xml:space="preserve">Inter segment </t>
  </si>
  <si>
    <t xml:space="preserve">unallocated - gaap </t>
  </si>
  <si>
    <t>PBDT</t>
  </si>
  <si>
    <t xml:space="preserve">PB Exceptional Income &amp; Tax</t>
  </si>
  <si>
    <t xml:space="preserve">Profit after tax</t>
  </si>
  <si>
    <t xml:space="preserve">Alumina prod</t>
  </si>
  <si>
    <t xml:space="preserve">EBITDA YoY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</si>
  <si>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</si>
  <si>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</si>
  <si>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</si>
  <si>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</si>
  <si>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</si>
  <si>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</si>
  <si>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</si>
  <si>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</si>
  <si>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</si>
  <si>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</si>
  <si>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</si>
  <si>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>NBFC</t>
  </si>
  <si>
    <t xml:space="preserve">Aditya birla housing finance</t>
  </si>
  <si>
    <t xml:space="preserve">Housing finance company</t>
  </si>
  <si>
    <t>listed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</si>
  <si>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</si>
  <si>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</si>
  <si>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</si>
  <si>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</si>
  <si>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</si>
  <si>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</si>
  <si>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listed 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</si>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</sst>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d mmmm"/>
  </numFmts>
  <fonts count="6">
    <font>
      <sz val="10.000000"/>
      <color indexed="64"/>
      <name val="Arial"/>
      <scheme val="minor"/>
    </font>
    <font>
      <sz val="12.000000"/>
      <color theme="1"/>
      <name val="Arial"/>
      <scheme val="minor"/>
    </font>
    <font>
      <b/>
      <sz val="12.000000"/>
      <color theme="1"/>
      <name val="Arial"/>
      <scheme val="minor"/>
    </font>
    <font>
      <sz val="12.000000"/>
      <color rgb="FF1F1F1F"/>
      <name val="&quot;Google Sans&quot;"/>
    </font>
    <font>
      <u/>
      <sz val="12.000000"/>
      <color indexed="4"/>
    </font>
    <font>
      <sz val="12.000000"/>
      <color indexed="2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5"/>
      </patternFill>
    </fill>
    <fill>
      <patternFill patternType="solid">
        <fgColor indexed="52"/>
        <bgColor indexed="52"/>
      </patternFill>
    </fill>
    <fill>
      <patternFill patternType="solid">
        <fgColor rgb="FF38761D"/>
        <bgColor rgb="FF38761D"/>
      </patternFill>
    </fill>
    <fill>
      <patternFill patternType="solid">
        <fgColor rgb="FF9FC5E8"/>
        <bgColor rgb="FF9FC5E8"/>
      </patternFill>
    </fill>
    <fill>
      <patternFill patternType="solid">
        <fgColor indexed="5"/>
        <bgColor indexed="5"/>
      </patternFill>
    </fill>
    <fill>
      <patternFill patternType="solid">
        <fgColor rgb="FF134F5C"/>
        <bgColor rgb="FF134F5C"/>
      </patternFill>
    </fill>
    <fill>
      <patternFill patternType="solid">
        <fgColor rgb="FF6AA84F"/>
        <bgColor rgb="FF6AA84F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0">
    <xf fontId="0" fillId="0" borderId="0" numFmtId="0" xfId="0"/>
    <xf fontId="1" fillId="0" borderId="0" numFmtId="0" xfId="0" applyFont="1"/>
    <xf fontId="2" fillId="0" borderId="0" numFmtId="0" xfId="0" applyFont="1"/>
    <xf fontId="2" fillId="0" borderId="0" numFmtId="0" xfId="0" applyFont="1"/>
    <xf fontId="1" fillId="0" borderId="0" numFmtId="0" xfId="0" applyFont="1"/>
    <xf fontId="3" fillId="2" borderId="0" numFmtId="0" xfId="0" applyFont="1" applyFill="1"/>
    <xf fontId="1" fillId="3" borderId="0" numFmtId="0" xfId="0" applyFont="1" applyFill="1"/>
    <xf fontId="1" fillId="4" borderId="0" numFmtId="0" xfId="0" applyFont="1" applyFill="1"/>
    <xf fontId="1" fillId="5" borderId="0" numFmtId="0" xfId="0" applyFont="1" applyFill="1"/>
    <xf fontId="1" fillId="5" borderId="0" numFmtId="0" xfId="0" applyFont="1" applyFill="1"/>
    <xf fontId="1" fillId="0" borderId="0" numFmtId="3" xfId="0" applyNumberFormat="1" applyFont="1"/>
    <xf fontId="2" fillId="0" borderId="0" numFmtId="0" xfId="0" applyFont="1" applyAlignment="1">
      <alignment horizontal="center"/>
    </xf>
    <xf fontId="1" fillId="0" borderId="0" numFmtId="3" xfId="0" applyNumberFormat="1" applyFont="1" applyAlignment="1">
      <alignment horizontal="center"/>
    </xf>
    <xf fontId="1" fillId="0" borderId="0" numFmtId="3" xfId="0" applyNumberFormat="1" applyFont="1"/>
    <xf fontId="1" fillId="0" borderId="0" numFmtId="10" xfId="0" applyNumberFormat="1" applyFont="1"/>
    <xf fontId="1" fillId="0" borderId="0" numFmtId="164" xfId="0" applyNumberFormat="1" applyFont="1"/>
    <xf fontId="1" fillId="6" borderId="0" numFmtId="0" xfId="0" applyFont="1" applyFill="1"/>
    <xf fontId="1" fillId="6" borderId="0" numFmtId="0" xfId="0" applyFont="1" applyFill="1"/>
    <xf fontId="2" fillId="0" borderId="0" numFmtId="3" xfId="0" applyNumberFormat="1" applyFont="1"/>
    <xf fontId="2" fillId="0" borderId="0" numFmtId="3" xfId="0" applyNumberFormat="1" applyFont="1"/>
    <xf fontId="1" fillId="0" borderId="0" numFmtId="4" xfId="0" applyNumberFormat="1" applyFont="1"/>
    <xf fontId="1" fillId="7" borderId="0" numFmtId="0" xfId="0" applyFont="1" applyFill="1"/>
    <xf fontId="2" fillId="6" borderId="0" numFmtId="0" xfId="0" applyFont="1" applyFill="1"/>
    <xf fontId="4" fillId="0" borderId="0" numFmtId="0" xfId="0" applyFont="1"/>
    <xf fontId="1" fillId="0" borderId="0" numFmtId="0" xfId="0" applyFont="1" applyAlignment="1">
      <alignment horizontal="center"/>
    </xf>
    <xf fontId="1" fillId="0" borderId="0" numFmtId="0" xfId="0" applyFont="1" applyAlignment="1">
      <alignment horizontal="right"/>
    </xf>
    <xf fontId="1" fillId="0" borderId="0" numFmtId="3" xfId="0" applyNumberFormat="1" applyFont="1" applyAlignment="1">
      <alignment horizontal="right"/>
    </xf>
    <xf fontId="1" fillId="0" borderId="0" numFmtId="165" xfId="0" applyNumberFormat="1" applyFont="1" applyAlignment="1">
      <alignment horizontal="right"/>
    </xf>
    <xf fontId="1" fillId="0" borderId="0" numFmtId="10" xfId="0" applyNumberFormat="1" applyFont="1" applyAlignment="1">
      <alignment horizontal="right"/>
    </xf>
    <xf fontId="5" fillId="0" borderId="0" numFmtId="0" xfId="0" applyFont="1"/>
    <xf fontId="1" fillId="0" borderId="0" numFmtId="10" xfId="0" applyNumberFormat="1" applyFont="1" applyAlignment="1">
      <alignment horizontal="center"/>
    </xf>
    <xf fontId="2" fillId="0" borderId="0" numFmtId="3" xfId="0" applyNumberFormat="1" applyFont="1" applyAlignment="1">
      <alignment horizontal="center"/>
    </xf>
    <xf fontId="1" fillId="0" borderId="0" numFmtId="10" xfId="0" applyNumberFormat="1" applyFont="1"/>
    <xf fontId="1" fillId="0" borderId="0" numFmtId="165" xfId="0" applyNumberFormat="1" applyFont="1"/>
    <xf fontId="1" fillId="0" borderId="0" numFmtId="165" xfId="0" applyNumberFormat="1" applyFont="1"/>
    <xf fontId="1" fillId="0" borderId="0" numFmtId="166" xfId="0" applyNumberFormat="1" applyFont="1"/>
    <xf fontId="1" fillId="0" borderId="0" numFmtId="4" xfId="0" applyNumberFormat="1" applyFont="1"/>
    <xf fontId="2" fillId="0" borderId="0" numFmtId="10" xfId="0" applyNumberFormat="1" applyFont="1"/>
    <xf fontId="1" fillId="8" borderId="0" numFmtId="0" xfId="0" applyFont="1" applyFill="1"/>
    <xf fontId="1" fillId="0" borderId="0" numFmtId="9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5-04/25042025_Media_Release_RIL_Q4_FY2024_25_Financial_and_Operational_Performance.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www.hindalco.com/upload/pdf/hindalco-annual-report-2023-24.pdf" TargetMode="External"/><Relationship  Id="rId2" Type="http://schemas.openxmlformats.org/officeDocument/2006/relationships/hyperlink" Target="https://www.hindalco.com/upload/pdf/hindalco-q4fy23-earnings-presentation.pdf" TargetMode="External"/><Relationship  Id="rId3" Type="http://schemas.openxmlformats.org/officeDocument/2006/relationships/hyperlink" Target="https://www.hindalco.com/Upload/PDF/earnings-presentation-q4-fy25.pdf" TargetMode="External"/><Relationship  Id="rId4" Type="http://schemas.openxmlformats.org/officeDocument/2006/relationships/hyperlink" Target="https://www.lme.com/en/" TargetMode="Externa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2" max="2" width="24"/>
    <col customWidth="1" min="3" max="3" width="57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/>
      <c r="B3" s="3" t="s">
        <v>0</v>
      </c>
      <c r="C3" s="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2</v>
      </c>
      <c r="C5" s="4" t="s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4</v>
      </c>
      <c r="C6" s="4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6</v>
      </c>
      <c r="B7" s="4" t="s">
        <v>7</v>
      </c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9</v>
      </c>
      <c r="C8" s="4" t="s">
        <v>10</v>
      </c>
      <c r="D8" s="4" t="s">
        <v>11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12</v>
      </c>
      <c r="C9" s="4" t="s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14</v>
      </c>
      <c r="C11" s="4" t="s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" t="s">
        <v>16</v>
      </c>
      <c r="C12" s="4" t="s">
        <v>17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18</v>
      </c>
      <c r="C13" s="4" t="s"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 t="s">
        <v>20</v>
      </c>
      <c r="C14" s="4" t="s">
        <v>21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22</v>
      </c>
      <c r="C15" s="4" t="s">
        <v>23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 t="s">
        <v>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" t="s">
        <v>26</v>
      </c>
      <c r="C20" s="4" t="s">
        <v>27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4" t="s">
        <v>26</v>
      </c>
      <c r="C21" s="4" t="s">
        <v>28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4" t="s">
        <v>29</v>
      </c>
      <c r="C22" s="4" t="s">
        <v>30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4" t="s">
        <v>31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4" t="s">
        <v>32</v>
      </c>
      <c r="C24" s="4" t="s">
        <v>33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4" t="s">
        <v>34</v>
      </c>
      <c r="C25" s="4" t="s">
        <v>35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4" t="s">
        <v>36</v>
      </c>
      <c r="C27" s="4" t="s">
        <v>37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4" t="s">
        <v>38</v>
      </c>
      <c r="C28" s="4" t="s">
        <v>39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4" t="s">
        <v>40</v>
      </c>
      <c r="C29" s="4" t="s">
        <v>41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4" t="s">
        <v>42</v>
      </c>
      <c r="C30" s="4" t="s">
        <v>43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4" t="s">
        <v>44</v>
      </c>
      <c r="C31" s="4" t="s">
        <v>45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4" t="s">
        <v>46</v>
      </c>
      <c r="C33" s="4" t="s">
        <v>47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4" t="s">
        <v>48</v>
      </c>
      <c r="C35" s="4" t="s">
        <v>49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4" t="s">
        <v>50</v>
      </c>
      <c r="C36" s="5" t="s">
        <v>51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4" t="s">
        <v>52</v>
      </c>
      <c r="C37" s="5" t="s">
        <v>53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4" t="s">
        <v>54</v>
      </c>
      <c r="B39" s="4" t="s">
        <v>55</v>
      </c>
      <c r="C39" s="4" t="s">
        <v>56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4" t="s">
        <v>57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4" t="s">
        <v>58</v>
      </c>
      <c r="C43" s="4" t="s">
        <v>59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4" t="s">
        <v>60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4" t="s">
        <v>61</v>
      </c>
      <c r="C45" s="4" t="s">
        <v>62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" t="s">
        <v>63</v>
      </c>
      <c r="C46" s="4" t="s">
        <v>64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" t="s">
        <v>65</v>
      </c>
      <c r="C48" s="4" t="s">
        <v>66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4" t="s">
        <v>67</v>
      </c>
      <c r="C49" s="4" t="s">
        <v>68</v>
      </c>
      <c r="D49" s="4" t="s">
        <v>69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4" t="s">
        <v>70</v>
      </c>
      <c r="D50" s="4" t="s">
        <v>71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4" t="s">
        <v>72</v>
      </c>
      <c r="D51" s="4" t="s">
        <v>73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4" t="s">
        <v>74</v>
      </c>
      <c r="B53" s="4" t="s">
        <v>75</v>
      </c>
      <c r="C53" s="4" t="s">
        <v>76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4" t="s">
        <v>77</v>
      </c>
      <c r="C54" s="4" t="s">
        <v>78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4" t="s">
        <v>79</v>
      </c>
      <c r="C56" s="4" t="s">
        <v>80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4" t="s">
        <v>81</v>
      </c>
      <c r="C58" s="4" t="s">
        <v>82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4" t="s">
        <v>83</v>
      </c>
      <c r="C60" s="4" t="s">
        <v>84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4" t="s">
        <v>85</v>
      </c>
      <c r="C61" s="4" t="s">
        <v>86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4" t="s">
        <v>87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4" t="s">
        <v>88</v>
      </c>
      <c r="C63" s="4" t="s">
        <v>89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4" t="s">
        <v>90</v>
      </c>
      <c r="C64" s="4" t="s">
        <v>91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4" t="s">
        <v>92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4" t="s">
        <v>93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4" t="s">
        <v>94</v>
      </c>
      <c r="C69" s="4" t="s">
        <v>95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4" t="s">
        <v>96</v>
      </c>
      <c r="C70" s="4" t="s">
        <v>97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4" t="s">
        <v>98</v>
      </c>
      <c r="C72" s="4" t="s">
        <v>99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4" t="s">
        <v>100</v>
      </c>
      <c r="C73" s="4" t="s">
        <v>101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4" t="s">
        <v>102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 t="s">
        <v>103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4" t="s">
        <v>104</v>
      </c>
      <c r="C76" s="4" t="s">
        <v>105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4" t="s">
        <v>106</v>
      </c>
      <c r="C77" s="4" t="s">
        <v>107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4" t="s">
        <v>108</v>
      </c>
      <c r="C78" s="4" t="s">
        <v>109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4" t="s">
        <v>110</v>
      </c>
      <c r="C79" s="4" t="s">
        <v>111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4" t="s">
        <v>112</v>
      </c>
      <c r="C80" s="4" t="s">
        <v>113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4" t="s">
        <v>114</v>
      </c>
      <c r="C81" s="4" t="s">
        <v>115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3" t="s">
        <v>116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3" t="s">
        <v>117</v>
      </c>
      <c r="C88" s="4" t="s">
        <v>118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4" t="s">
        <v>119</v>
      </c>
      <c r="C89" s="4" t="s">
        <v>120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4" t="s">
        <v>121</v>
      </c>
      <c r="C90" s="4" t="s">
        <v>122</v>
      </c>
      <c r="D90" s="4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4" t="s">
        <v>123</v>
      </c>
      <c r="C91" s="4" t="s">
        <v>124</v>
      </c>
      <c r="D91" s="4" t="s">
        <v>125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4" t="s">
        <v>126</v>
      </c>
      <c r="B92" s="4" t="s">
        <v>127</v>
      </c>
      <c r="C92" s="4" t="s">
        <v>128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4" t="s">
        <v>129</v>
      </c>
      <c r="C93" s="4" t="s">
        <v>130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4" t="s">
        <v>131</v>
      </c>
      <c r="C94" s="4" t="s">
        <v>132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3" t="s">
        <v>133</v>
      </c>
      <c r="C96" s="4" t="s">
        <v>134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4" t="s">
        <v>135</v>
      </c>
      <c r="C98" s="4" t="s">
        <v>125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4" t="s">
        <v>136</v>
      </c>
      <c r="C99" s="4" t="s">
        <v>137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 t="s">
        <v>138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4" t="s">
        <v>139</v>
      </c>
      <c r="C107" s="4" t="s">
        <v>140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4" t="s">
        <v>141</v>
      </c>
      <c r="C108" s="4" t="s">
        <v>142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4" t="s">
        <v>143</v>
      </c>
      <c r="C109" s="4" t="s">
        <v>144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4" t="s">
        <v>145</v>
      </c>
      <c r="C110" s="4" t="s">
        <v>146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4" t="s">
        <v>147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4" t="s">
        <v>148</v>
      </c>
      <c r="C113" s="4" t="s">
        <v>149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4" t="s">
        <v>150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4" t="s">
        <v>151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4" t="s">
        <v>152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4" t="s">
        <v>153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4" t="s">
        <v>154</v>
      </c>
      <c r="C122" s="4" t="s">
        <v>155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4" t="s">
        <v>156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4" t="s">
        <v>157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4" t="s">
        <v>158</v>
      </c>
      <c r="C128" s="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4" t="s">
        <v>159</v>
      </c>
      <c r="C129" s="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4" t="s">
        <v>160</v>
      </c>
      <c r="C130" s="4" t="s">
        <v>161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4" t="s">
        <v>162</v>
      </c>
      <c r="C132" s="4" t="s">
        <v>163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4"/>
      <c r="C133" s="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8"/>
      <c r="B134" s="9"/>
      <c r="C134" s="9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3" t="s">
        <v>164</v>
      </c>
      <c r="B135" s="4"/>
      <c r="C135" s="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4"/>
      <c r="C136" s="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4" t="s">
        <v>165</v>
      </c>
      <c r="C137" s="4" t="s">
        <v>166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4" t="s">
        <v>167</v>
      </c>
      <c r="C138" s="4" t="s">
        <v>168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4" t="s">
        <v>169</v>
      </c>
      <c r="C139" s="4" t="s">
        <v>170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4" t="s">
        <v>171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13.880000000000001"/>
    <col customWidth="1" min="2" max="2" width="15.75"/>
    <col customWidth="1" min="11" max="11" width="1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172</v>
      </c>
      <c r="C3" s="1"/>
      <c r="D3" s="1"/>
      <c r="E3" s="4" t="s">
        <v>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173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175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 t="s">
        <v>176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3" t="s">
        <v>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177</v>
      </c>
      <c r="C11" s="1"/>
      <c r="D11" s="10">
        <f>reliance!D24</f>
        <v>78633</v>
      </c>
      <c r="E11" s="1"/>
      <c r="F11" s="1"/>
      <c r="G11" s="1"/>
      <c r="H11" s="1"/>
      <c r="I11" s="1"/>
      <c r="J11" s="11" t="s">
        <v>178</v>
      </c>
      <c r="K11" s="11" t="s">
        <v>67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" t="s">
        <v>179</v>
      </c>
      <c r="C12" s="1"/>
      <c r="D12" s="10">
        <f>reliance!D17</f>
        <v>50832</v>
      </c>
      <c r="E12" s="1"/>
      <c r="F12" s="4" t="s">
        <v>180</v>
      </c>
      <c r="G12" s="1"/>
      <c r="H12" s="1"/>
      <c r="I12" s="4" t="s">
        <v>181</v>
      </c>
      <c r="J12" s="12">
        <v>-17837</v>
      </c>
      <c r="K12" s="12">
        <v>42121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182</v>
      </c>
      <c r="C13" s="1"/>
      <c r="D13" s="4">
        <v>0</v>
      </c>
      <c r="E13" s="1"/>
      <c r="F13" s="1"/>
      <c r="G13" s="1"/>
      <c r="H13" s="1"/>
      <c r="I13" s="4" t="s">
        <v>183</v>
      </c>
      <c r="J13" s="12">
        <v>3134</v>
      </c>
      <c r="K13" s="12">
        <v>146062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 t="s">
        <v>55</v>
      </c>
      <c r="C14" s="1"/>
      <c r="D14" s="10">
        <f>-139967</f>
        <v>-139967</v>
      </c>
      <c r="E14" s="1"/>
      <c r="F14" s="4" t="s">
        <v>184</v>
      </c>
      <c r="G14" s="1"/>
      <c r="H14" s="1"/>
      <c r="I14" s="4" t="s">
        <v>185</v>
      </c>
      <c r="J14" s="12">
        <v>38427</v>
      </c>
      <c r="K14" s="12">
        <f>110631+4903+186789</f>
        <v>302323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75</v>
      </c>
      <c r="C15" s="1"/>
      <c r="D15" s="13">
        <f>-17837+3134+38427</f>
        <v>23724</v>
      </c>
      <c r="E15" s="1"/>
      <c r="F15" s="4" t="s">
        <v>186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/>
      <c r="B16" s="4" t="s">
        <v>187</v>
      </c>
      <c r="C16" s="1"/>
      <c r="D16" s="13">
        <v>24624</v>
      </c>
      <c r="E16" s="1"/>
      <c r="F16" s="4" t="s">
        <v>188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4" t="s">
        <v>189</v>
      </c>
      <c r="C18" s="1"/>
      <c r="D18" s="10">
        <f>sum(D11:D16)</f>
        <v>37846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/>
      <c r="B21" s="4" t="s">
        <v>125</v>
      </c>
      <c r="C21" s="1"/>
      <c r="D21" s="10">
        <f>reliance!D21</f>
        <v>127458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4" t="s">
        <v>190</v>
      </c>
      <c r="C22" s="1"/>
      <c r="D22" s="14">
        <f>reliance!D44</f>
        <v>0.2463772283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4" t="s">
        <v>191</v>
      </c>
      <c r="C23" s="1"/>
      <c r="D23" s="15">
        <f>D21* ( 1-D22)</f>
        <v>96055.251239999998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4" t="s">
        <v>192</v>
      </c>
      <c r="C24" s="1"/>
      <c r="D24" s="10">
        <f>reliance!D17</f>
        <v>50832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4" t="s">
        <v>193</v>
      </c>
      <c r="C25" s="1"/>
      <c r="D25" s="4"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4" t="s">
        <v>55</v>
      </c>
      <c r="C26" s="1"/>
      <c r="D26" s="10">
        <f t="shared" ref="D26:D27" si="0">D14</f>
        <v>-139967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4" t="s">
        <v>194</v>
      </c>
      <c r="C27" s="1"/>
      <c r="D27" s="10">
        <f t="shared" si="0"/>
        <v>23724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4" t="s">
        <v>133</v>
      </c>
      <c r="C29" s="1"/>
      <c r="D29" s="10">
        <f>sum(D23:D27)</f>
        <v>30644.251240000001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 t="s">
        <v>173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4" t="s">
        <v>195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4" t="s">
        <v>196</v>
      </c>
      <c r="C37" s="4">
        <v>3.7999999999999998</v>
      </c>
      <c r="D37" s="4" t="s">
        <v>197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4" t="s">
        <v>198</v>
      </c>
      <c r="C38" s="4">
        <v>5.6699999999999999</v>
      </c>
      <c r="D38" s="4" t="s">
        <v>199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4" t="s">
        <v>200</v>
      </c>
      <c r="C39" s="4" t="s">
        <v>201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4" t="s">
        <v>202</v>
      </c>
      <c r="C42" s="4">
        <v>0.68999999999999995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4" t="s">
        <v>203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 t="s">
        <v>174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" t="s">
        <v>204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4" t="s">
        <v>205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 t="s">
        <v>206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4" t="s">
        <v>207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2" topLeftCell="C3" activePane="bottomRight" state="frozen"/>
      <selection activeCell="C3" activeCellId="0" sqref="C3"/>
    </sheetView>
  </sheetViews>
  <sheetFormatPr defaultColWidth="12.630000000000001" defaultRowHeight="15.75" customHeight="1"/>
  <cols>
    <col customWidth="1" min="1" max="1" width="19.129999999999999"/>
    <col customWidth="1" min="2" max="2" width="28"/>
    <col customWidth="1" min="4" max="4" width="17.5"/>
    <col customWidth="1" min="5" max="5" width="18.879999999999999"/>
  </cols>
  <sheetData>
    <row r="1">
      <c r="A1" s="16" t="s">
        <v>208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4"/>
      <c r="B2" s="4"/>
      <c r="C2" s="1"/>
      <c r="D2" s="3">
        <v>2024</v>
      </c>
      <c r="E2" s="3">
        <v>2025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4"/>
      <c r="B3" s="4" t="s">
        <v>209</v>
      </c>
      <c r="C3" s="1"/>
      <c r="D3" s="13">
        <v>1000122</v>
      </c>
      <c r="E3" s="13">
        <v>1071174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4"/>
      <c r="B4" s="4" t="s">
        <v>210</v>
      </c>
      <c r="C4" s="1"/>
      <c r="D4" s="13">
        <v>85650</v>
      </c>
      <c r="E4" s="13">
        <v>91038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/>
      <c r="B5" s="3" t="s">
        <v>211</v>
      </c>
      <c r="C5" s="2"/>
      <c r="D5" s="18">
        <f t="shared" ref="D5:E5" si="1">D3-D4</f>
        <v>914472</v>
      </c>
      <c r="E5" s="18">
        <f t="shared" si="1"/>
        <v>980136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4" t="s">
        <v>212</v>
      </c>
      <c r="C6" s="1"/>
      <c r="D6" s="13">
        <v>16057</v>
      </c>
      <c r="E6" s="13">
        <v>17978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4"/>
      <c r="B9" s="4" t="s">
        <v>213</v>
      </c>
      <c r="C9" s="1"/>
      <c r="D9" s="13">
        <v>400345</v>
      </c>
      <c r="E9" s="13">
        <v>422127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4"/>
      <c r="B10" s="4" t="s">
        <v>214</v>
      </c>
      <c r="C10" s="1"/>
      <c r="D10" s="13">
        <v>189881</v>
      </c>
      <c r="E10" s="13">
        <v>222686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4"/>
      <c r="B11" s="4" t="s">
        <v>215</v>
      </c>
      <c r="C11" s="1"/>
      <c r="D11" s="13">
        <v>-4883</v>
      </c>
      <c r="E11" s="13">
        <v>-15124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2"/>
      <c r="B12" s="3" t="s">
        <v>216</v>
      </c>
      <c r="C12" s="2"/>
      <c r="D12" s="19">
        <f t="shared" ref="D12:E12" si="2">sum(D9:D11)</f>
        <v>585343</v>
      </c>
      <c r="E12" s="19">
        <f t="shared" si="2"/>
        <v>629689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3" t="s">
        <v>217</v>
      </c>
      <c r="C13" s="2"/>
      <c r="D13" s="19">
        <f t="shared" ref="D13:E13" si="3">D5-D12</f>
        <v>329129</v>
      </c>
      <c r="E13" s="19">
        <f t="shared" si="3"/>
        <v>350447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/>
      <c r="B14" s="4" t="s">
        <v>218</v>
      </c>
      <c r="C14" s="1"/>
      <c r="D14" s="13">
        <v>13408</v>
      </c>
      <c r="E14" s="13">
        <v>15443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4" t="s">
        <v>219</v>
      </c>
      <c r="C15" s="1"/>
      <c r="D15" s="13">
        <v>25679</v>
      </c>
      <c r="E15" s="13">
        <v>28559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4" t="s">
        <v>220</v>
      </c>
      <c r="B16" s="4" t="s">
        <v>221</v>
      </c>
      <c r="C16" s="1"/>
      <c r="D16" s="13">
        <v>23118</v>
      </c>
      <c r="E16" s="13">
        <v>24269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4" t="s">
        <v>192</v>
      </c>
      <c r="C17" s="1"/>
      <c r="D17" s="13">
        <v>50832</v>
      </c>
      <c r="E17" s="13">
        <v>53136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4" t="s">
        <v>222</v>
      </c>
      <c r="C18" s="1"/>
      <c r="D18" s="13">
        <v>127809</v>
      </c>
      <c r="E18" s="13">
        <v>141001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3"/>
      <c r="B19" s="3" t="s">
        <v>223</v>
      </c>
      <c r="C19" s="2"/>
      <c r="D19" s="18">
        <f t="shared" ref="D19:E19" si="4">D12+D14+D15+D18</f>
        <v>752239</v>
      </c>
      <c r="E19" s="18">
        <f t="shared" si="4"/>
        <v>814692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3" t="s">
        <v>224</v>
      </c>
      <c r="C20" s="2"/>
      <c r="D20" s="18">
        <f t="shared" ref="D20:E20" si="5">D5+D6-D19</f>
        <v>178290</v>
      </c>
      <c r="E20" s="18">
        <f t="shared" si="5"/>
        <v>183422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3" t="s">
        <v>225</v>
      </c>
      <c r="C21" s="2"/>
      <c r="D21" s="18">
        <f t="shared" ref="D21:E21" si="6">D20-D17</f>
        <v>127458</v>
      </c>
      <c r="E21" s="18">
        <f t="shared" si="6"/>
        <v>130286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3" t="s">
        <v>226</v>
      </c>
      <c r="C22" s="2"/>
      <c r="D22" s="18">
        <f t="shared" ref="D22:E22" si="7">D20-D16-D17</f>
        <v>104340</v>
      </c>
      <c r="E22" s="18">
        <f t="shared" si="7"/>
        <v>106017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"/>
      <c r="B23" s="4" t="s">
        <v>227</v>
      </c>
      <c r="C23" s="1"/>
      <c r="D23" s="1">
        <f>13590+12117</f>
        <v>25707</v>
      </c>
      <c r="E23" s="1">
        <f>12758+12472</f>
        <v>25230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2"/>
      <c r="B24" s="3" t="s">
        <v>228</v>
      </c>
      <c r="C24" s="2"/>
      <c r="D24" s="18">
        <f t="shared" ref="D24:E24" si="8">D22-D23</f>
        <v>78633</v>
      </c>
      <c r="E24" s="18">
        <f t="shared" si="8"/>
        <v>80787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4" t="s">
        <v>229</v>
      </c>
      <c r="C26" s="1"/>
      <c r="D26" s="4">
        <v>387</v>
      </c>
      <c r="E26" s="4">
        <v>522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4" t="s">
        <v>230</v>
      </c>
      <c r="C27" s="1"/>
      <c r="D27" s="10">
        <f t="shared" ref="D27:E27" si="9">D26+D24</f>
        <v>79020</v>
      </c>
      <c r="E27" s="10">
        <f t="shared" si="9"/>
        <v>81309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4" t="s">
        <v>231</v>
      </c>
      <c r="B29" s="4" t="s">
        <v>232</v>
      </c>
      <c r="C29" s="1"/>
      <c r="D29" s="4">
        <v>3669</v>
      </c>
      <c r="E29" s="4">
        <v>-2436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4" t="s">
        <v>233</v>
      </c>
      <c r="C31" s="1"/>
      <c r="D31" s="10">
        <f t="shared" ref="D31:E31" si="10">D27+D29</f>
        <v>82689</v>
      </c>
      <c r="E31" s="10">
        <f t="shared" si="10"/>
        <v>78873</v>
      </c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4" t="s">
        <v>234</v>
      </c>
      <c r="C32" s="1"/>
      <c r="D32" s="13">
        <v>73188</v>
      </c>
      <c r="E32" s="13">
        <v>67215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4" t="s">
        <v>235</v>
      </c>
      <c r="B33" s="4" t="s">
        <v>236</v>
      </c>
      <c r="C33" s="1"/>
      <c r="D33" s="13">
        <v>9501</v>
      </c>
      <c r="E33" s="13">
        <v>11658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4" t="s">
        <v>237</v>
      </c>
      <c r="C34" s="1"/>
      <c r="D34" s="10">
        <f t="shared" ref="D34:E34" si="11">D31* 10000000/D35</f>
        <v>16071720117</v>
      </c>
      <c r="E34" s="10">
        <f t="shared" si="11"/>
        <v>15324072275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4" t="s">
        <v>238</v>
      </c>
      <c r="C35" s="1"/>
      <c r="D35" s="20">
        <v>51.450000000000003</v>
      </c>
      <c r="E35" s="20">
        <v>51.469999999999999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0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>
      <c r="A39" s="4" t="s">
        <v>239</v>
      </c>
      <c r="B39" s="4" t="s">
        <v>240</v>
      </c>
      <c r="C39" s="1"/>
      <c r="D39" s="10">
        <f t="shared" ref="D39:E39" si="12">D5-D12</f>
        <v>329129</v>
      </c>
      <c r="E39" s="10">
        <f t="shared" si="12"/>
        <v>350447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4" t="s">
        <v>241</v>
      </c>
      <c r="C40" s="1"/>
      <c r="D40" s="1"/>
      <c r="E40" s="14">
        <f>E24/D24 - 1</f>
        <v>0.02739307924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4" t="s">
        <v>242</v>
      </c>
      <c r="B41" s="4" t="s">
        <v>125</v>
      </c>
      <c r="C41" s="1"/>
      <c r="D41" s="10">
        <f t="shared" ref="D41:E41" si="13">D21</f>
        <v>127458</v>
      </c>
      <c r="E41" s="10">
        <f t="shared" si="13"/>
        <v>130286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4" t="s">
        <v>243</v>
      </c>
      <c r="C42" s="1"/>
      <c r="D42" s="14">
        <f t="shared" ref="D42:E42" si="14">D20/D5</f>
        <v>0.1949649634</v>
      </c>
      <c r="E42" s="14">
        <f t="shared" si="14"/>
        <v>0.1871393358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4" t="s">
        <v>244</v>
      </c>
      <c r="C43" s="1"/>
      <c r="D43" s="1"/>
      <c r="E43" s="14">
        <f>E20/D20 - 1</f>
        <v>0.028784564469999999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4" t="s">
        <v>190</v>
      </c>
      <c r="C44" s="1"/>
      <c r="D44" s="14">
        <f t="shared" ref="D44:E44" si="15">D23/D22</f>
        <v>0.2463772283</v>
      </c>
      <c r="E44" s="14">
        <f t="shared" si="15"/>
        <v>0.23798070120000001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22" t="s">
        <v>67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4" t="s">
        <v>245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4" t="s">
        <v>246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4" t="s">
        <v>247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4" t="s">
        <v>248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4" t="s">
        <v>249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4" t="s">
        <v>250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4" t="s">
        <v>251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4" t="s">
        <v>252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4" t="s">
        <v>253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4" t="s">
        <v>254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4" t="s">
        <v>255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4" t="s">
        <v>256</v>
      </c>
      <c r="C61" s="1"/>
      <c r="D61" s="4">
        <v>31628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4" t="s">
        <v>257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4" t="s">
        <v>258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4" t="s">
        <v>259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4" t="s">
        <v>260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4" t="s">
        <v>261</v>
      </c>
      <c r="B67" s="4" t="s">
        <v>63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4" t="s">
        <v>262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4" t="s">
        <v>263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4" t="s">
        <v>264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4" t="s">
        <v>265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4" t="s">
        <v>266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4" t="s">
        <v>267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4" t="s">
        <v>268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22" t="s">
        <v>172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4" t="s">
        <v>269</v>
      </c>
      <c r="B83" s="3" t="s">
        <v>270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4" t="s">
        <v>271</v>
      </c>
      <c r="B85" s="4" t="s">
        <v>272</v>
      </c>
      <c r="C85" s="1"/>
      <c r="D85" s="13">
        <v>104727</v>
      </c>
      <c r="E85" s="1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 t="str">
        <f>AA24</f>
        <v/>
      </c>
    </row>
    <row r="86">
      <c r="A86" s="4"/>
      <c r="B86" s="4" t="s">
        <v>192</v>
      </c>
      <c r="C86" s="1"/>
      <c r="D86" s="13"/>
      <c r="E86" s="1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4"/>
      <c r="B87" s="4" t="s">
        <v>273</v>
      </c>
      <c r="C87" s="1"/>
      <c r="D87" s="13"/>
      <c r="E87" s="1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4"/>
      <c r="B88" s="4" t="s">
        <v>274</v>
      </c>
      <c r="C88" s="1"/>
      <c r="D88" s="13"/>
      <c r="E88" s="1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4"/>
      <c r="B89" s="4" t="s">
        <v>275</v>
      </c>
      <c r="C89" s="1"/>
      <c r="D89" s="13"/>
      <c r="E89" s="1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4"/>
      <c r="B90" s="4"/>
      <c r="C90" s="1"/>
      <c r="D90" s="13"/>
      <c r="E90" s="1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4" t="s">
        <v>276</v>
      </c>
      <c r="B91" s="4" t="s">
        <v>277</v>
      </c>
      <c r="C91" s="1"/>
      <c r="D91" s="13">
        <v>15674</v>
      </c>
      <c r="E91" s="1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4"/>
      <c r="B92" s="4" t="s">
        <v>278</v>
      </c>
      <c r="C92" s="1"/>
      <c r="D92" s="13"/>
      <c r="E92" s="1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4"/>
      <c r="B93" s="4" t="s">
        <v>279</v>
      </c>
      <c r="C93" s="1"/>
      <c r="D93" s="13"/>
      <c r="E93" s="1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4"/>
      <c r="C94" s="1"/>
      <c r="D94" s="10"/>
      <c r="E94" s="1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4"/>
      <c r="B95" s="4"/>
      <c r="C95" s="1"/>
      <c r="D95" s="13"/>
      <c r="E95" s="1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4"/>
      <c r="B96" s="4"/>
      <c r="C96" s="1"/>
      <c r="D96" s="13"/>
      <c r="E96" s="1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4"/>
      <c r="C97" s="1"/>
      <c r="D97" s="13"/>
      <c r="E97" s="1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4"/>
      <c r="B98" s="3" t="s">
        <v>280</v>
      </c>
      <c r="C98" s="1"/>
      <c r="D98" s="13"/>
      <c r="E98" s="1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4" t="s">
        <v>75</v>
      </c>
      <c r="C99" s="1"/>
      <c r="D99" s="10"/>
      <c r="E99" s="1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4" t="s">
        <v>281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4" t="s">
        <v>282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4" t="s">
        <v>283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4" t="s">
        <v>284</v>
      </c>
      <c r="B103" s="4" t="s">
        <v>285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4" t="s">
        <v>286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3" t="s">
        <v>287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4" t="s">
        <v>34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4" t="s">
        <v>288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4" t="s">
        <v>289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4" t="s">
        <v>290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4" t="s">
        <v>291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4" t="s">
        <v>40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4" t="s">
        <v>292</v>
      </c>
      <c r="B119" s="4" t="s">
        <v>293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1" max="1" width="25.5"/>
    <col customWidth="1" min="2" max="2" width="16.379999999999999"/>
    <col customWidth="1" min="3" max="3" width="18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4" t="s">
        <v>294</v>
      </c>
      <c r="C3" s="4" t="s">
        <v>295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4" t="s">
        <v>296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4"/>
      <c r="B6" s="4"/>
      <c r="C6" s="1"/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4"/>
      <c r="B7" s="4" t="s">
        <v>297</v>
      </c>
      <c r="C7" s="1"/>
      <c r="D7" s="4" t="s">
        <v>298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4"/>
      <c r="B8" s="4" t="s">
        <v>299</v>
      </c>
      <c r="C8" s="1"/>
      <c r="D8" s="4" t="s">
        <v>300</v>
      </c>
      <c r="E8" s="1"/>
      <c r="F8" s="1"/>
      <c r="G8" s="1"/>
      <c r="H8" s="1"/>
      <c r="I8" s="1"/>
      <c r="J8" s="1"/>
      <c r="K8" s="1"/>
      <c r="L8" s="1"/>
      <c r="M8" s="1"/>
      <c r="N8" s="4" t="s">
        <v>301</v>
      </c>
      <c r="O8" s="4">
        <v>1416.5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4"/>
      <c r="B9" s="4" t="s">
        <v>302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4" t="s">
        <v>303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4"/>
      <c r="B10" s="4" t="s">
        <v>304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 t="s">
        <v>305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4" t="s">
        <v>306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4" t="s">
        <v>307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3" t="s">
        <v>308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4" t="s">
        <v>309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3" t="s">
        <v>310</v>
      </c>
      <c r="B14" s="4" t="s">
        <v>311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1" t="s">
        <v>312</v>
      </c>
      <c r="C15" s="11" t="s">
        <v>313</v>
      </c>
      <c r="D15" s="24"/>
      <c r="E15" s="1"/>
      <c r="F15" s="1"/>
      <c r="G15" s="1"/>
      <c r="H15" s="1"/>
      <c r="I15" s="1"/>
      <c r="J15" s="1"/>
      <c r="K15" s="1"/>
      <c r="L15" s="1"/>
      <c r="M15" s="4" t="s">
        <v>314</v>
      </c>
      <c r="N15" s="4" t="s">
        <v>34</v>
      </c>
      <c r="O15" s="13">
        <f>236899+110631</f>
        <v>347530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25"/>
      <c r="C16" s="25"/>
      <c r="D16" s="1"/>
      <c r="E16" s="1"/>
      <c r="F16" s="1"/>
      <c r="G16" s="1"/>
      <c r="H16" s="1"/>
      <c r="I16" s="1"/>
      <c r="J16" s="1"/>
      <c r="K16" s="1"/>
      <c r="L16" s="1"/>
      <c r="M16" s="1"/>
      <c r="N16" s="4" t="s">
        <v>315</v>
      </c>
      <c r="O16" s="1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4" t="s">
        <v>316</v>
      </c>
      <c r="B17" s="26">
        <v>128521</v>
      </c>
      <c r="C17" s="26">
        <v>150270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4" t="s">
        <v>289</v>
      </c>
      <c r="O17" s="13">
        <v>1009626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4" t="s">
        <v>317</v>
      </c>
      <c r="B18" s="26">
        <v>109558</v>
      </c>
      <c r="C18" s="26">
        <v>128218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4" t="s">
        <v>318</v>
      </c>
      <c r="B19" s="26">
        <f t="shared" ref="B19:C19" si="16">B18-B20</f>
        <v>54599</v>
      </c>
      <c r="C19" s="26">
        <f t="shared" si="16"/>
        <v>64048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4" t="s">
        <v>319</v>
      </c>
      <c r="O19" s="4">
        <v>24624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4" t="s">
        <v>320</v>
      </c>
      <c r="B20" s="26">
        <v>54959</v>
      </c>
      <c r="C20" s="26">
        <v>64170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4" t="s">
        <v>243</v>
      </c>
      <c r="B21" s="27">
        <f t="shared" ref="B21:C21" si="17">B20/B18</f>
        <v>0.50164296539999997</v>
      </c>
      <c r="C21" s="27">
        <f t="shared" si="17"/>
        <v>0.50047575219999996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4" t="s">
        <v>321</v>
      </c>
      <c r="B22" s="26">
        <v>22103</v>
      </c>
      <c r="C22" s="26">
        <v>24138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4" t="s">
        <v>221</v>
      </c>
      <c r="B23" s="26">
        <v>4048</v>
      </c>
      <c r="C23" s="26">
        <v>4905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4" t="s">
        <v>322</v>
      </c>
      <c r="B24" s="26">
        <v>7374</v>
      </c>
      <c r="C24" s="26">
        <v>9007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3" t="s">
        <v>323</v>
      </c>
      <c r="B25" s="26">
        <f t="shared" ref="B25:C25" si="18">B20-B22-B23-B24</f>
        <v>21434</v>
      </c>
      <c r="C25" s="26">
        <f t="shared" si="18"/>
        <v>26120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25"/>
      <c r="C26" s="2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4" t="s">
        <v>241</v>
      </c>
      <c r="B27" s="25"/>
      <c r="C27" s="28">
        <f>C25/B25 - 1</f>
        <v>0.2186246151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4" t="s">
        <v>244</v>
      </c>
      <c r="B28" s="25"/>
      <c r="C28" s="28">
        <f>C20/B20 - 1</f>
        <v>0.16759766370000001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4" t="s">
        <v>324</v>
      </c>
      <c r="B29" s="28">
        <f t="shared" ref="B29:C29" si="19">B25/B17</f>
        <v>0.1667743015</v>
      </c>
      <c r="C29" s="28">
        <f t="shared" si="19"/>
        <v>0.1738204565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5"/>
      <c r="C30" s="2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5"/>
      <c r="C31" s="2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5"/>
      <c r="C32" s="2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4" t="s">
        <v>325</v>
      </c>
      <c r="B33" s="25">
        <v>481.80000000000001</v>
      </c>
      <c r="C33" s="25">
        <v>488.19999999999999</v>
      </c>
      <c r="D33" s="1">
        <f>C33-B33</f>
        <v>6.4000000000000004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4" t="s">
        <v>326</v>
      </c>
      <c r="B34" s="25">
        <v>181.69999999999999</v>
      </c>
      <c r="C34" s="25">
        <v>206.19999999999999</v>
      </c>
      <c r="D34" s="4" t="s">
        <v>327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4" t="s">
        <v>328</v>
      </c>
      <c r="B35" s="26">
        <f t="shared" ref="B35:C35" si="20">B33*B34*1000000</f>
        <v>87543060000</v>
      </c>
      <c r="C35" s="26">
        <f t="shared" si="20"/>
        <v>100666840000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4" t="s">
        <v>329</v>
      </c>
      <c r="B36" s="25"/>
      <c r="C36" s="2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4" t="s">
        <v>330</v>
      </c>
      <c r="B37" s="25"/>
      <c r="C37" s="2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4" t="s">
        <v>331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3" t="s">
        <v>332</v>
      </c>
      <c r="B43" s="4" t="s">
        <v>333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3" t="s">
        <v>312</v>
      </c>
      <c r="C44" s="3" t="s">
        <v>313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4" t="s">
        <v>334</v>
      </c>
      <c r="B46" s="4">
        <v>306786</v>
      </c>
      <c r="C46" s="4">
        <v>330870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4" t="s">
        <v>335</v>
      </c>
      <c r="B47" s="4">
        <v>273079</v>
      </c>
      <c r="C47" s="4">
        <v>290979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4" t="s">
        <v>224</v>
      </c>
      <c r="B48" s="4">
        <v>23066</v>
      </c>
      <c r="C48" s="4">
        <v>25053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4" t="s">
        <v>336</v>
      </c>
      <c r="B49" s="4">
        <v>11127</v>
      </c>
      <c r="C49" s="4">
        <v>12388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4" t="s">
        <v>244</v>
      </c>
      <c r="B51" s="1"/>
      <c r="C51" s="14">
        <f t="shared" ref="C51:C52" si="21">C48/B48 - 1</f>
        <v>0.086144108210000001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4" t="s">
        <v>241</v>
      </c>
      <c r="B52" s="1"/>
      <c r="C52" s="14">
        <f t="shared" si="21"/>
        <v>0.113327941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4" t="s">
        <v>337</v>
      </c>
      <c r="B56" s="4">
        <v>18836</v>
      </c>
      <c r="C56" s="4">
        <v>19340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4" t="s">
        <v>338</v>
      </c>
      <c r="B57" s="4">
        <v>79.099999999999994</v>
      </c>
      <c r="C57" s="4">
        <v>77.400000000000006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4" t="s">
        <v>339</v>
      </c>
      <c r="B58" s="4">
        <v>304</v>
      </c>
      <c r="C58" s="4">
        <v>349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4" t="s">
        <v>340</v>
      </c>
      <c r="B59" s="4">
        <v>1260</v>
      </c>
      <c r="C59" s="4">
        <v>1393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4" t="s">
        <v>341</v>
      </c>
      <c r="B63" s="4" t="s">
        <v>342</v>
      </c>
      <c r="C63" s="1"/>
      <c r="D63" s="4" t="s">
        <v>343</v>
      </c>
      <c r="E63" s="4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4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3" t="s">
        <v>344</v>
      </c>
      <c r="B68" s="4" t="s">
        <v>345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3" t="s">
        <v>312</v>
      </c>
      <c r="C69" s="3" t="s">
        <v>313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4" t="s">
        <v>209</v>
      </c>
      <c r="B70" s="13">
        <v>564749</v>
      </c>
      <c r="C70" s="13">
        <v>626921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4" t="s">
        <v>346</v>
      </c>
      <c r="B71" s="13">
        <v>299629</v>
      </c>
      <c r="C71" s="13">
        <v>283515</v>
      </c>
      <c r="D71" s="29" t="s">
        <v>347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4" t="s">
        <v>224</v>
      </c>
      <c r="B72" s="13">
        <v>62389</v>
      </c>
      <c r="C72" s="13">
        <v>54988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4" t="s">
        <v>348</v>
      </c>
      <c r="B73" s="4">
        <v>11</v>
      </c>
      <c r="C73" s="4">
        <v>8.8000000000000007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4" t="s">
        <v>349</v>
      </c>
      <c r="B74" s="13">
        <v>8776</v>
      </c>
      <c r="C74" s="13">
        <v>7731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29" t="s">
        <v>350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29" t="s">
        <v>351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4" t="s">
        <v>352</v>
      </c>
      <c r="B80" s="4">
        <v>78.200000000000003</v>
      </c>
      <c r="C80" s="4">
        <v>80.5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4" t="s">
        <v>353</v>
      </c>
      <c r="B81" s="4">
        <v>67.799999999999997</v>
      </c>
      <c r="C81" s="4">
        <v>71.200000000000003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4" t="s">
        <v>354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4" t="s">
        <v>355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4" t="s">
        <v>356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4" t="s">
        <v>357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4" t="s">
        <v>358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3" t="s">
        <v>359</v>
      </c>
      <c r="B90" s="4" t="s">
        <v>360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1" t="s">
        <v>312</v>
      </c>
      <c r="C92" s="11" t="s">
        <v>313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4" t="s">
        <v>209</v>
      </c>
      <c r="B93" s="13">
        <v>24439</v>
      </c>
      <c r="C93" s="13">
        <v>25211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4" t="s">
        <v>224</v>
      </c>
      <c r="B94" s="13">
        <v>20191</v>
      </c>
      <c r="C94" s="13">
        <v>21188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4" t="s">
        <v>361</v>
      </c>
      <c r="B95" s="4">
        <v>82.599999999999994</v>
      </c>
      <c r="C95" s="4">
        <v>84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4" t="s">
        <v>362</v>
      </c>
      <c r="B96" s="13">
        <v>5360</v>
      </c>
      <c r="C96" s="13">
        <v>5348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3" t="s">
        <v>363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1" t="s">
        <v>312</v>
      </c>
      <c r="C101" s="11" t="s">
        <v>313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4" t="s">
        <v>364</v>
      </c>
      <c r="B102" s="1"/>
      <c r="C102" s="12">
        <v>10006</v>
      </c>
      <c r="D102" s="1"/>
      <c r="E102" s="1"/>
      <c r="F102" s="4" t="s">
        <v>365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4" t="s">
        <v>366</v>
      </c>
      <c r="B103" s="1"/>
      <c r="C103" s="12">
        <v>9497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4" t="s">
        <v>318</v>
      </c>
      <c r="B104" s="1"/>
      <c r="C104" s="12">
        <f>C103-C105</f>
        <v>8723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4" t="s">
        <v>224</v>
      </c>
      <c r="B105" s="1"/>
      <c r="C105" s="12">
        <v>774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4" t="s">
        <v>243</v>
      </c>
      <c r="B106" s="1"/>
      <c r="C106" s="30">
        <f>C105/C102</f>
        <v>0.077353587850000002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4" t="s">
        <v>349</v>
      </c>
      <c r="B107" s="1"/>
      <c r="C107" s="12">
        <v>330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4" t="s">
        <v>367</v>
      </c>
      <c r="B108" s="1"/>
      <c r="C108" s="12">
        <v>201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4" t="s">
        <v>368</v>
      </c>
      <c r="B109" s="1"/>
      <c r="C109" s="12">
        <v>14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4" t="s">
        <v>369</v>
      </c>
      <c r="B110" s="1"/>
      <c r="C110" s="31">
        <f>C105-sum(C107:C109)</f>
        <v>229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4"/>
      <c r="B111" s="1"/>
      <c r="C111" s="10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4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</sheetData>
  <hyperlinks>
    <hyperlink r:id="rId1" ref="B1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2" max="2" width="18"/>
    <col customWidth="1" min="9" max="9" width="28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370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 t="s">
        <v>371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B4" s="1"/>
      <c r="C4" s="1"/>
      <c r="D4" s="1"/>
      <c r="E4" s="1"/>
      <c r="F4" s="1"/>
      <c r="G4" s="1"/>
      <c r="H4" s="3" t="s">
        <v>372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4" t="s">
        <v>373</v>
      </c>
      <c r="J5" s="4">
        <v>26485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374</v>
      </c>
      <c r="C6" s="4" t="s">
        <v>375</v>
      </c>
      <c r="D6" s="1"/>
      <c r="E6" s="1"/>
      <c r="F6" s="1"/>
      <c r="G6" s="1"/>
      <c r="H6" s="1"/>
      <c r="I6" s="4" t="s">
        <v>376</v>
      </c>
      <c r="J6" s="4">
        <v>18363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 t="s">
        <v>377</v>
      </c>
      <c r="B7" s="1"/>
      <c r="C7" s="1"/>
      <c r="D7" s="1"/>
      <c r="E7" s="1"/>
      <c r="F7" s="1"/>
      <c r="G7" s="1"/>
      <c r="H7" s="1"/>
      <c r="I7" s="3" t="s">
        <v>378</v>
      </c>
      <c r="J7" s="2">
        <f>J5-J6</f>
        <v>8122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4" t="s">
        <v>379</v>
      </c>
      <c r="I8" s="4" t="s">
        <v>380</v>
      </c>
      <c r="J8" s="4">
        <v>3575</v>
      </c>
      <c r="K8" s="4" t="s">
        <v>381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3">
        <v>2022</v>
      </c>
      <c r="D9" s="2">
        <f t="shared" ref="D9:E9" si="22">C9-1</f>
        <v>2021</v>
      </c>
      <c r="E9" s="2">
        <f t="shared" si="22"/>
        <v>2020</v>
      </c>
      <c r="F9" s="2"/>
      <c r="G9" s="1"/>
      <c r="H9" s="1"/>
      <c r="I9" s="4" t="s">
        <v>382</v>
      </c>
      <c r="J9" s="4">
        <v>444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4" t="s">
        <v>383</v>
      </c>
      <c r="J10" s="4">
        <v>469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272</v>
      </c>
      <c r="C11" s="4">
        <v>2368</v>
      </c>
      <c r="D11" s="4">
        <v>1024</v>
      </c>
      <c r="E11" s="4">
        <v>361</v>
      </c>
      <c r="F11" s="1"/>
      <c r="G11" s="1"/>
      <c r="H11" s="1"/>
      <c r="I11" s="3" t="s">
        <v>384</v>
      </c>
      <c r="J11" s="2">
        <f>J7-sum(J8:J10)</f>
        <v>3634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" t="s">
        <v>192</v>
      </c>
      <c r="C12" s="4">
        <v>933</v>
      </c>
      <c r="D12" s="4">
        <v>910</v>
      </c>
      <c r="E12" s="4">
        <v>969</v>
      </c>
      <c r="F12" s="1"/>
      <c r="G12" s="1"/>
      <c r="H12" s="1"/>
      <c r="I12" s="4" t="s">
        <v>385</v>
      </c>
      <c r="J12" s="4">
        <v>-921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382</v>
      </c>
      <c r="C13" s="4">
        <v>913</v>
      </c>
      <c r="D13" s="4">
        <v>1634</v>
      </c>
      <c r="E13" s="4">
        <v>3399</v>
      </c>
      <c r="F13" s="1"/>
      <c r="G13" s="1"/>
      <c r="H13" s="1"/>
      <c r="I13" s="4" t="s">
        <v>222</v>
      </c>
      <c r="J13" s="4">
        <f>253</f>
        <v>253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 t="s">
        <v>386</v>
      </c>
      <c r="C14" s="2">
        <f t="shared" ref="C14:E18" si="23">sum(C11:C13)</f>
        <v>4214</v>
      </c>
      <c r="D14" s="2">
        <f t="shared" si="23"/>
        <v>3568</v>
      </c>
      <c r="E14" s="2">
        <f t="shared" si="23"/>
        <v>4729</v>
      </c>
      <c r="F14" s="1"/>
      <c r="G14" s="1"/>
      <c r="H14" s="1"/>
      <c r="I14" s="4" t="s">
        <v>387</v>
      </c>
      <c r="J14" s="1">
        <f>J11+J12+J13</f>
        <v>2966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 t="s">
        <v>388</v>
      </c>
      <c r="B15" s="4" t="s">
        <v>55</v>
      </c>
      <c r="C15" s="4">
        <v>916</v>
      </c>
      <c r="D15" s="4">
        <v>905</v>
      </c>
      <c r="E15" s="4">
        <v>596</v>
      </c>
      <c r="F15" s="1"/>
      <c r="G15" s="4" t="s">
        <v>389</v>
      </c>
      <c r="H15" s="1"/>
      <c r="I15" s="4" t="s">
        <v>390</v>
      </c>
      <c r="J15" s="4">
        <v>598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 t="s">
        <v>391</v>
      </c>
      <c r="C16" s="4">
        <v>481</v>
      </c>
      <c r="D16" s="4">
        <v>74</v>
      </c>
      <c r="E16" s="4">
        <v>0</v>
      </c>
      <c r="F16" s="1"/>
      <c r="G16" s="1"/>
      <c r="H16" s="1"/>
      <c r="I16" s="3" t="s">
        <v>177</v>
      </c>
      <c r="J16" s="2">
        <f>J14-J15</f>
        <v>2368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4" t="s">
        <v>392</v>
      </c>
      <c r="C17" s="4">
        <v>-88</v>
      </c>
      <c r="D17" s="4">
        <v>-5014</v>
      </c>
      <c r="E17" s="4">
        <v>0</v>
      </c>
      <c r="F17" s="1"/>
      <c r="G17" s="1"/>
      <c r="H17" s="1"/>
      <c r="I17" s="4" t="s">
        <v>393</v>
      </c>
      <c r="J17" s="4">
        <v>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 t="s">
        <v>394</v>
      </c>
      <c r="C18" s="2">
        <f t="shared" si="23"/>
        <v>1309</v>
      </c>
      <c r="D18" s="2">
        <f t="shared" si="23"/>
        <v>-4035</v>
      </c>
      <c r="E18" s="2">
        <f t="shared" si="23"/>
        <v>596</v>
      </c>
      <c r="F18" s="1"/>
      <c r="G18" s="1"/>
      <c r="H18" s="1"/>
      <c r="I18" s="4" t="s">
        <v>395</v>
      </c>
      <c r="J18" s="1">
        <f>J16-J17</f>
        <v>2363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 t="s">
        <v>396</v>
      </c>
      <c r="B19" s="4" t="s">
        <v>397</v>
      </c>
      <c r="C19" s="4">
        <v>7897</v>
      </c>
      <c r="D19" s="4">
        <v>8994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" t="s">
        <v>398</v>
      </c>
      <c r="C20" s="4">
        <v>9028</v>
      </c>
      <c r="D20" s="4">
        <v>9064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/>
      <c r="B21" s="4" t="s">
        <v>399</v>
      </c>
      <c r="C21" s="4">
        <v>1040</v>
      </c>
      <c r="D21" s="4">
        <v>3445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/>
      <c r="B22" s="4" t="s">
        <v>400</v>
      </c>
      <c r="C22" s="1">
        <f>6+831</f>
        <v>837</v>
      </c>
      <c r="D22" s="1">
        <f>14+740</f>
        <v>754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/>
      <c r="B23" s="3" t="s">
        <v>401</v>
      </c>
      <c r="C23" s="2">
        <f t="shared" ref="C23:D23" si="24">C19-C21-C20+C22</f>
        <v>-1334</v>
      </c>
      <c r="D23" s="2">
        <f t="shared" si="24"/>
        <v>-2761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/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/>
      <c r="B25" s="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/>
      <c r="B26" s="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/>
      <c r="B27" s="4" t="s">
        <v>75</v>
      </c>
      <c r="C27" s="1">
        <f t="shared" ref="C27:E27" si="25">C20-C19</f>
        <v>1131</v>
      </c>
      <c r="D27" s="1">
        <f t="shared" si="25"/>
        <v>70</v>
      </c>
      <c r="E27" s="1">
        <f t="shared" si="25"/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3" t="s">
        <v>402</v>
      </c>
      <c r="C28" s="3">
        <v>228</v>
      </c>
      <c r="D28" s="3">
        <v>0</v>
      </c>
      <c r="E28" s="2">
        <f>3500+4000</f>
        <v>7500</v>
      </c>
      <c r="F28" s="1"/>
      <c r="G28" s="1"/>
      <c r="H28" s="3" t="s">
        <v>172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 t="s">
        <v>403</v>
      </c>
      <c r="C29" s="3">
        <v>1683</v>
      </c>
      <c r="D29" s="2">
        <f>6202+924</f>
        <v>7126</v>
      </c>
      <c r="E29" s="2">
        <f>4697+116+4000</f>
        <v>8813</v>
      </c>
      <c r="F29" s="4">
        <f>10655-E29</f>
        <v>1842</v>
      </c>
      <c r="G29" s="1"/>
      <c r="H29" s="1"/>
      <c r="I29" s="4" t="s">
        <v>404</v>
      </c>
      <c r="J29" s="4">
        <v>1465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4" t="s">
        <v>405</v>
      </c>
      <c r="C30" s="1">
        <f t="shared" ref="C30:E30" si="26">C28-C29</f>
        <v>-1455</v>
      </c>
      <c r="D30" s="1">
        <f t="shared" si="26"/>
        <v>-7126</v>
      </c>
      <c r="E30" s="1">
        <f t="shared" si="26"/>
        <v>-1313</v>
      </c>
      <c r="F30" s="1"/>
      <c r="G30" s="1"/>
      <c r="H30" s="1"/>
      <c r="I30" s="4" t="s">
        <v>406</v>
      </c>
      <c r="J30" s="4"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2" t="s">
        <v>407</v>
      </c>
      <c r="C31" s="2">
        <f t="shared" ref="C31:E31" si="27">C14-C18+C23+C30</f>
        <v>116</v>
      </c>
      <c r="D31" s="2">
        <f t="shared" si="27"/>
        <v>-2284</v>
      </c>
      <c r="E31" s="2">
        <f t="shared" si="27"/>
        <v>2820</v>
      </c>
      <c r="F31" s="1"/>
      <c r="G31" s="1"/>
      <c r="H31" s="4" t="s">
        <v>408</v>
      </c>
      <c r="I31" s="4" t="s">
        <v>104</v>
      </c>
      <c r="J31" s="4">
        <v>10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4">
        <f>8161-7126</f>
        <v>1035</v>
      </c>
      <c r="E32" s="1"/>
      <c r="F32" s="1"/>
      <c r="G32" s="1"/>
      <c r="H32" s="1"/>
      <c r="I32" s="4" t="s">
        <v>409</v>
      </c>
      <c r="J32" s="4">
        <v>228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4" t="s">
        <v>410</v>
      </c>
      <c r="J33" s="4">
        <v>228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4" t="s">
        <v>411</v>
      </c>
      <c r="J34" s="4">
        <v>-1960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4" t="s">
        <v>402</v>
      </c>
      <c r="J35" s="1">
        <f>J32</f>
        <v>228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4" t="s">
        <v>403</v>
      </c>
      <c r="J36" s="1">
        <f>J29-J31+J33</f>
        <v>1683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4" t="s">
        <v>412</v>
      </c>
      <c r="C39" s="4" t="s">
        <v>413</v>
      </c>
      <c r="D39" s="4" t="s">
        <v>414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4"/>
      <c r="C40" s="4" t="s">
        <v>415</v>
      </c>
      <c r="D40" s="4" t="s">
        <v>416</v>
      </c>
      <c r="E40" s="1"/>
      <c r="F40" s="1"/>
      <c r="G40" s="1"/>
      <c r="H40" s="4" t="s">
        <v>417</v>
      </c>
      <c r="I40" s="4">
        <v>10000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4" t="s">
        <v>418</v>
      </c>
      <c r="I41" s="32">
        <v>0.10000000000000001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" t="s">
        <v>133</v>
      </c>
      <c r="C42" s="1"/>
      <c r="D42" s="1"/>
      <c r="E42" s="1"/>
      <c r="F42" s="1"/>
      <c r="G42" s="1"/>
      <c r="H42" s="4" t="s">
        <v>419</v>
      </c>
      <c r="I42" s="4">
        <v>1000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4" t="s">
        <v>417</v>
      </c>
      <c r="C43" s="13">
        <v>3634</v>
      </c>
      <c r="D43" s="13">
        <v>3460</v>
      </c>
      <c r="E43" s="13">
        <v>2128</v>
      </c>
      <c r="F43" s="1"/>
      <c r="G43" s="1"/>
      <c r="H43" s="4" t="s">
        <v>420</v>
      </c>
      <c r="I43" s="1">
        <f>I40* (1-I41)</f>
        <v>9000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4" t="s">
        <v>421</v>
      </c>
      <c r="C44" s="33">
        <f>598/2966</f>
        <v>0.2016183412</v>
      </c>
      <c r="D44" s="34">
        <f>684/1708</f>
        <v>0.40046838410000002</v>
      </c>
      <c r="E44" s="33">
        <f>669/1030</f>
        <v>0.6495145631</v>
      </c>
      <c r="F44" s="4"/>
      <c r="G44" s="4"/>
      <c r="H44" s="4" t="s">
        <v>422</v>
      </c>
      <c r="I44" s="1">
        <f>I40-I42</f>
        <v>9000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4" t="s">
        <v>423</v>
      </c>
      <c r="C45" s="10">
        <f t="shared" ref="C45:E45" si="28">C43*(1-C44)</f>
        <v>2901.3189480000001</v>
      </c>
      <c r="D45" s="10">
        <f t="shared" si="28"/>
        <v>2074.3793909999999</v>
      </c>
      <c r="E45" s="10">
        <f t="shared" si="28"/>
        <v>745.83300970000005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4" t="s">
        <v>192</v>
      </c>
      <c r="C46" s="10">
        <f t="shared" ref="C46:E47" si="29">C12</f>
        <v>933</v>
      </c>
      <c r="D46" s="10">
        <f t="shared" si="29"/>
        <v>910</v>
      </c>
      <c r="E46" s="10">
        <f t="shared" si="29"/>
        <v>969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4" t="s">
        <v>382</v>
      </c>
      <c r="C47" s="10">
        <f t="shared" si="29"/>
        <v>913</v>
      </c>
      <c r="D47" s="10">
        <f t="shared" si="29"/>
        <v>1634</v>
      </c>
      <c r="E47" s="10">
        <f t="shared" si="29"/>
        <v>3399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" t="s">
        <v>55</v>
      </c>
      <c r="C48" s="10">
        <f t="shared" ref="C48:E48" si="30">C18</f>
        <v>1309</v>
      </c>
      <c r="D48" s="10">
        <f t="shared" si="30"/>
        <v>-4035</v>
      </c>
      <c r="E48" s="10">
        <f t="shared" si="30"/>
        <v>596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4" t="s">
        <v>424</v>
      </c>
      <c r="B49" s="4" t="s">
        <v>425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2" max="2" width="19.87999999999999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426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427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428</v>
      </c>
      <c r="C6" s="4" t="s">
        <v>429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430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431</v>
      </c>
      <c r="C9" s="4" t="s">
        <v>432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433</v>
      </c>
      <c r="C11" s="4" t="s">
        <v>434</v>
      </c>
      <c r="D11" s="4" t="s">
        <v>435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" t="s">
        <v>436</v>
      </c>
      <c r="C12" s="4" t="s">
        <v>437</v>
      </c>
      <c r="D12" s="4" t="s">
        <v>438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439</v>
      </c>
      <c r="C13" s="4" t="s">
        <v>440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 t="s">
        <v>441</v>
      </c>
      <c r="C14" s="4" t="s">
        <v>442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" t="s">
        <v>443</v>
      </c>
      <c r="C15" s="4" t="s">
        <v>444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4" t="s">
        <v>445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4" t="s">
        <v>446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4" t="s">
        <v>447</v>
      </c>
      <c r="C22" s="4" t="s">
        <v>448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3" topLeftCell="C4" activePane="bottomRight" state="frozen"/>
      <selection activeCell="C4" activeCellId="0" sqref="C4"/>
    </sheetView>
  </sheetViews>
  <sheetFormatPr defaultColWidth="12.630000000000001" defaultRowHeight="15.75" customHeight="1"/>
  <cols>
    <col customWidth="1" min="1" max="1" width="10.5"/>
    <col customWidth="1" min="2" max="2" width="19.379999999999999"/>
    <col customWidth="1" min="3" max="5" width="18.75"/>
    <col customWidth="1" min="6" max="6" width="20.879999999999999"/>
  </cols>
  <sheetData>
    <row r="1">
      <c r="A1" s="4" t="s">
        <v>449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23" t="s">
        <v>450</v>
      </c>
      <c r="D2" s="23" t="s">
        <v>451</v>
      </c>
      <c r="E2" s="23" t="s">
        <v>452</v>
      </c>
      <c r="F2" s="23" t="s">
        <v>453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3">
        <v>2022</v>
      </c>
      <c r="D3" s="3">
        <v>2023</v>
      </c>
      <c r="E3" s="3">
        <v>2024</v>
      </c>
      <c r="F3" s="3">
        <v>2025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4"/>
      <c r="B4" s="4" t="s">
        <v>209</v>
      </c>
      <c r="C4" s="13">
        <v>195059</v>
      </c>
      <c r="D4" s="13">
        <v>223202</v>
      </c>
      <c r="E4" s="13">
        <v>215962</v>
      </c>
      <c r="F4" s="13">
        <v>238496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4"/>
      <c r="B5" s="4" t="s">
        <v>454</v>
      </c>
      <c r="C5" s="13">
        <v>15229</v>
      </c>
      <c r="D5" s="13">
        <v>14543</v>
      </c>
      <c r="E5" s="13">
        <v>15507</v>
      </c>
      <c r="F5" s="13">
        <v>15242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4"/>
      <c r="B6" s="4" t="s">
        <v>455</v>
      </c>
      <c r="C6" s="13">
        <v>12496</v>
      </c>
      <c r="D6" s="13">
        <v>8402</v>
      </c>
      <c r="E6" s="13">
        <v>9161</v>
      </c>
      <c r="F6" s="13">
        <v>16262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4"/>
      <c r="B7" s="4" t="s">
        <v>456</v>
      </c>
      <c r="C7" s="13">
        <v>382</v>
      </c>
      <c r="D7" s="13">
        <v>627</v>
      </c>
      <c r="E7" s="13">
        <v>545</v>
      </c>
      <c r="F7" s="13">
        <v>633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4"/>
      <c r="B8" s="4" t="s">
        <v>457</v>
      </c>
      <c r="C8" s="13">
        <v>1390</v>
      </c>
      <c r="D8" s="13">
        <v>2253</v>
      </c>
      <c r="E8" s="13">
        <v>2616</v>
      </c>
      <c r="F8" s="13">
        <v>3025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4"/>
      <c r="B9" s="4" t="s">
        <v>458</v>
      </c>
      <c r="C9" s="13">
        <f t="shared" ref="C9:D9" si="31">sum(C5:C8)</f>
        <v>29497</v>
      </c>
      <c r="D9" s="13">
        <f t="shared" si="31"/>
        <v>25825</v>
      </c>
      <c r="E9" s="13">
        <v>27829</v>
      </c>
      <c r="F9" s="13">
        <v>35162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4" t="s">
        <v>459</v>
      </c>
      <c r="B10" s="4" t="s">
        <v>460</v>
      </c>
      <c r="C10" s="4">
        <v>-264</v>
      </c>
      <c r="D10" s="4">
        <v>414</v>
      </c>
      <c r="E10" s="4">
        <v>-53</v>
      </c>
      <c r="F10" s="4">
        <v>-376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4" t="s">
        <v>461</v>
      </c>
      <c r="C11" s="4">
        <v>823</v>
      </c>
      <c r="D11" s="4">
        <v>-2108</v>
      </c>
      <c r="E11" s="4">
        <v>-2048</v>
      </c>
      <c r="F11" s="4">
        <v>710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3" t="s">
        <v>224</v>
      </c>
      <c r="C12" s="18">
        <f t="shared" ref="C12:F12" si="32">sum(C9:C11)</f>
        <v>30056</v>
      </c>
      <c r="D12" s="18">
        <f t="shared" si="32"/>
        <v>24131</v>
      </c>
      <c r="E12" s="18">
        <f t="shared" si="32"/>
        <v>25728</v>
      </c>
      <c r="F12" s="18">
        <f t="shared" si="32"/>
        <v>35496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4" t="s">
        <v>462</v>
      </c>
      <c r="B13" s="4" t="s">
        <v>463</v>
      </c>
      <c r="C13" s="4">
        <v>3768</v>
      </c>
      <c r="D13" s="4">
        <v>3646</v>
      </c>
      <c r="E13" s="4">
        <v>3858</v>
      </c>
      <c r="F13" s="4">
        <v>3419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4" t="s">
        <v>464</v>
      </c>
      <c r="C14" s="13">
        <f t="shared" ref="C14:F14" si="33">C12-C13</f>
        <v>26288</v>
      </c>
      <c r="D14" s="13">
        <f t="shared" si="33"/>
        <v>20485</v>
      </c>
      <c r="E14" s="13">
        <f t="shared" si="33"/>
        <v>21870</v>
      </c>
      <c r="F14" s="13">
        <f t="shared" si="33"/>
        <v>32077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4" t="s">
        <v>192</v>
      </c>
      <c r="C15" s="4">
        <v>-6884</v>
      </c>
      <c r="D15" s="4">
        <v>-7294</v>
      </c>
      <c r="E15" s="4">
        <v>-7881</v>
      </c>
      <c r="F15" s="4">
        <v>-8864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4" t="s">
        <v>465</v>
      </c>
      <c r="C16" s="4">
        <v>6</v>
      </c>
      <c r="D16" s="4">
        <v>9</v>
      </c>
      <c r="E16" s="4">
        <v>2</v>
      </c>
      <c r="F16" s="4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2"/>
      <c r="B17" s="3" t="s">
        <v>466</v>
      </c>
      <c r="C17" s="18">
        <f t="shared" ref="C17:F17" si="34">sum(C14:C16)</f>
        <v>19410</v>
      </c>
      <c r="D17" s="18">
        <f t="shared" si="34"/>
        <v>13200</v>
      </c>
      <c r="E17" s="18">
        <f t="shared" si="34"/>
        <v>13991</v>
      </c>
      <c r="F17" s="18">
        <f t="shared" si="34"/>
        <v>23216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4" t="s">
        <v>467</v>
      </c>
      <c r="C18" s="4">
        <v>164</v>
      </c>
      <c r="D18" s="4">
        <v>41</v>
      </c>
      <c r="E18" s="4">
        <v>21</v>
      </c>
      <c r="F18" s="4">
        <v>-879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4" t="s">
        <v>468</v>
      </c>
      <c r="C19" s="10">
        <f t="shared" ref="C19:F19" si="35">C17+C18</f>
        <v>19574</v>
      </c>
      <c r="D19" s="10">
        <f t="shared" si="35"/>
        <v>13241</v>
      </c>
      <c r="E19" s="10">
        <f t="shared" si="35"/>
        <v>14012</v>
      </c>
      <c r="F19" s="10">
        <f t="shared" si="35"/>
        <v>22337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4" t="s">
        <v>322</v>
      </c>
      <c r="C20" s="4">
        <v>5373</v>
      </c>
      <c r="D20" s="4">
        <v>3144</v>
      </c>
      <c r="E20" s="4">
        <v>3857</v>
      </c>
      <c r="F20" s="4">
        <v>6335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3" t="s">
        <v>469</v>
      </c>
      <c r="C21" s="18">
        <f t="shared" ref="C21:F21" si="36">C19-C20</f>
        <v>14201</v>
      </c>
      <c r="D21" s="18">
        <f t="shared" si="36"/>
        <v>10097</v>
      </c>
      <c r="E21" s="18">
        <f t="shared" si="36"/>
        <v>10155</v>
      </c>
      <c r="F21" s="18">
        <f t="shared" si="36"/>
        <v>16002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4"/>
      <c r="C22" s="4"/>
      <c r="D22" s="4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5">
        <v>45799</v>
      </c>
      <c r="B23" s="4" t="s">
        <v>470</v>
      </c>
      <c r="C23" s="4"/>
      <c r="D23" s="4"/>
      <c r="E23" s="4"/>
      <c r="F23" s="4">
        <v>663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4" t="s">
        <v>471</v>
      </c>
      <c r="C24" s="4">
        <v>61.729999999999997</v>
      </c>
      <c r="D24" s="4">
        <v>45.420000000000002</v>
      </c>
      <c r="E24" s="4">
        <v>45.710000000000001</v>
      </c>
      <c r="F24" s="4">
        <v>72.049999999999997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4" t="s">
        <v>472</v>
      </c>
      <c r="B25" s="4" t="s">
        <v>473</v>
      </c>
      <c r="C25" s="36">
        <f t="shared" ref="C25:F25" si="37">(C21 * 10000000) / C24</f>
        <v>2300502187</v>
      </c>
      <c r="D25" s="36">
        <f t="shared" si="37"/>
        <v>2223029502</v>
      </c>
      <c r="E25" s="36">
        <f t="shared" si="37"/>
        <v>2221614526</v>
      </c>
      <c r="F25" s="36">
        <f t="shared" si="37"/>
        <v>2220957668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4"/>
      <c r="B26" s="4"/>
      <c r="C26" s="1"/>
      <c r="D26" s="1"/>
      <c r="E26" s="1"/>
      <c r="F26" s="3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4"/>
      <c r="B27" s="4"/>
      <c r="C27" s="1"/>
      <c r="D27" s="1"/>
      <c r="E27" s="1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4"/>
      <c r="B28" s="4" t="s">
        <v>474</v>
      </c>
      <c r="C28" s="1"/>
      <c r="D28" s="14">
        <f t="shared" ref="D28:F28" si="38">D4/C4 -1</f>
        <v>0.1442794231</v>
      </c>
      <c r="E28" s="14">
        <f t="shared" si="38"/>
        <v>-0.032436985330000001</v>
      </c>
      <c r="F28" s="14">
        <f t="shared" si="38"/>
        <v>0.10434243059999999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4"/>
      <c r="B29" s="4" t="s">
        <v>475</v>
      </c>
      <c r="C29" s="1"/>
      <c r="D29" s="14">
        <f t="shared" ref="D29:F29" si="39">D9/C9 -1</f>
        <v>-0.124487236</v>
      </c>
      <c r="E29" s="14">
        <f t="shared" si="39"/>
        <v>0.077599225559999999</v>
      </c>
      <c r="F29" s="14">
        <f t="shared" si="39"/>
        <v>0.26350210210000002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4" t="s">
        <v>476</v>
      </c>
      <c r="C30" s="1"/>
      <c r="D30" s="14">
        <f t="shared" ref="D30:F30" si="40">D12/C12 -1</f>
        <v>-0.19713202020000001</v>
      </c>
      <c r="E30" s="14">
        <f t="shared" si="40"/>
        <v>0.066180431809999996</v>
      </c>
      <c r="F30" s="14">
        <f t="shared" si="40"/>
        <v>0.3796641791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4" t="s">
        <v>477</v>
      </c>
      <c r="C31" s="1"/>
      <c r="D31" s="14">
        <f t="shared" ref="D31:F31" si="41">D21/C21 -1</f>
        <v>-0.28899373280000001</v>
      </c>
      <c r="E31" s="14">
        <f t="shared" si="41"/>
        <v>0.0057442804790000003</v>
      </c>
      <c r="F31" s="14">
        <f t="shared" si="41"/>
        <v>0.57577548010000001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4" t="s">
        <v>478</v>
      </c>
      <c r="B32" s="3" t="s">
        <v>479</v>
      </c>
      <c r="C32" s="1"/>
      <c r="D32" s="37">
        <f t="shared" ref="D32:F34" si="42">D6/C6 -1</f>
        <v>-0.32762483990000002</v>
      </c>
      <c r="E32" s="37">
        <f t="shared" si="42"/>
        <v>0.090335634370000001</v>
      </c>
      <c r="F32" s="37">
        <f t="shared" si="42"/>
        <v>0.77513371900000005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4" t="s">
        <v>480</v>
      </c>
      <c r="C33" s="1"/>
      <c r="D33" s="14">
        <f t="shared" si="42"/>
        <v>0.64136125649999998</v>
      </c>
      <c r="E33" s="14">
        <f t="shared" si="42"/>
        <v>-0.13078149920000001</v>
      </c>
      <c r="F33" s="14">
        <f t="shared" si="42"/>
        <v>0.16146788989999999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4" t="s">
        <v>481</v>
      </c>
      <c r="C34" s="1"/>
      <c r="D34" s="14">
        <f t="shared" si="42"/>
        <v>0.62086330940000001</v>
      </c>
      <c r="E34" s="14">
        <f t="shared" si="42"/>
        <v>0.1611185087</v>
      </c>
      <c r="F34" s="14">
        <f t="shared" si="42"/>
        <v>0.15634556569999999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4" t="s">
        <v>482</v>
      </c>
      <c r="C35" s="1"/>
      <c r="D35" s="14">
        <f t="shared" ref="D35:F35" si="43">D5/C5 -1</f>
        <v>-0.045045636610000002</v>
      </c>
      <c r="E35" s="14">
        <f t="shared" si="43"/>
        <v>0.066286185789999993</v>
      </c>
      <c r="F35" s="14">
        <f t="shared" si="43"/>
        <v>-0.01708905656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4"/>
      <c r="C36" s="1"/>
      <c r="D36" s="1"/>
      <c r="E36" s="1"/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4"/>
      <c r="C37" s="1"/>
      <c r="D37" s="1"/>
      <c r="E37" s="1"/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</row>
    <row r="39">
      <c r="A39" s="3" t="s">
        <v>483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4" t="s">
        <v>209</v>
      </c>
      <c r="C40" s="13">
        <v>68855</v>
      </c>
      <c r="D40" s="13">
        <v>78570</v>
      </c>
      <c r="E40" s="13">
        <v>85028</v>
      </c>
      <c r="F40" s="13">
        <v>96570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4" t="s">
        <v>484</v>
      </c>
      <c r="C41" s="13">
        <v>12478</v>
      </c>
      <c r="D41" s="13">
        <v>8402</v>
      </c>
      <c r="E41" s="13">
        <v>9161</v>
      </c>
      <c r="F41" s="13">
        <v>16262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4" t="s">
        <v>485</v>
      </c>
      <c r="C42" s="13">
        <v>382</v>
      </c>
      <c r="D42" s="13">
        <v>627</v>
      </c>
      <c r="E42" s="13">
        <v>545</v>
      </c>
      <c r="F42" s="13">
        <v>633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4" t="s">
        <v>486</v>
      </c>
      <c r="C43" s="13">
        <v>1390</v>
      </c>
      <c r="D43" s="13">
        <v>2253</v>
      </c>
      <c r="E43" s="13">
        <v>2616</v>
      </c>
      <c r="F43" s="13">
        <v>3025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4" t="s">
        <v>487</v>
      </c>
      <c r="C44" s="13">
        <f t="shared" ref="C44:F47" si="44">sum(C41:C43)</f>
        <v>14250</v>
      </c>
      <c r="D44" s="13">
        <f t="shared" si="44"/>
        <v>11282</v>
      </c>
      <c r="E44" s="13">
        <f t="shared" si="44"/>
        <v>12322</v>
      </c>
      <c r="F44" s="13">
        <f t="shared" si="44"/>
        <v>19920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4" t="s">
        <v>488</v>
      </c>
      <c r="C45" s="13">
        <v>-264</v>
      </c>
      <c r="D45" s="13">
        <v>414</v>
      </c>
      <c r="E45" s="13">
        <v>-53</v>
      </c>
      <c r="F45" s="13">
        <v>-376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4" t="s">
        <v>489</v>
      </c>
      <c r="C46" s="13">
        <v>65</v>
      </c>
      <c r="D46" s="13">
        <v>-1122</v>
      </c>
      <c r="E46" s="13">
        <v>-1074</v>
      </c>
      <c r="F46" s="13">
        <v>-230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2"/>
      <c r="B47" s="3" t="s">
        <v>224</v>
      </c>
      <c r="C47" s="18">
        <f t="shared" si="44"/>
        <v>14051</v>
      </c>
      <c r="D47" s="18">
        <f t="shared" si="44"/>
        <v>10574</v>
      </c>
      <c r="E47" s="18">
        <f t="shared" si="44"/>
        <v>11195</v>
      </c>
      <c r="F47" s="18">
        <f t="shared" si="44"/>
        <v>19314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1"/>
      <c r="B48" s="4" t="s">
        <v>42</v>
      </c>
      <c r="C48" s="13">
        <v>1587</v>
      </c>
      <c r="D48" s="13">
        <v>1381</v>
      </c>
      <c r="E48" s="13">
        <v>1276</v>
      </c>
      <c r="F48" s="13">
        <v>950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3" t="s">
        <v>490</v>
      </c>
      <c r="C49" s="18">
        <f t="shared" ref="C49:F51" si="45">C47-C48</f>
        <v>12464</v>
      </c>
      <c r="D49" s="18">
        <f t="shared" si="45"/>
        <v>9193</v>
      </c>
      <c r="E49" s="18">
        <f t="shared" si="45"/>
        <v>9919</v>
      </c>
      <c r="F49" s="18">
        <f t="shared" si="45"/>
        <v>18364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4" t="s">
        <v>192</v>
      </c>
      <c r="C50" s="13">
        <v>2227</v>
      </c>
      <c r="D50" s="13">
        <v>2352</v>
      </c>
      <c r="E50" s="13">
        <v>2381</v>
      </c>
      <c r="F50" s="13">
        <v>2509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3" t="s">
        <v>491</v>
      </c>
      <c r="C51" s="18">
        <f t="shared" si="45"/>
        <v>10237</v>
      </c>
      <c r="D51" s="18">
        <f t="shared" si="45"/>
        <v>6841</v>
      </c>
      <c r="E51" s="18">
        <f t="shared" si="45"/>
        <v>7538</v>
      </c>
      <c r="F51" s="18">
        <f t="shared" si="45"/>
        <v>15855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4" t="s">
        <v>44</v>
      </c>
      <c r="C52" s="13">
        <v>-107</v>
      </c>
      <c r="D52" s="13">
        <v>41</v>
      </c>
      <c r="E52" s="13">
        <v>-21</v>
      </c>
      <c r="F52" s="13">
        <v>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4" t="s">
        <v>468</v>
      </c>
      <c r="C53" s="10">
        <f t="shared" ref="C53:F53" si="46">sum(C51:C52)</f>
        <v>10130</v>
      </c>
      <c r="D53" s="10">
        <f t="shared" si="46"/>
        <v>6882</v>
      </c>
      <c r="E53" s="10">
        <f t="shared" si="46"/>
        <v>7517</v>
      </c>
      <c r="F53" s="10">
        <f t="shared" si="46"/>
        <v>15855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4" t="s">
        <v>322</v>
      </c>
      <c r="C54" s="13">
        <v>3538</v>
      </c>
      <c r="D54" s="13">
        <v>1807</v>
      </c>
      <c r="E54" s="13">
        <v>2180</v>
      </c>
      <c r="F54" s="13">
        <v>4957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3" t="s">
        <v>492</v>
      </c>
      <c r="C55" s="18">
        <f t="shared" ref="C55:F55" si="47">C53-C54</f>
        <v>6592</v>
      </c>
      <c r="D55" s="18">
        <f t="shared" si="47"/>
        <v>5075</v>
      </c>
      <c r="E55" s="18">
        <f t="shared" si="47"/>
        <v>5337</v>
      </c>
      <c r="F55" s="18">
        <f t="shared" si="47"/>
        <v>10898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4" t="s">
        <v>493</v>
      </c>
      <c r="C56" s="1"/>
      <c r="D56" s="39">
        <v>-0.01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4" t="s">
        <v>477</v>
      </c>
      <c r="C59" s="1"/>
      <c r="D59" s="14">
        <f t="shared" ref="D59:F59" si="48">D55/C55 -1</f>
        <v>-0.23012742720000001</v>
      </c>
      <c r="E59" s="14">
        <f t="shared" si="48"/>
        <v>0.05162561576</v>
      </c>
      <c r="F59" s="14">
        <f t="shared" si="48"/>
        <v>1.041971145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4" t="s">
        <v>494</v>
      </c>
      <c r="C60" s="1"/>
      <c r="D60" s="14">
        <f t="shared" ref="D60:F60" si="49">D47/C47 -1</f>
        <v>-0.24745569710000001</v>
      </c>
      <c r="E60" s="14">
        <f t="shared" si="49"/>
        <v>0.058728957819999997</v>
      </c>
      <c r="F60" s="14">
        <f t="shared" si="49"/>
        <v>0.72523447969999999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4" t="s">
        <v>474</v>
      </c>
      <c r="C61" s="1"/>
      <c r="D61" s="14">
        <f t="shared" ref="D61:F63" si="50">D40/C40 -1</f>
        <v>0.1410936025</v>
      </c>
      <c r="E61" s="14">
        <f t="shared" si="50"/>
        <v>0.082194221710000001</v>
      </c>
      <c r="F61" s="14">
        <f t="shared" si="50"/>
        <v>0.13574351979999999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4" t="s">
        <v>479</v>
      </c>
      <c r="C62" s="1"/>
      <c r="D62" s="14">
        <f t="shared" si="50"/>
        <v>-0.32665491260000001</v>
      </c>
      <c r="E62" s="14">
        <f t="shared" si="50"/>
        <v>0.090335634370000001</v>
      </c>
      <c r="F62" s="14">
        <f t="shared" si="50"/>
        <v>0.77513371900000005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4" t="s">
        <v>480</v>
      </c>
      <c r="C63" s="1"/>
      <c r="D63" s="14">
        <f t="shared" si="50"/>
        <v>0.64136125649999998</v>
      </c>
      <c r="E63" s="14">
        <f t="shared" si="50"/>
        <v>-0.13078149920000001</v>
      </c>
      <c r="F63" s="14">
        <f t="shared" si="50"/>
        <v>0.16146788989999999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hyperlinks>
    <hyperlink r:id="rId1" ref="C2"/>
    <hyperlink r:id="rId2" ref="D2"/>
    <hyperlink r:id="rId3" ref="E2"/>
    <hyperlink r:id="rId4" ref="F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cols>
    <col customWidth="1" min="2" max="2" width="28.129999999999999"/>
    <col customWidth="1" min="3" max="3" width="15"/>
  </cols>
  <sheetData>
    <row r="1">
      <c r="A1" s="1"/>
      <c r="B1" s="23" t="s">
        <v>495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496</v>
      </c>
      <c r="C3" s="4" t="s">
        <v>497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498</v>
      </c>
      <c r="B4" s="4" t="s">
        <v>499</v>
      </c>
      <c r="C4" s="24">
        <v>52.700000000000003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500</v>
      </c>
      <c r="C5" s="24">
        <v>16.300000000000001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501</v>
      </c>
      <c r="C6" s="24">
        <f>100-C5-C4</f>
        <v>31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 t="s">
        <v>502</v>
      </c>
      <c r="C9" s="4" t="s">
        <v>503</v>
      </c>
      <c r="D9" s="4" t="s">
        <v>504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 t="s">
        <v>505</v>
      </c>
      <c r="C10" s="24">
        <v>100</v>
      </c>
      <c r="D10" s="4" t="s">
        <v>506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" t="s">
        <v>507</v>
      </c>
      <c r="C11" s="24">
        <v>100</v>
      </c>
      <c r="D11" s="4" t="s">
        <v>508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 t="s">
        <v>509</v>
      </c>
      <c r="B12" s="4" t="s">
        <v>510</v>
      </c>
      <c r="C12" s="24">
        <v>74</v>
      </c>
      <c r="D12" s="4" t="s">
        <v>511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" t="s">
        <v>512</v>
      </c>
      <c r="C13" s="24">
        <v>50</v>
      </c>
      <c r="D13" s="4" t="s">
        <v>513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" t="s">
        <v>514</v>
      </c>
      <c r="C14" s="24">
        <v>51</v>
      </c>
      <c r="D14" s="4" t="s">
        <v>515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 t="s">
        <v>516</v>
      </c>
      <c r="B15" s="4" t="s">
        <v>517</v>
      </c>
      <c r="C15" s="24">
        <v>45</v>
      </c>
      <c r="D15" s="4" t="s">
        <v>518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 t="s">
        <v>519</v>
      </c>
      <c r="C16" s="24">
        <v>46</v>
      </c>
      <c r="D16" s="4" t="s">
        <v>520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4" t="s">
        <v>521</v>
      </c>
      <c r="C17" s="24">
        <v>100</v>
      </c>
      <c r="D17" s="4" t="s">
        <v>522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B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