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MOTILALOFS-main" sheetId="2" state="visible" r:id="rId2"/>
    <sheet name="MOTILALOFS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<sst xmlns="http://schemas.openxmlformats.org/spreadsheetml/2006/main" count="134" uniqueCount="134">
  <si>
    <t xml:space="preserve">Banking, Financial Services, and Insurance.</t>
  </si>
  <si>
    <t>Name</t>
  </si>
  <si>
    <t>Ticker</t>
  </si>
  <si>
    <t>Price</t>
  </si>
  <si>
    <t xml:space="preserve">Shares </t>
  </si>
  <si>
    <t>MC</t>
  </si>
  <si>
    <t xml:space="preserve">Net Cash </t>
  </si>
  <si>
    <t>EV</t>
  </si>
  <si>
    <t>MOTILALOFS</t>
  </si>
  <si>
    <t>IIFLSECURITIES</t>
  </si>
  <si>
    <t xml:space="preserve">ADITYA BIRLA MONEY</t>
  </si>
  <si>
    <t xml:space="preserve">DHANI SERVICES</t>
  </si>
  <si>
    <t xml:space="preserve">motilal oswal financial services</t>
  </si>
  <si>
    <t xml:space="preserve">Equity and commodities trading , brokerage</t>
  </si>
  <si>
    <t xml:space="preserve">Investment advices </t>
  </si>
  <si>
    <t xml:space="preserve">Portfolio management services</t>
  </si>
  <si>
    <t xml:space="preserve">wealth management </t>
  </si>
  <si>
    <t xml:space="preserve">institutional broking</t>
  </si>
  <si>
    <t xml:space="preserve">Asset management </t>
  </si>
  <si>
    <t xml:space="preserve">Investment banking </t>
  </si>
  <si>
    <t xml:space="preserve">private equity invesment management</t>
  </si>
  <si>
    <t xml:space="preserve">Home finance and loan against securities</t>
  </si>
  <si>
    <t xml:space="preserve">Retail broking</t>
  </si>
  <si>
    <t xml:space="preserve">Mutual funds  (fees from commissions) + FII + corporates </t>
  </si>
  <si>
    <t xml:space="preserve">Brokerage assets</t>
  </si>
  <si>
    <t xml:space="preserve">Commission / fee income</t>
  </si>
  <si>
    <t xml:space="preserve">Margin funding</t>
  </si>
  <si>
    <t xml:space="preserve">Depository participant funding</t>
  </si>
  <si>
    <t xml:space="preserve">Maintaining client demat account</t>
  </si>
  <si>
    <t xml:space="preserve">Interest income </t>
  </si>
  <si>
    <t xml:space="preserve">delayed client paymentor unused margin </t>
  </si>
  <si>
    <t xml:space="preserve">Stock inventory</t>
  </si>
  <si>
    <t xml:space="preserve">Short selling stocks for trade settlements</t>
  </si>
  <si>
    <t xml:space="preserve">Brokerage liability</t>
  </si>
  <si>
    <t xml:space="preserve">Demat account </t>
  </si>
  <si>
    <t xml:space="preserve">Holds shares, not cash </t>
  </si>
  <si>
    <t xml:space="preserve">Trading account</t>
  </si>
  <si>
    <t xml:space="preserve">Holds cash balances</t>
  </si>
  <si>
    <t xml:space="preserve">Broking &amp; Related activities</t>
  </si>
  <si>
    <t xml:space="preserve">clients funds in trading account , margin borrowing, exchange dues, unsettled transaction </t>
  </si>
  <si>
    <t xml:space="preserve">Fund-based activities</t>
  </si>
  <si>
    <t xml:space="preserve">Home finance</t>
  </si>
  <si>
    <t xml:space="preserve">Asset management</t>
  </si>
  <si>
    <t xml:space="preserve">Investment Banking</t>
  </si>
  <si>
    <t xml:space="preserve">Income Statement</t>
  </si>
  <si>
    <t xml:space="preserve">(in Crore)</t>
  </si>
  <si>
    <t xml:space="preserve">brokerage platform started </t>
  </si>
  <si>
    <t>https://www.motilaloswalgroup.com/Downirvirdir/1506451662MOFSL_Annual-Report_2022.pdf</t>
  </si>
  <si>
    <t xml:space="preserve">-ve FV changes and less divident income</t>
  </si>
  <si>
    <t>https://www.motilaloswalgroup.com/Downirvirdir/257189515MOFSL-Annual-Report-FY-2023-24.pdf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</si>
  <si>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</si>
  <si>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</si>
  <si>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</si>
  <si>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</si>
  <si>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</si>
  <si>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</si>
  <si>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</si>
  <si>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</si>
  <si>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</si>
  <si>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</si>
  <si>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</si>
  <si>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</si>
  <si>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</si>
  <si>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</si>
  <si>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</si>
  <si>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</si>
  <si>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Interest income</t>
  </si>
  <si>
    <t xml:space="preserve">Dividend income</t>
  </si>
  <si>
    <t xml:space="preserve">rental income</t>
  </si>
  <si>
    <t xml:space="preserve">Brokerage income. R&amp;Adv. fees, distribution income , depository income</t>
  </si>
  <si>
    <t xml:space="preserve">fees and commission income</t>
  </si>
  <si>
    <t xml:space="preserve">net gain on fv changes</t>
  </si>
  <si>
    <t xml:space="preserve">Other operating income</t>
  </si>
  <si>
    <t xml:space="preserve">Real op. incoe</t>
  </si>
  <si>
    <t xml:space="preserve">Operational Rev</t>
  </si>
  <si>
    <t xml:space="preserve">Other income</t>
  </si>
  <si>
    <t xml:space="preserve">Total income</t>
  </si>
  <si>
    <t xml:space="preserve">Total debt raised</t>
  </si>
  <si>
    <t xml:space="preserve">Total Equity raised</t>
  </si>
  <si>
    <t xml:space="preserve">Finance cost</t>
  </si>
  <si>
    <t xml:space="preserve">fees and commision expense </t>
  </si>
  <si>
    <t>NFV-changes</t>
  </si>
  <si>
    <t xml:space="preserve">impairmnet of financial instruments</t>
  </si>
  <si>
    <t xml:space="preserve">IFI </t>
  </si>
  <si>
    <t>EBE</t>
  </si>
  <si>
    <t>D&amp;A</t>
  </si>
  <si>
    <t xml:space="preserve">Other exp</t>
  </si>
  <si>
    <t xml:space="preserve">Total operating expense</t>
  </si>
  <si>
    <t xml:space="preserve">Exceptional income</t>
  </si>
  <si>
    <t>PBT</t>
  </si>
  <si>
    <t>Tax</t>
  </si>
  <si>
    <t>PAT</t>
  </si>
  <si>
    <t xml:space="preserve">Share of profit from JVA</t>
  </si>
  <si>
    <t>NCI</t>
  </si>
  <si>
    <t xml:space="preserve">Operation income attr. to Owners of parent </t>
  </si>
  <si>
    <t xml:space="preserve">weighted no. of shares</t>
  </si>
  <si>
    <t xml:space="preserve">Terminal value</t>
  </si>
  <si>
    <t xml:space="preserve">Reported EPS</t>
  </si>
  <si>
    <t xml:space="preserve">Discount rate</t>
  </si>
  <si>
    <t xml:space="preserve">Calculated EPS</t>
  </si>
  <si>
    <t>NPV</t>
  </si>
  <si>
    <t xml:space="preserve">Current market price</t>
  </si>
  <si>
    <t xml:space="preserve">Total no of shares </t>
  </si>
  <si>
    <t xml:space="preserve">Current share price</t>
  </si>
  <si>
    <t>ESTIMATIONS</t>
  </si>
  <si>
    <t>AVERAGE</t>
  </si>
  <si>
    <t>MEDIAN</t>
  </si>
  <si>
    <t>CONSIDERING</t>
  </si>
  <si>
    <t xml:space="preserve">Predicted share price</t>
  </si>
  <si>
    <t xml:space="preserve">COGS margin</t>
  </si>
  <si>
    <t xml:space="preserve">FCE margin</t>
  </si>
  <si>
    <t xml:space="preserve">Gross margin </t>
  </si>
  <si>
    <t xml:space="preserve">Op. rev YoY</t>
  </si>
  <si>
    <t xml:space="preserve">Op. expense </t>
  </si>
  <si>
    <t>rev/exp</t>
  </si>
  <si>
    <t xml:space="preserve">Interest Incoem y/y</t>
  </si>
  <si>
    <t xml:space="preserve">FCE y/y</t>
  </si>
  <si>
    <t xml:space="preserve">Finance cost Margin</t>
  </si>
  <si>
    <t xml:space="preserve">EBE YoY</t>
  </si>
  <si>
    <t xml:space="preserve">D&amp;A YoY</t>
  </si>
  <si>
    <t xml:space="preserve">Tax Rate</t>
  </si>
  <si>
    <t>SEGMENT-WISE</t>
  </si>
  <si>
    <t>Revenue</t>
  </si>
  <si>
    <t xml:space="preserve">Broking and other related activities</t>
  </si>
  <si>
    <t xml:space="preserve">Fund based act.</t>
  </si>
  <si>
    <t xml:space="preserve">wealth management</t>
  </si>
  <si>
    <t xml:space="preserve">Asset management and advisory</t>
  </si>
  <si>
    <t xml:space="preserve">Investment banking</t>
  </si>
  <si>
    <t>Unallocated</t>
  </si>
  <si>
    <t xml:space="preserve">Total Revenue</t>
  </si>
  <si>
    <t xml:space="preserve">Segment Result</t>
  </si>
  <si>
    <t xml:space="preserve">Broking exceptional item </t>
  </si>
  <si>
    <t xml:space="preserve">Fund based activities</t>
  </si>
  <si>
    <t xml:space="preserve">Total result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</si>
</sst>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trike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 style="none"/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48">
    <xf fontId="0" fillId="0" borderId="0" numFmtId="0" xfId="0"/>
    <xf fontId="1" fillId="0" borderId="0" numFmtId="0" xfId="0" applyFont="1"/>
    <xf fontId="2" fillId="0" borderId="0" numFmtId="0" xfId="0" applyFont="1"/>
    <xf fontId="0" fillId="0" borderId="1" numFmtId="0" xfId="0" applyBorder="1"/>
    <xf fontId="0" fillId="0" borderId="0" numFmtId="0" xfId="0"/>
    <xf fontId="3" fillId="0" borderId="0" numFmtId="0" xfId="0" applyFont="1"/>
    <xf fontId="4" fillId="0" borderId="0" numFmtId="0" xfId="0" applyFont="1"/>
    <xf fontId="3" fillId="0" borderId="1" numFmtId="0" xfId="0" applyFont="1" applyBorder="1"/>
    <xf fontId="3" fillId="0" borderId="0" numFmtId="0" xfId="0" applyFont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3" fillId="0" borderId="0" numFmtId="2" xfId="0" applyNumberFormat="1" applyFont="1"/>
    <xf fontId="0" fillId="0" borderId="1" numFmtId="0" xfId="0" applyBorder="1">
      <protection hidden="0" locked="1"/>
    </xf>
    <xf fontId="3" fillId="0" borderId="0" numFmtId="0" xfId="0" applyFont="1"/>
    <xf fontId="3" fillId="0" borderId="1" numFmtId="0" xfId="0" applyFont="1" applyBorder="1">
      <protection hidden="0" locked="1"/>
    </xf>
    <xf fontId="3" fillId="0" borderId="0" numFmtId="2" xfId="0" applyNumberFormat="1" applyFont="1">
      <protection hidden="0" locked="1"/>
    </xf>
    <xf fontId="5" fillId="0" borderId="0" numFmtId="0" xfId="0" applyFont="1"/>
    <xf fontId="5" fillId="0" borderId="0" numFmtId="0" xfId="0" applyFont="1">
      <protection hidden="0" locked="1"/>
    </xf>
    <xf fontId="5" fillId="0" borderId="1" numFmtId="0" xfId="0" applyFont="1" applyBorder="1">
      <protection hidden="0" locked="1"/>
    </xf>
    <xf fontId="5" fillId="0" borderId="1" numFmtId="0" xfId="0" applyFont="1" applyBorder="1"/>
    <xf fontId="0" fillId="0" borderId="0" numFmtId="9" xfId="0" applyNumberFormat="1"/>
    <xf fontId="0" fillId="0" borderId="0" numFmtId="2" xfId="0" applyNumberFormat="1">
      <protection hidden="0" locked="1"/>
    </xf>
    <xf fontId="3" fillId="0" borderId="0" numFmtId="0" xfId="0" applyFont="1">
      <protection hidden="0" locked="1"/>
    </xf>
    <xf fontId="0" fillId="0" borderId="0" numFmtId="164" xfId="1" applyNumberFormat="1"/>
    <xf fontId="0" fillId="0" borderId="1" numFmtId="164" xfId="1" applyNumberFormat="1" applyBorder="1"/>
    <xf fontId="0" fillId="0" borderId="2" numFmtId="164" xfId="1" applyNumberFormat="1" applyBorder="1"/>
    <xf fontId="0" fillId="0" borderId="0" numFmtId="164" xfId="1" applyNumberFormat="1"/>
    <xf fontId="0" fillId="0" borderId="0" numFmtId="0" xfId="0"/>
    <xf fontId="0" fillId="0" borderId="0" numFmtId="0" xfId="0"/>
    <xf fontId="0" fillId="0" borderId="0" numFmtId="164" xfId="0" applyNumberFormat="1"/>
    <xf fontId="0" fillId="0" borderId="1" numFmtId="164" xfId="0" applyNumberFormat="1" applyBorder="1"/>
    <xf fontId="0" fillId="0" borderId="3" numFmtId="164" xfId="1" applyNumberFormat="1" applyBorder="1"/>
    <xf fontId="0" fillId="0" borderId="4" numFmtId="164" xfId="1" applyNumberFormat="1" applyBorder="1"/>
    <xf fontId="0" fillId="0" borderId="1" numFmtId="2" xfId="0" applyNumberFormat="1" applyBorder="1">
      <protection hidden="0" locked="1"/>
    </xf>
    <xf fontId="0" fillId="0" borderId="3" numFmtId="2" xfId="1" applyNumberFormat="1" applyBorder="1"/>
    <xf fontId="0" fillId="0" borderId="0" numFmtId="2" xfId="1" applyNumberFormat="1"/>
    <xf fontId="0" fillId="0" borderId="0" numFmtId="2" xfId="1" applyNumberFormat="1"/>
    <xf fontId="0" fillId="0" borderId="0" numFmtId="164" xfId="1" applyNumberFormat="1">
      <protection hidden="0" locked="1"/>
    </xf>
    <xf fontId="0" fillId="0" borderId="0" numFmtId="0" xfId="0"/>
    <xf fontId="0" fillId="0" borderId="3" numFmtId="0" xfId="0" applyBorder="1"/>
    <xf fontId="5" fillId="0" borderId="0" numFmtId="164" xfId="1" applyNumberFormat="1" applyFont="1"/>
    <xf fontId="5" fillId="0" borderId="1" numFmtId="164" xfId="1" applyNumberFormat="1" applyFont="1" applyBorder="1"/>
    <xf fontId="0" fillId="0" borderId="0" numFmtId="164" xfId="1" applyNumberFormat="1"/>
    <xf fontId="0" fillId="0" borderId="1" numFmtId="164" xfId="1" applyNumberFormat="1" applyBorder="1">
      <protection hidden="0" locked="1"/>
    </xf>
    <xf fontId="0" fillId="0" borderId="4" numFmtId="164" xfId="1" applyNumberFormat="1" applyBorder="1">
      <protection hidden="0" locked="1"/>
    </xf>
    <xf fontId="0" fillId="0" borderId="5" numFmtId="164" xfId="1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37</xdr:col>
      <xdr:colOff>63498</xdr:colOff>
      <xdr:row>1</xdr:row>
      <xdr:rowOff>42332</xdr:rowOff>
    </xdr:from>
    <xdr:to>
      <xdr:col>37</xdr:col>
      <xdr:colOff>63498</xdr:colOff>
      <xdr:row>52</xdr:row>
      <xdr:rowOff>58207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43687998" y="222249"/>
          <a:ext cx="0" cy="9191624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47</xdr:col>
      <xdr:colOff>47623</xdr:colOff>
      <xdr:row>0</xdr:row>
      <xdr:rowOff>158748</xdr:rowOff>
    </xdr:from>
    <xdr:to>
      <xdr:col>47</xdr:col>
      <xdr:colOff>47623</xdr:colOff>
      <xdr:row>51</xdr:row>
      <xdr:rowOff>174622</xdr:rowOff>
    </xdr:to>
    <xdr:cxnSp>
      <xdr:nvCxnSpPr>
        <xdr:cNvPr id="1869679167" name=""/>
        <xdr:cNvCxnSpPr>
          <a:cxnSpLocks/>
        </xdr:cNvCxnSpPr>
        <xdr:nvPr/>
      </xdr:nvCxnSpPr>
      <xdr:spPr bwMode="auto">
        <a:xfrm flipH="0" flipV="0">
          <a:off x="55631290" y="158748"/>
          <a:ext cx="0" cy="9191623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tilaloswalgroup.com/Downirvirdir/1506451662MOFSL_Annual-Report_2022.pdf" TargetMode="External"/><Relationship  Id="rId2" Type="http://schemas.openxmlformats.org/officeDocument/2006/relationships/hyperlink" Target="https://www.motilaloswalgroup.com/Downirvirdir/257189515MOFSL-Annual-Report-FY-2023-24.pdf" TargetMode="External"/><Relationship 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sheetData>
    <row r="1" ht="14.25">
      <c r="A1" t="s">
        <v>0</v>
      </c>
    </row>
    <row r="2" ht="14.25"/>
    <row r="3" ht="14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ht="14.25">
      <c r="B4" t="s">
        <v>8</v>
      </c>
    </row>
    <row r="5" ht="14.25">
      <c r="B5" t="s">
        <v>9</v>
      </c>
    </row>
    <row r="6" ht="14.25">
      <c r="B6" t="s">
        <v>10</v>
      </c>
    </row>
    <row r="7" ht="14.25">
      <c r="B7" t="s">
        <v>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20" zoomScale="100" workbookViewId="0">
      <selection activeCell="A1" activeCellId="0" sqref="A1"/>
    </sheetView>
  </sheetViews>
  <sheetFormatPr defaultRowHeight="14.25"/>
  <cols>
    <col min="1" max="16384" style="1" width="9.140625"/>
  </cols>
  <sheetData>
    <row r="1" ht="16.5">
      <c r="A1" s="1" t="s">
        <v>12</v>
      </c>
    </row>
    <row r="2" ht="14.25">
      <c r="A2" s="1"/>
    </row>
    <row r="3" ht="16.5">
      <c r="B3" s="1" t="s">
        <v>13</v>
      </c>
    </row>
    <row r="4" ht="16.5">
      <c r="B4" s="1" t="s">
        <v>14</v>
      </c>
    </row>
    <row r="5" ht="16.5">
      <c r="B5" s="1" t="s">
        <v>15</v>
      </c>
    </row>
    <row r="6" ht="16.5">
      <c r="B6" s="1" t="s">
        <v>16</v>
      </c>
    </row>
    <row r="7" ht="16.5">
      <c r="B7" s="1" t="s">
        <v>17</v>
      </c>
    </row>
    <row r="8" ht="16.5">
      <c r="B8" s="1" t="s">
        <v>18</v>
      </c>
    </row>
    <row r="9" ht="16.5">
      <c r="B9" s="1" t="s">
        <v>19</v>
      </c>
    </row>
    <row r="10" ht="16.5">
      <c r="B10" s="1" t="s">
        <v>20</v>
      </c>
    </row>
    <row r="11" ht="16.5">
      <c r="B11" s="1" t="s">
        <v>21</v>
      </c>
    </row>
    <row r="12" ht="16.5">
      <c r="B12" s="1" t="s">
        <v>22</v>
      </c>
    </row>
    <row r="13" ht="16.5">
      <c r="B13" s="1" t="s">
        <v>23</v>
      </c>
    </row>
    <row r="17" ht="16.5">
      <c r="B17" s="2" t="s">
        <v>24</v>
      </c>
    </row>
    <row r="18" ht="16.5">
      <c r="B18" s="1"/>
      <c r="D18" s="1" t="s">
        <v>25</v>
      </c>
    </row>
    <row r="19" ht="14.25">
      <c r="D19" s="1" t="s">
        <v>26</v>
      </c>
    </row>
    <row r="20" ht="14.25">
      <c r="D20" s="1" t="s">
        <v>27</v>
      </c>
      <c r="F20" s="1" t="s">
        <v>28</v>
      </c>
    </row>
    <row r="21" ht="14.25">
      <c r="D21" s="1" t="s">
        <v>29</v>
      </c>
      <c r="F21" s="1" t="s">
        <v>30</v>
      </c>
    </row>
    <row r="22" ht="14.25">
      <c r="D22" s="1" t="s">
        <v>31</v>
      </c>
      <c r="F22" s="1" t="s">
        <v>32</v>
      </c>
    </row>
    <row r="24" ht="14.25">
      <c r="B24" s="2" t="s">
        <v>33</v>
      </c>
    </row>
    <row r="25" ht="14.25">
      <c r="D25" s="1" t="s">
        <v>34</v>
      </c>
      <c r="F25" s="1" t="s">
        <v>35</v>
      </c>
    </row>
    <row r="26" ht="14.25">
      <c r="D26" s="1" t="s">
        <v>36</v>
      </c>
      <c r="F26" s="1" t="s">
        <v>37</v>
      </c>
    </row>
    <row r="28" ht="14.25">
      <c r="D28" s="1" t="s">
        <v>38</v>
      </c>
      <c r="E28" s="1"/>
      <c r="G28" s="1" t="s">
        <v>39</v>
      </c>
    </row>
    <row r="29" ht="14.25">
      <c r="D29" s="1" t="s">
        <v>40</v>
      </c>
    </row>
    <row r="30" ht="14.25">
      <c r="D30" s="1" t="s">
        <v>41</v>
      </c>
    </row>
    <row r="31" ht="14.25">
      <c r="D31" s="1" t="s">
        <v>42</v>
      </c>
    </row>
    <row r="32" ht="14.25">
      <c r="D32" s="1" t="s">
        <v>43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1.421875"/>
    <col customWidth="1" min="2" max="2" width="20.57421875"/>
    <col customWidth="1" min="3" max="5" width="17.7109375"/>
    <col customWidth="1" min="6" max="6" style="3" width="17.7109375"/>
    <col customWidth="1" min="7" max="7" style="4" width="17.7109375"/>
    <col customWidth="1" min="8" max="36" width="17.7109375"/>
    <col customWidth="1" min="37" max="37" width="17.7109375"/>
    <col customWidth="1" min="38" max="38" width="19.421875"/>
    <col customWidth="1" min="39" max="16384" width="17.7109375"/>
  </cols>
  <sheetData>
    <row r="1">
      <c r="A1" s="5" t="s">
        <v>44</v>
      </c>
      <c r="B1" t="s">
        <v>45</v>
      </c>
      <c r="C1" s="4"/>
      <c r="D1" s="4"/>
      <c r="E1" s="4"/>
      <c r="F1" s="3"/>
      <c r="G1" s="4"/>
      <c r="H1" s="4"/>
      <c r="I1" s="4"/>
      <c r="J1" s="4"/>
      <c r="K1" s="4"/>
      <c r="L1" s="4"/>
      <c r="M1" s="4"/>
      <c r="N1" s="4"/>
      <c r="S1" s="4"/>
      <c r="X1" s="4"/>
      <c r="Y1" s="4"/>
      <c r="Z1" s="4"/>
      <c r="AA1" s="4" t="s">
        <v>46</v>
      </c>
      <c r="AD1" s="6" t="s">
        <v>47</v>
      </c>
      <c r="AE1" t="s">
        <v>48</v>
      </c>
      <c r="AF1" s="6" t="s">
        <v>49</v>
      </c>
    </row>
    <row r="2" s="5" customFormat="1">
      <c r="C2" s="5" t="s">
        <v>50</v>
      </c>
      <c r="D2" s="5" t="s">
        <v>51</v>
      </c>
      <c r="E2" s="5" t="s">
        <v>52</v>
      </c>
      <c r="F2" s="7" t="s">
        <v>53</v>
      </c>
      <c r="G2" s="5" t="s">
        <v>54</v>
      </c>
      <c r="H2" s="5" t="s">
        <v>55</v>
      </c>
      <c r="I2" s="5" t="s">
        <v>56</v>
      </c>
      <c r="J2" s="7" t="s">
        <v>57</v>
      </c>
      <c r="K2" s="5" t="s">
        <v>58</v>
      </c>
      <c r="L2" s="5" t="s">
        <v>59</v>
      </c>
      <c r="M2" s="5" t="s">
        <v>60</v>
      </c>
      <c r="N2" s="7" t="s">
        <v>61</v>
      </c>
      <c r="O2" s="5" t="s">
        <v>62</v>
      </c>
      <c r="P2" s="5" t="s">
        <v>63</v>
      </c>
      <c r="Q2" s="5" t="s">
        <v>64</v>
      </c>
      <c r="R2" s="7" t="s">
        <v>65</v>
      </c>
      <c r="S2" s="5"/>
      <c r="T2" s="5"/>
      <c r="U2" s="5">
        <v>2013</v>
      </c>
      <c r="V2" s="5">
        <v>2014</v>
      </c>
      <c r="W2" s="5">
        <v>2015</v>
      </c>
      <c r="X2" s="5">
        <v>2016</v>
      </c>
      <c r="Y2" s="5">
        <v>2017</v>
      </c>
      <c r="Z2" s="5">
        <v>2018</v>
      </c>
      <c r="AA2" s="5">
        <v>2019</v>
      </c>
      <c r="AB2" s="5">
        <v>2020</v>
      </c>
      <c r="AC2" s="5">
        <v>2021</v>
      </c>
      <c r="AD2" s="5">
        <f>AC2+1</f>
        <v>2022</v>
      </c>
      <c r="AE2" s="8">
        <f>AD2+1</f>
        <v>2023</v>
      </c>
      <c r="AF2" s="8">
        <f>AE2+1</f>
        <v>2024</v>
      </c>
      <c r="AG2" s="8">
        <f>AF2+1</f>
        <v>2025</v>
      </c>
      <c r="AH2" s="8"/>
      <c r="AI2" s="8"/>
      <c r="AJ2" s="8"/>
      <c r="AK2" s="8">
        <v>2025</v>
      </c>
      <c r="AL2" s="5">
        <v>2026</v>
      </c>
      <c r="AM2" s="5">
        <f>AL2+1</f>
        <v>2027</v>
      </c>
      <c r="AN2" s="5">
        <f>AM2+1</f>
        <v>2028</v>
      </c>
      <c r="AO2" s="5">
        <f>AN2+1</f>
        <v>2029</v>
      </c>
      <c r="AP2" s="5">
        <f>AO2+1</f>
        <v>2030</v>
      </c>
      <c r="AQ2" s="5">
        <f>AP2+1</f>
        <v>2031</v>
      </c>
      <c r="AR2" s="5">
        <f>AQ2+1</f>
        <v>2032</v>
      </c>
      <c r="AS2" s="5">
        <f>AR2+1</f>
        <v>2033</v>
      </c>
      <c r="AT2" s="5">
        <f>AS2+1</f>
        <v>2034</v>
      </c>
      <c r="AU2" s="5">
        <f>AT2+1</f>
        <v>2035</v>
      </c>
      <c r="AV2" s="5"/>
      <c r="AW2" s="5"/>
    </row>
    <row r="3">
      <c r="B3" t="s">
        <v>66</v>
      </c>
      <c r="C3" s="4">
        <v>211.97999999999999</v>
      </c>
      <c r="D3" s="4">
        <v>248.62</v>
      </c>
      <c r="E3" s="4">
        <v>313.97000000000003</v>
      </c>
      <c r="F3" s="3">
        <v>259.49000000000001</v>
      </c>
      <c r="G3" s="4">
        <v>255.34999999999999</v>
      </c>
      <c r="H3" s="4">
        <v>281.86000000000001</v>
      </c>
      <c r="I3" s="4">
        <v>337.82999999999998</v>
      </c>
      <c r="J3" s="3">
        <v>353.24000000000001</v>
      </c>
      <c r="K3" s="4">
        <v>399.5</v>
      </c>
      <c r="L3" s="4">
        <v>448.80000000000001</v>
      </c>
      <c r="M3" s="4">
        <v>490.13999999999999</v>
      </c>
      <c r="N3" s="3">
        <v>556.26999999999998</v>
      </c>
      <c r="O3">
        <v>587.29999999999995</v>
      </c>
      <c r="P3" s="9">
        <v>666.47000000000003</v>
      </c>
      <c r="Q3" s="9">
        <v>604.70000000000005</v>
      </c>
      <c r="R3" s="3">
        <v>584.84000000000003</v>
      </c>
      <c r="S3" s="4"/>
      <c r="X3" s="4"/>
      <c r="Y3" s="4"/>
      <c r="Z3" s="4"/>
      <c r="AA3">
        <v>817.83000000000004</v>
      </c>
      <c r="AB3" s="9">
        <v>767.53999999999996</v>
      </c>
      <c r="AC3">
        <v>753.12</v>
      </c>
      <c r="AD3">
        <v>1034.25</v>
      </c>
      <c r="AE3" s="9">
        <v>1228.29</v>
      </c>
      <c r="AF3">
        <v>1894.72</v>
      </c>
      <c r="AG3">
        <v>2443.3200000000002</v>
      </c>
      <c r="AH3" s="4"/>
      <c r="AI3" s="4"/>
      <c r="AJ3" s="4"/>
      <c r="AK3" s="10">
        <v>2443.3200000000002</v>
      </c>
      <c r="AL3" s="11">
        <f>AK3*(1+$AJ$44)</f>
        <v>2687.6520000000005</v>
      </c>
      <c r="AM3" s="11">
        <f>AL3*(1+$AJ$44)</f>
        <v>2956.4172000000008</v>
      </c>
      <c r="AN3" s="11">
        <f>AM3*(1+$AJ$44)</f>
        <v>3252.0589200000013</v>
      </c>
      <c r="AO3" s="11">
        <f>AN3*(1+$AJ$44)</f>
        <v>3577.2648120000017</v>
      </c>
      <c r="AP3" s="11">
        <f>AO3*(1+$AJ$44)</f>
        <v>3934.991293200002</v>
      </c>
      <c r="AQ3" s="11">
        <f>AP3*(1+$AJ$44)</f>
        <v>4328.4904225200025</v>
      </c>
      <c r="AR3" s="11">
        <f>AQ3*(1+$AJ$44)</f>
        <v>4761.3394647720033</v>
      </c>
      <c r="AS3" s="11">
        <f>AR3*(1+$AJ$44)</f>
        <v>5237.4734112492042</v>
      </c>
      <c r="AT3" s="11">
        <f>AS3*(1+$AJ$44)</f>
        <v>5761.2207523741254</v>
      </c>
      <c r="AU3" s="11">
        <f>AT3*(1+$AJ$44)</f>
        <v>6337.3428276115383</v>
      </c>
    </row>
    <row r="4">
      <c r="B4" t="s">
        <v>67</v>
      </c>
      <c r="C4" s="4">
        <v>0.13</v>
      </c>
      <c r="D4" s="4">
        <v>97.010000000000005</v>
      </c>
      <c r="E4" s="4">
        <v>1.4399999999999999</v>
      </c>
      <c r="F4" s="3">
        <v>3.5299999999999998</v>
      </c>
      <c r="G4" s="4">
        <v>0.17999999999999999</v>
      </c>
      <c r="H4" s="4">
        <v>3.54</v>
      </c>
      <c r="I4" s="4">
        <v>0.54000000000000004</v>
      </c>
      <c r="J4" s="3">
        <v>4.5599999999999996</v>
      </c>
      <c r="K4" s="4">
        <v>0.81999999999999995</v>
      </c>
      <c r="L4" s="4">
        <v>6.7800000000000002</v>
      </c>
      <c r="M4" s="4">
        <v>0.38</v>
      </c>
      <c r="N4" s="3">
        <v>0.60999999999999999</v>
      </c>
      <c r="O4">
        <v>0.87</v>
      </c>
      <c r="P4" s="9">
        <v>7.9199999999999999</v>
      </c>
      <c r="Q4" s="9">
        <v>0.27000000000000002</v>
      </c>
      <c r="R4" s="3">
        <v>0.94999999999999996</v>
      </c>
      <c r="S4" s="4"/>
      <c r="X4" s="4"/>
      <c r="Y4" s="4"/>
      <c r="Z4" s="4"/>
      <c r="AA4">
        <v>0.37</v>
      </c>
      <c r="AB4" s="9">
        <v>1.9399999999999999</v>
      </c>
      <c r="AC4">
        <v>1.53</v>
      </c>
      <c r="AD4">
        <v>102.11</v>
      </c>
      <c r="AE4" s="9">
        <v>8.8200000000000003</v>
      </c>
      <c r="AF4">
        <v>8.5800000000000001</v>
      </c>
      <c r="AG4">
        <v>10.01</v>
      </c>
      <c r="AH4" s="4"/>
      <c r="AI4" s="4"/>
      <c r="AJ4" s="4"/>
      <c r="AK4" s="10">
        <v>10.01</v>
      </c>
      <c r="AL4" s="12">
        <f>AK4*(1+$AJ$44)</f>
        <v>11.011000000000001</v>
      </c>
      <c r="AM4" s="12">
        <f>AL4*(1+$AJ$44)</f>
        <v>12.112100000000002</v>
      </c>
      <c r="AN4" s="12">
        <f>AM4*(1+$AJ$44)</f>
        <v>13.323310000000003</v>
      </c>
      <c r="AO4" s="12">
        <f>AN4*(1+$AJ$44)</f>
        <v>14.655641000000005</v>
      </c>
      <c r="AP4" s="12">
        <f>AO4*(1+$AJ$44)</f>
        <v>16.121205100000008</v>
      </c>
      <c r="AQ4" s="12">
        <f>AP4*(1+$AJ$44)</f>
        <v>17.733325610000012</v>
      </c>
      <c r="AR4" s="12">
        <f>AQ4*(1+$AJ$44)</f>
        <v>19.506658171000016</v>
      </c>
      <c r="AS4" s="12">
        <f>AR4*(1+$AJ$44)</f>
        <v>21.457323988100018</v>
      </c>
      <c r="AT4" s="12">
        <f>AS4*(1+$AJ$44)</f>
        <v>23.603056386910023</v>
      </c>
      <c r="AU4" s="12">
        <f>AT4*(1+$AJ$44)</f>
        <v>25.963362025601025</v>
      </c>
    </row>
    <row r="5">
      <c r="B5" t="s">
        <v>68</v>
      </c>
      <c r="C5" s="4">
        <v>0.01</v>
      </c>
      <c r="D5" s="4">
        <v>0.089999999999999997</v>
      </c>
      <c r="E5" s="4">
        <v>0.070000000000000007</v>
      </c>
      <c r="F5" s="3">
        <v>0.01</v>
      </c>
      <c r="G5" s="4">
        <v>0.23000000000000001</v>
      </c>
      <c r="H5" s="4">
        <v>0.01</v>
      </c>
      <c r="I5" s="4">
        <v>0.02</v>
      </c>
      <c r="J5" s="3">
        <v>0.01</v>
      </c>
      <c r="K5" s="4">
        <v>0.28999999999999998</v>
      </c>
      <c r="L5" s="4">
        <v>0.22</v>
      </c>
      <c r="M5" s="4">
        <v>0.01</v>
      </c>
      <c r="N5" s="3">
        <v>0.01</v>
      </c>
      <c r="O5">
        <v>0.34999999999999998</v>
      </c>
      <c r="P5" s="9">
        <v>0.01</v>
      </c>
      <c r="Q5" s="9">
        <v>0.01</v>
      </c>
      <c r="R5" s="3">
        <v>0.01</v>
      </c>
      <c r="S5" s="4"/>
      <c r="X5" s="4"/>
      <c r="Y5" s="4"/>
      <c r="Z5" s="4"/>
      <c r="AA5">
        <v>3.6299999999999999</v>
      </c>
      <c r="AB5" s="9">
        <v>0.39000000000000001</v>
      </c>
      <c r="AC5">
        <v>0.17000000000000001</v>
      </c>
      <c r="AD5">
        <v>0.17000000000000001</v>
      </c>
      <c r="AE5" s="9">
        <v>0.26000000000000001</v>
      </c>
      <c r="AF5">
        <v>0.53000000000000003</v>
      </c>
      <c r="AG5">
        <v>0.38</v>
      </c>
      <c r="AH5" s="4"/>
      <c r="AI5" s="4"/>
      <c r="AJ5" s="4"/>
      <c r="AK5" s="10">
        <v>0.38</v>
      </c>
      <c r="AL5" s="12">
        <f>AK5*(1+$AJ$44)</f>
        <v>0.41800000000000004</v>
      </c>
      <c r="AM5" s="12">
        <f>AL5*(1+$AJ$44)</f>
        <v>0.4598000000000001</v>
      </c>
      <c r="AN5" s="12">
        <f>AM5*(1+$AJ$44)</f>
        <v>0.50578000000000012</v>
      </c>
      <c r="AO5" s="12">
        <f>AN5*(1+$AJ$44)</f>
        <v>0.55635800000000013</v>
      </c>
      <c r="AP5" s="12">
        <f>AO5*(1+$AJ$44)</f>
        <v>0.61199380000000014</v>
      </c>
      <c r="AQ5" s="12">
        <f>AP5*(1+$AJ$44)</f>
        <v>0.67319318000000017</v>
      </c>
      <c r="AR5" s="12">
        <f>AQ5*(1+$AJ$44)</f>
        <v>0.7405124980000003</v>
      </c>
      <c r="AS5" s="12">
        <f>AR5*(1+$AJ$44)</f>
        <v>0.8145637478000004</v>
      </c>
      <c r="AT5" s="12">
        <f>AS5*(1+$AJ$44)</f>
        <v>0.89602012258000052</v>
      </c>
      <c r="AU5" s="12">
        <f>AT5*(1+$AJ$44)</f>
        <v>0.98562213483800065</v>
      </c>
    </row>
    <row r="6">
      <c r="A6" t="s">
        <v>69</v>
      </c>
      <c r="B6" t="s">
        <v>70</v>
      </c>
      <c r="C6" s="4">
        <v>568.94000000000005</v>
      </c>
      <c r="D6" s="4">
        <v>627.21000000000004</v>
      </c>
      <c r="E6" s="4">
        <v>691.66999999999996</v>
      </c>
      <c r="F6" s="3">
        <v>722.57000000000005</v>
      </c>
      <c r="G6" s="4">
        <v>643.13</v>
      </c>
      <c r="H6" s="4">
        <v>705.05999999999995</v>
      </c>
      <c r="I6" s="4">
        <v>697.69000000000005</v>
      </c>
      <c r="J6" s="3">
        <v>687.53999999999996</v>
      </c>
      <c r="K6" s="4">
        <v>749.92999999999995</v>
      </c>
      <c r="L6" s="4">
        <v>872.12</v>
      </c>
      <c r="M6" s="4">
        <v>862.19000000000005</v>
      </c>
      <c r="N6" s="3">
        <v>1137.3299999999999</v>
      </c>
      <c r="O6">
        <v>1093.9200000000001</v>
      </c>
      <c r="P6" s="9">
        <v>1281.0999999999999</v>
      </c>
      <c r="Q6" s="9">
        <v>1147.95</v>
      </c>
      <c r="R6" s="3">
        <v>1023.36</v>
      </c>
      <c r="S6" s="4"/>
      <c r="X6" s="4"/>
      <c r="Y6" s="4"/>
      <c r="Z6" s="4"/>
      <c r="AA6">
        <v>1515.4000000000001</v>
      </c>
      <c r="AB6" s="9">
        <v>1549.22</v>
      </c>
      <c r="AC6">
        <v>1949.48</v>
      </c>
      <c r="AD6">
        <v>2607.3000000000002</v>
      </c>
      <c r="AE6" s="9">
        <v>2733.4200000000001</v>
      </c>
      <c r="AF6">
        <v>3625.3099999999999</v>
      </c>
      <c r="AG6">
        <v>4546.3299999999999</v>
      </c>
      <c r="AH6" s="4"/>
      <c r="AI6" s="4"/>
      <c r="AJ6" s="4"/>
      <c r="AK6" s="10">
        <v>4546.3299999999999</v>
      </c>
      <c r="AL6" s="12">
        <f>AK6*(1+$AJ$44)</f>
        <v>5000.9630000000006</v>
      </c>
      <c r="AM6" s="12">
        <f>AL6*(1+$AJ$44)</f>
        <v>5501.0593000000008</v>
      </c>
      <c r="AN6" s="12">
        <f>AM6*(1+$AJ$44)</f>
        <v>6051.1652300000014</v>
      </c>
      <c r="AO6" s="12">
        <f>AN6*(1+$AJ$44)</f>
        <v>6656.281753000002</v>
      </c>
      <c r="AP6" s="12">
        <f>AO6*(1+$AJ$44)</f>
        <v>7321.9099283000032</v>
      </c>
      <c r="AQ6" s="12">
        <f>AP6*(1+$AJ$44)</f>
        <v>8054.1009211300043</v>
      </c>
      <c r="AR6" s="12">
        <f>AQ6*(1+$AJ$44)</f>
        <v>8859.5110132430054</v>
      </c>
      <c r="AS6" s="12">
        <f>AR6*(1+$AJ$44)</f>
        <v>9745.4621145673063</v>
      </c>
      <c r="AT6" s="12">
        <f>AS6*(1+$AJ$44)</f>
        <v>10720.008326024037</v>
      </c>
      <c r="AU6" s="12">
        <f>AT6*(1+$AJ$44)</f>
        <v>11792.009158626443</v>
      </c>
    </row>
    <row r="7">
      <c r="B7" t="s">
        <v>71</v>
      </c>
      <c r="C7" s="4">
        <v>106.06999999999999</v>
      </c>
      <c r="D7" s="4">
        <v>334.99000000000001</v>
      </c>
      <c r="E7" s="4">
        <v>8.7400000000000002</v>
      </c>
      <c r="F7" s="3">
        <v>46.100000000000001</v>
      </c>
      <c r="G7" s="4">
        <v>-158.03999999999999</v>
      </c>
      <c r="H7" s="4">
        <v>317.00999999999999</v>
      </c>
      <c r="I7" s="4">
        <v>19.699999999999999</v>
      </c>
      <c r="J7" s="3">
        <v>-39.920000000000002</v>
      </c>
      <c r="K7" s="4">
        <v>334.44</v>
      </c>
      <c r="L7" s="4">
        <v>293.68000000000001</v>
      </c>
      <c r="M7" s="4">
        <v>413.27999999999997</v>
      </c>
      <c r="N7" s="3">
        <v>423.69999999999999</v>
      </c>
      <c r="O7">
        <v>615.44000000000005</v>
      </c>
      <c r="P7" s="9">
        <v>871.24000000000001</v>
      </c>
      <c r="Q7" s="9">
        <v>233.58000000000001</v>
      </c>
      <c r="R7" s="3">
        <v>-429.88999999999999</v>
      </c>
      <c r="S7" s="4"/>
      <c r="X7" s="4"/>
      <c r="Y7" s="4"/>
      <c r="Z7" s="4"/>
      <c r="AA7">
        <v>73.760000000000005</v>
      </c>
      <c r="AB7" s="9">
        <v>0</v>
      </c>
      <c r="AC7">
        <v>859.88</v>
      </c>
      <c r="AD7">
        <v>495.93000000000001</v>
      </c>
      <c r="AE7" s="9">
        <v>138.75999999999999</v>
      </c>
      <c r="AF7">
        <v>1465.1099999999999</v>
      </c>
      <c r="AG7">
        <v>1290.3699999999999</v>
      </c>
      <c r="AH7" s="4"/>
      <c r="AI7" s="4"/>
      <c r="AJ7" s="4"/>
      <c r="AK7" s="10">
        <v>1290.3699999999999</v>
      </c>
      <c r="AL7" s="12">
        <f>AK7*(1+$AJ$44)</f>
        <v>1419.4069999999999</v>
      </c>
      <c r="AM7" s="12">
        <f>AL7*(1+$AJ$44)</f>
        <v>1561.3477</v>
      </c>
      <c r="AN7" s="12">
        <f>AM7*(1+$AJ$44)</f>
        <v>1717.4824700000001</v>
      </c>
      <c r="AO7" s="12">
        <f>AN7*(1+$AJ$44)</f>
        <v>1889.2307170000004</v>
      </c>
      <c r="AP7" s="12">
        <f>AO7*(1+$AJ$44)</f>
        <v>2078.1537887000004</v>
      </c>
      <c r="AQ7" s="12">
        <f>AP7*(1+$AJ$44)</f>
        <v>2285.9691675700005</v>
      </c>
      <c r="AR7" s="12">
        <f>AQ7*(1+$AJ$44)</f>
        <v>2514.5660843270007</v>
      </c>
      <c r="AS7" s="12">
        <f>AR7*(1+$AJ$44)</f>
        <v>2766.0226927597009</v>
      </c>
      <c r="AT7" s="12">
        <f>AS7*(1+$AJ$44)</f>
        <v>3042.6249620356712</v>
      </c>
      <c r="AU7" s="12">
        <f>AT7*(1+$AJ$44)</f>
        <v>3346.8874582392386</v>
      </c>
    </row>
    <row r="8">
      <c r="B8" t="s">
        <v>72</v>
      </c>
      <c r="C8" s="4">
        <v>11.619999999999999</v>
      </c>
      <c r="D8" s="4">
        <v>16.760000000000002</v>
      </c>
      <c r="E8" s="4">
        <v>9.0700000000000003</v>
      </c>
      <c r="F8" s="3">
        <v>19.609999999999999</v>
      </c>
      <c r="G8" s="4">
        <v>12.130000000000001</v>
      </c>
      <c r="H8" s="4">
        <v>12.33</v>
      </c>
      <c r="I8" s="4">
        <v>16.300000000000001</v>
      </c>
      <c r="J8" s="3">
        <v>21.940000000000001</v>
      </c>
      <c r="K8" s="4">
        <v>14.77</v>
      </c>
      <c r="L8" s="4">
        <v>17.609999999999999</v>
      </c>
      <c r="M8" s="4">
        <v>18.309999999999999</v>
      </c>
      <c r="N8" s="3">
        <v>23.370000000000001</v>
      </c>
      <c r="O8">
        <v>14.460000000000001</v>
      </c>
      <c r="P8" s="9">
        <v>11.09</v>
      </c>
      <c r="Q8" s="9">
        <v>12.119999999999999</v>
      </c>
      <c r="R8" s="3">
        <v>10.99</v>
      </c>
      <c r="S8" s="4"/>
      <c r="X8" s="4"/>
      <c r="Y8" s="4"/>
      <c r="Z8" s="4"/>
      <c r="AA8">
        <v>38.259999999999998</v>
      </c>
      <c r="AB8" s="9">
        <v>38.460000000000001</v>
      </c>
      <c r="AC8">
        <v>60.939999999999998</v>
      </c>
      <c r="AD8">
        <v>57.07</v>
      </c>
      <c r="AE8" s="9">
        <v>67.569999999999993</v>
      </c>
      <c r="AF8">
        <v>73.519999999999996</v>
      </c>
      <c r="AG8">
        <v>48.640000000000001</v>
      </c>
      <c r="AH8" s="4"/>
      <c r="AI8" s="4"/>
      <c r="AJ8" s="4"/>
      <c r="AK8" s="10">
        <v>48.640000000000001</v>
      </c>
      <c r="AL8" s="12">
        <f>AK8*(1+$AJ$44)</f>
        <v>53.504000000000005</v>
      </c>
      <c r="AM8" s="12">
        <f>AL8*(1+$AJ$44)</f>
        <v>58.854400000000012</v>
      </c>
      <c r="AN8" s="12">
        <f>AM8*(1+$AJ$44)</f>
        <v>64.739840000000015</v>
      </c>
      <c r="AO8" s="12">
        <f>AN8*(1+$AJ$44)</f>
        <v>71.213824000000017</v>
      </c>
      <c r="AP8" s="12">
        <f>AO8*(1+$AJ$44)</f>
        <v>78.335206400000018</v>
      </c>
      <c r="AQ8" s="12">
        <f>AP8*(1+$AJ$44)</f>
        <v>86.168727040000022</v>
      </c>
      <c r="AR8" s="12">
        <f>AQ8*(1+$AJ$44)</f>
        <v>94.785599744000038</v>
      </c>
      <c r="AS8" s="12">
        <f>AR8*(1+$AJ$44)</f>
        <v>104.26415971840005</v>
      </c>
      <c r="AT8" s="12">
        <f>AS8*(1+$AJ$44)</f>
        <v>114.69057569024007</v>
      </c>
      <c r="AU8" s="12">
        <f>AT8*(1+$AJ$44)</f>
        <v>126.15963325926408</v>
      </c>
    </row>
    <row r="9" s="5" customFormat="1">
      <c r="B9" s="5" t="s">
        <v>73</v>
      </c>
      <c r="C9" s="5">
        <f>C3+C5+C6</f>
        <v>780.93000000000006</v>
      </c>
      <c r="D9" s="5">
        <f>D3+D5+D6</f>
        <v>875.92000000000007</v>
      </c>
      <c r="E9" s="5">
        <f>E3+E5+E6</f>
        <v>1005.71</v>
      </c>
      <c r="F9" s="7">
        <f>F3+F5+F6</f>
        <v>982.07000000000005</v>
      </c>
      <c r="G9" s="5">
        <f>G3+G5+G6</f>
        <v>898.71000000000004</v>
      </c>
      <c r="H9" s="5">
        <f>H3+H5+H6</f>
        <v>986.92999999999995</v>
      </c>
      <c r="I9" s="5">
        <f>I3+I5+I6</f>
        <v>1035.54</v>
      </c>
      <c r="J9" s="7">
        <f>J3+J5+J6</f>
        <v>1040.79</v>
      </c>
      <c r="K9" s="7">
        <f>K3+K5+K6</f>
        <v>1149.72</v>
      </c>
      <c r="L9" s="7">
        <f>L3+L5+L6</f>
        <v>1321.1400000000001</v>
      </c>
      <c r="M9" s="7">
        <f>M3+M5+M6</f>
        <v>1352.3400000000001</v>
      </c>
      <c r="N9" s="7">
        <f>N3+N5+N6</f>
        <v>1693.6099999999999</v>
      </c>
      <c r="O9" s="7">
        <f>O3+O5+O6</f>
        <v>1681.5700000000002</v>
      </c>
      <c r="P9" s="7">
        <f>P3+P5+P6</f>
        <v>1947.5799999999999</v>
      </c>
      <c r="Q9" s="7">
        <f>Q3+Q5+Q6</f>
        <v>1752.6600000000001</v>
      </c>
      <c r="R9" s="7">
        <f>R3+R5+R6</f>
        <v>1608.21</v>
      </c>
      <c r="S9" s="5"/>
      <c r="T9" s="5"/>
      <c r="U9" s="5"/>
      <c r="V9" s="5"/>
      <c r="W9" s="5"/>
      <c r="X9" s="5"/>
      <c r="Y9" s="5"/>
      <c r="Z9" s="5"/>
      <c r="AA9" s="5">
        <f>AA3+AA5+AA6</f>
        <v>2336.8600000000001</v>
      </c>
      <c r="AB9" s="5">
        <f>AB3+AB5+AB6</f>
        <v>2317.1500000000001</v>
      </c>
      <c r="AC9" s="5">
        <f>AC3+AC5+AC6</f>
        <v>2702.77</v>
      </c>
      <c r="AD9" s="5">
        <f>AD3+AD5+AD6</f>
        <v>3641.7200000000003</v>
      </c>
      <c r="AE9" s="5">
        <f>AE3+AE5+AE6</f>
        <v>3961.9700000000003</v>
      </c>
      <c r="AF9" s="5">
        <f>AF3+AF5+AF6</f>
        <v>5520.5599999999995</v>
      </c>
      <c r="AG9" s="5">
        <f>AG3+AG5+AG6</f>
        <v>6990.0300000000007</v>
      </c>
      <c r="AH9" s="5"/>
      <c r="AI9" s="5"/>
      <c r="AJ9" s="5"/>
      <c r="AK9" s="5">
        <f>AK3+AK5+AK6</f>
        <v>6990.0300000000007</v>
      </c>
      <c r="AL9" s="13">
        <f>AL3+AL5+AL6</f>
        <v>7689.0330000000013</v>
      </c>
      <c r="AM9" s="13">
        <f>AM3+AM5+AM6</f>
        <v>8457.9363000000012</v>
      </c>
      <c r="AN9" s="13">
        <f>AN3+AN5+AN6</f>
        <v>9303.7299300000032</v>
      </c>
      <c r="AO9" s="13">
        <f>AO3+AO5+AO6</f>
        <v>10234.102923000004</v>
      </c>
      <c r="AP9" s="13">
        <f>AP3+AP5+AP6</f>
        <v>11257.513215300005</v>
      </c>
      <c r="AQ9" s="13">
        <f>AQ3+AQ5+AQ6</f>
        <v>12383.264536830007</v>
      </c>
      <c r="AR9" s="13">
        <f>AR3+AR5+AR6</f>
        <v>13621.590990513008</v>
      </c>
      <c r="AS9" s="13">
        <f>AS3+AS5+AS6</f>
        <v>14983.75008956431</v>
      </c>
      <c r="AT9" s="13">
        <f>AT3+AT5+AT6</f>
        <v>16482.125098520744</v>
      </c>
      <c r="AU9" s="13">
        <f>AU3+AU5+AU6</f>
        <v>18130.337608372818</v>
      </c>
    </row>
    <row r="10" s="5" customFormat="1">
      <c r="B10" s="5" t="s">
        <v>74</v>
      </c>
      <c r="C10" s="5">
        <f>SUM(C3:C8)</f>
        <v>898.75000000000011</v>
      </c>
      <c r="D10" s="5">
        <f>SUM(D3:D8)</f>
        <v>1324.6800000000001</v>
      </c>
      <c r="E10" s="5">
        <f>SUM(E3:E8)</f>
        <v>1024.96</v>
      </c>
      <c r="F10" s="7">
        <f>SUM(F3:F8)</f>
        <v>1051.3099999999999</v>
      </c>
      <c r="G10" s="5">
        <f>SUM(G3:G8)</f>
        <v>752.98000000000002</v>
      </c>
      <c r="H10" s="5">
        <f>SUM(H3:H8)</f>
        <v>1319.8099999999999</v>
      </c>
      <c r="I10" s="5">
        <f>SUM(I3:I8)</f>
        <v>1072.0799999999999</v>
      </c>
      <c r="J10" s="7">
        <f>SUM(J3:J8)</f>
        <v>1027.3699999999999</v>
      </c>
      <c r="K10" s="5">
        <f>SUM(K3:K8)</f>
        <v>1499.75</v>
      </c>
      <c r="L10" s="5">
        <f>SUM(L3:L8)</f>
        <v>1639.21</v>
      </c>
      <c r="M10" s="5">
        <f>SUM(M3:M8)</f>
        <v>1784.3099999999999</v>
      </c>
      <c r="N10" s="7">
        <f>SUM(N3:N8)</f>
        <v>2141.2899999999995</v>
      </c>
      <c r="O10" s="5">
        <f>SUM(O3:O8)</f>
        <v>2312.3400000000001</v>
      </c>
      <c r="P10" s="5">
        <f>SUM(P3:P8)</f>
        <v>2837.8299999999999</v>
      </c>
      <c r="Q10" s="5">
        <f>SUM(Q3:Q8)</f>
        <v>1998.6299999999999</v>
      </c>
      <c r="R10" s="7">
        <f>SUM(R3:R8)</f>
        <v>1190.26</v>
      </c>
      <c r="S10" s="5"/>
      <c r="T10" s="5"/>
      <c r="U10" s="5">
        <v>464.62</v>
      </c>
      <c r="V10" s="5">
        <v>456.82999999999998</v>
      </c>
      <c r="W10" s="5">
        <v>768.96000000000004</v>
      </c>
      <c r="X10" s="5">
        <v>1054.8900000000001</v>
      </c>
      <c r="Y10" s="5">
        <v>1840.8699999999999</v>
      </c>
      <c r="Z10" s="5">
        <v>2747.9499999999998</v>
      </c>
      <c r="AA10" s="5">
        <f>SUM(AA3:AA8)</f>
        <v>2449.2500000000005</v>
      </c>
      <c r="AB10" s="5">
        <f>SUM(AB3:AB8)</f>
        <v>2357.5500000000002</v>
      </c>
      <c r="AC10" s="5">
        <f>SUM(AC3:AC8)</f>
        <v>3625.1200000000003</v>
      </c>
      <c r="AD10" s="5">
        <f>SUM(AD3:AD8)</f>
        <v>4296.8299999999999</v>
      </c>
      <c r="AE10" s="5">
        <f>SUM(AE3:AE8)</f>
        <v>4177.1199999999999</v>
      </c>
      <c r="AF10" s="5">
        <f>SUM(AF3:AF8)</f>
        <v>7067.7699999999995</v>
      </c>
      <c r="AG10" s="5">
        <f>SUM(AG3:AG8)</f>
        <v>8339.0499999999993</v>
      </c>
      <c r="AH10" s="5"/>
      <c r="AI10" s="5"/>
      <c r="AJ10" s="5"/>
      <c r="AK10" s="5">
        <f>SUM(AK3:AK8)</f>
        <v>8339.0499999999993</v>
      </c>
      <c r="AL10" s="13">
        <f>SUM(AL3:AL8)</f>
        <v>9172.9550000000017</v>
      </c>
      <c r="AM10" s="13">
        <f>SUM(AM3:AM8)</f>
        <v>10090.250500000002</v>
      </c>
      <c r="AN10" s="13">
        <f>SUM(AN3:AN8)</f>
        <v>11099.275550000004</v>
      </c>
      <c r="AO10" s="13">
        <f>SUM(AO3:AO8)</f>
        <v>12209.203105000004</v>
      </c>
      <c r="AP10" s="13">
        <f>SUM(AP3:AP8)</f>
        <v>13430.123415500006</v>
      </c>
      <c r="AQ10" s="13">
        <f>SUM(AQ3:AQ8)</f>
        <v>14773.135757050008</v>
      </c>
      <c r="AR10" s="13">
        <f>SUM(AR3:AR8)</f>
        <v>16250.44933275501</v>
      </c>
      <c r="AS10" s="13">
        <f>SUM(AS3:AS8)</f>
        <v>17875.494266030513</v>
      </c>
      <c r="AT10" s="13">
        <f>SUM(AT3:AT8)</f>
        <v>19663.043692633564</v>
      </c>
      <c r="AU10" s="13">
        <f>SUM(AU3:AU8)</f>
        <v>21629.348061896922</v>
      </c>
    </row>
    <row r="11">
      <c r="B11" t="s">
        <v>75</v>
      </c>
      <c r="C11" s="9">
        <v>2.5099999999999998</v>
      </c>
      <c r="D11" s="9">
        <v>4.0800000000000001</v>
      </c>
      <c r="E11" s="9">
        <v>9.3800000000000008</v>
      </c>
      <c r="F11" s="14">
        <v>3.9199999999999999</v>
      </c>
      <c r="G11" s="9">
        <v>7.6799999999999997</v>
      </c>
      <c r="H11" s="9">
        <v>7.46</v>
      </c>
      <c r="I11" s="9">
        <v>6.2400000000000002</v>
      </c>
      <c r="J11" s="14">
        <v>6.1699999999999999</v>
      </c>
      <c r="K11" s="9">
        <v>31.149999999999999</v>
      </c>
      <c r="L11" s="9">
        <v>11.48</v>
      </c>
      <c r="M11" s="9">
        <v>6.9900000000000002</v>
      </c>
      <c r="N11" s="14">
        <v>16.859999999999999</v>
      </c>
      <c r="O11" s="9">
        <v>5.3499999999999996</v>
      </c>
      <c r="P11" s="9">
        <v>8.1500000000000004</v>
      </c>
      <c r="Q11" s="9">
        <v>3.8799999999999999</v>
      </c>
      <c r="R11" s="14">
        <v>18.289999999999999</v>
      </c>
      <c r="S11" s="4"/>
      <c r="U11" s="9">
        <v>8.2400000000000002</v>
      </c>
      <c r="V11">
        <v>11.42</v>
      </c>
      <c r="W11">
        <v>3.75</v>
      </c>
      <c r="X11" s="4">
        <v>24.702000000000002</v>
      </c>
      <c r="Y11" s="4">
        <v>82.75</v>
      </c>
      <c r="Z11" s="4">
        <v>21.73</v>
      </c>
      <c r="AA11" s="9">
        <v>12.49</v>
      </c>
      <c r="AB11" s="9">
        <v>7.8600000000000003</v>
      </c>
      <c r="AC11" s="9">
        <v>9</v>
      </c>
      <c r="AD11" s="9">
        <v>23</v>
      </c>
      <c r="AE11" s="9">
        <v>20</v>
      </c>
      <c r="AF11">
        <v>62.75</v>
      </c>
      <c r="AG11" s="9">
        <v>78.170000000000002</v>
      </c>
      <c r="AH11" s="9"/>
      <c r="AI11" s="9"/>
      <c r="AJ11" s="9"/>
      <c r="AK11" s="10">
        <v>78.170000000000002</v>
      </c>
      <c r="AL11" s="11">
        <v>50</v>
      </c>
      <c r="AM11" s="11">
        <v>50</v>
      </c>
      <c r="AN11" s="11">
        <v>50</v>
      </c>
      <c r="AO11" s="11">
        <v>50</v>
      </c>
      <c r="AP11" s="11">
        <v>50</v>
      </c>
      <c r="AQ11" s="11">
        <v>50</v>
      </c>
      <c r="AR11" s="11">
        <v>50</v>
      </c>
      <c r="AS11" s="11">
        <v>50</v>
      </c>
      <c r="AT11" s="11">
        <v>50</v>
      </c>
      <c r="AU11" s="11">
        <v>50</v>
      </c>
    </row>
    <row r="12" s="5" customFormat="1">
      <c r="B12" s="5" t="s">
        <v>76</v>
      </c>
      <c r="C12" s="5">
        <f>C10+C11</f>
        <v>901.2600000000001</v>
      </c>
      <c r="D12" s="5">
        <f>D10+D11</f>
        <v>1328.76</v>
      </c>
      <c r="E12" s="5">
        <f>E10+E11</f>
        <v>1034.3400000000001</v>
      </c>
      <c r="F12" s="7">
        <f>F10+F11</f>
        <v>1055.23</v>
      </c>
      <c r="G12" s="5">
        <f>G10+G11</f>
        <v>760.65999999999997</v>
      </c>
      <c r="H12" s="5">
        <f>H10+H11</f>
        <v>1327.27</v>
      </c>
      <c r="I12" s="5">
        <f>I10+I11</f>
        <v>1078.3199999999999</v>
      </c>
      <c r="J12" s="7">
        <f>J10+J11</f>
        <v>1033.54</v>
      </c>
      <c r="K12" s="5">
        <f>K10+K11</f>
        <v>1530.9000000000001</v>
      </c>
      <c r="L12" s="5">
        <f>L10+L11</f>
        <v>1650.6900000000001</v>
      </c>
      <c r="M12" s="5">
        <f>M10+M11</f>
        <v>1791.3</v>
      </c>
      <c r="N12" s="7">
        <f>N10+N11</f>
        <v>2158.1499999999996</v>
      </c>
      <c r="O12" s="5">
        <f>O10+O11</f>
        <v>2317.6900000000001</v>
      </c>
      <c r="P12" s="5">
        <f>P10+P11</f>
        <v>2845.98</v>
      </c>
      <c r="Q12" s="5">
        <f>Q10+Q11</f>
        <v>2002.51</v>
      </c>
      <c r="R12" s="7">
        <f>R10+R11</f>
        <v>1208.55</v>
      </c>
      <c r="S12" s="5"/>
      <c r="T12" s="5"/>
      <c r="U12" s="5">
        <f>U10+U11</f>
        <v>472.86000000000001</v>
      </c>
      <c r="V12" s="5">
        <f>V10+V11</f>
        <v>468.25</v>
      </c>
      <c r="W12" s="5">
        <f>W10+W11</f>
        <v>772.71000000000004</v>
      </c>
      <c r="X12" s="5">
        <f>X10+X11</f>
        <v>1079.5920000000001</v>
      </c>
      <c r="Y12" s="5">
        <f>Y10+Y11</f>
        <v>1923.6199999999999</v>
      </c>
      <c r="Z12" s="5">
        <f>Z10+Z11</f>
        <v>2769.6799999999998</v>
      </c>
      <c r="AA12" s="5">
        <f>AA10+AA11</f>
        <v>2461.7400000000002</v>
      </c>
      <c r="AB12" s="5">
        <f>AB10+AB11</f>
        <v>2365.4100000000003</v>
      </c>
      <c r="AC12" s="5">
        <f>AC10+AC11</f>
        <v>3634.1200000000003</v>
      </c>
      <c r="AD12" s="5">
        <f>AD10+AD11</f>
        <v>4319.8299999999999</v>
      </c>
      <c r="AE12" s="5">
        <f>AE10+AE11</f>
        <v>4197.1199999999999</v>
      </c>
      <c r="AF12" s="5">
        <f>AF10+AF11</f>
        <v>7130.5199999999995</v>
      </c>
      <c r="AG12" s="5">
        <f>AG10+AG11</f>
        <v>8417.2199999999993</v>
      </c>
      <c r="AH12" s="5"/>
      <c r="AI12" s="5"/>
      <c r="AJ12" s="5"/>
      <c r="AK12" s="5">
        <f>AK10+AK11</f>
        <v>8417.2199999999993</v>
      </c>
      <c r="AL12" s="13">
        <f>AL10+AL11</f>
        <v>9222.9550000000017</v>
      </c>
      <c r="AM12" s="13">
        <f>AM10+AM11</f>
        <v>10140.250500000002</v>
      </c>
      <c r="AN12" s="13">
        <f>AN10+AN11</f>
        <v>11149.275550000004</v>
      </c>
      <c r="AO12" s="13">
        <f>AO10+AO11</f>
        <v>12259.203105000004</v>
      </c>
      <c r="AP12" s="13">
        <f>AP10+AP11</f>
        <v>13480.123415500006</v>
      </c>
      <c r="AQ12" s="13">
        <f>AQ10+AQ11</f>
        <v>14823.135757050008</v>
      </c>
      <c r="AR12" s="13">
        <f>AR10+AR11</f>
        <v>16300.44933275501</v>
      </c>
      <c r="AS12" s="13">
        <f>AS10+AS11</f>
        <v>17925.494266030513</v>
      </c>
      <c r="AT12" s="13">
        <f>AT10+AT11</f>
        <v>19713.043692633564</v>
      </c>
      <c r="AU12" s="13">
        <f>AU10+AU11</f>
        <v>21679.348061896922</v>
      </c>
    </row>
    <row r="13" s="0" customFormat="1">
      <c r="B13" s="4" t="s">
        <v>77</v>
      </c>
      <c r="C13" s="9"/>
      <c r="D13" s="9"/>
      <c r="E13" s="9"/>
      <c r="F13" s="14"/>
      <c r="G13" s="9"/>
      <c r="H13" s="9"/>
      <c r="I13" s="9"/>
      <c r="J13" s="14"/>
      <c r="K13" s="9"/>
      <c r="L13" s="9"/>
      <c r="M13" s="9"/>
      <c r="N13" s="14"/>
      <c r="O13" s="9"/>
      <c r="P13" s="9"/>
      <c r="Q13" s="9"/>
      <c r="R13" s="14"/>
      <c r="T13" s="4"/>
      <c r="U13" s="9"/>
      <c r="V13" s="9"/>
      <c r="W13" s="9"/>
      <c r="Y13" s="4"/>
      <c r="Z13" s="4"/>
      <c r="AA13" s="9"/>
      <c r="AB13" s="9"/>
      <c r="AC13" s="9"/>
      <c r="AD13" s="9"/>
      <c r="AF13" s="4"/>
      <c r="AK13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="5" customFormat="1">
      <c r="B14" s="4" t="s">
        <v>78</v>
      </c>
      <c r="C14" s="5"/>
      <c r="D14" s="5"/>
      <c r="E14" s="5"/>
      <c r="F14" s="7"/>
      <c r="G14" s="5"/>
      <c r="H14" s="5"/>
      <c r="I14" s="5"/>
      <c r="J14" s="7"/>
      <c r="K14" s="5"/>
      <c r="L14" s="5"/>
      <c r="M14" s="5"/>
      <c r="N14" s="7"/>
      <c r="O14" s="5"/>
      <c r="P14" s="5"/>
      <c r="Q14" s="5"/>
      <c r="R14" s="7"/>
      <c r="T14" s="4"/>
      <c r="U14" s="9"/>
      <c r="V14" s="9"/>
      <c r="W14" s="9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5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>
      <c r="C15" s="9"/>
      <c r="D15" s="9"/>
      <c r="E15" s="9"/>
      <c r="F15" s="14"/>
      <c r="G15" s="9"/>
      <c r="H15" s="9"/>
      <c r="I15" s="9"/>
      <c r="J15" s="14"/>
      <c r="K15" s="9"/>
      <c r="L15" s="9"/>
      <c r="M15" s="9"/>
      <c r="N15" s="14"/>
      <c r="O15" s="9"/>
      <c r="P15" s="9"/>
      <c r="Q15" s="9"/>
      <c r="R15" s="14"/>
      <c r="U15" s="9"/>
      <c r="V15" s="9"/>
      <c r="W15" s="9"/>
      <c r="X15" s="9"/>
      <c r="Y15" s="9"/>
      <c r="AA15" s="9"/>
      <c r="AB15" s="9"/>
      <c r="AC15" s="9"/>
      <c r="AD15" s="9"/>
      <c r="AE15" s="9"/>
      <c r="AG15" s="9"/>
      <c r="AH15" s="9"/>
      <c r="AI15" s="9"/>
      <c r="AJ15" s="9"/>
      <c r="AK15" s="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B16" t="s">
        <v>79</v>
      </c>
      <c r="C16" s="9">
        <v>106.19</v>
      </c>
      <c r="D16" s="9">
        <v>112.59</v>
      </c>
      <c r="E16" s="9">
        <v>144.34</v>
      </c>
      <c r="F16" s="14">
        <v>115.06999999999999</v>
      </c>
      <c r="G16" s="9">
        <v>114.41</v>
      </c>
      <c r="H16" s="9">
        <v>129.94999999999999</v>
      </c>
      <c r="I16" s="9">
        <v>169.44</v>
      </c>
      <c r="J16" s="14">
        <v>189.56999999999999</v>
      </c>
      <c r="K16" s="9">
        <v>215.88999999999999</v>
      </c>
      <c r="L16" s="9">
        <v>241.13</v>
      </c>
      <c r="M16" s="9">
        <v>262.38999999999999</v>
      </c>
      <c r="N16" s="14">
        <v>294.73000000000002</v>
      </c>
      <c r="O16" s="9">
        <v>317.68000000000001</v>
      </c>
      <c r="P16" s="9">
        <v>347.05000000000001</v>
      </c>
      <c r="Q16" s="9">
        <v>302.60000000000002</v>
      </c>
      <c r="R16" s="14">
        <v>298.49000000000001</v>
      </c>
      <c r="S16" s="4"/>
      <c r="U16" s="9">
        <v>4.7999999999999998</v>
      </c>
      <c r="V16" s="9">
        <v>2.8599999999999999</v>
      </c>
      <c r="W16" s="9">
        <v>30.940000000000001</v>
      </c>
      <c r="X16" s="4">
        <v>173.75999999999999</v>
      </c>
      <c r="Y16" s="4">
        <v>442.25999999999999</v>
      </c>
      <c r="Z16" s="4">
        <v>495.58999999999997</v>
      </c>
      <c r="AA16" s="9">
        <v>516.85000000000002</v>
      </c>
      <c r="AB16" s="9">
        <v>494.47000000000003</v>
      </c>
      <c r="AC16" s="9">
        <v>430.27999999999997</v>
      </c>
      <c r="AD16" s="9">
        <v>478.19</v>
      </c>
      <c r="AE16" s="9">
        <v>595.83000000000004</v>
      </c>
      <c r="AF16">
        <v>1014.14</v>
      </c>
      <c r="AG16" s="9">
        <v>1298.46</v>
      </c>
      <c r="AH16" s="9"/>
      <c r="AI16" s="9"/>
      <c r="AJ16" s="9"/>
      <c r="AK16" s="10">
        <v>1298.46</v>
      </c>
      <c r="AL16" s="11">
        <f>AL3*$AJ$38</f>
        <v>1438.5531367589936</v>
      </c>
      <c r="AM16" s="11">
        <f>AM3*$AJ$38</f>
        <v>1582.4084504348932</v>
      </c>
      <c r="AN16" s="11">
        <f>AN3*$AJ$38</f>
        <v>1740.6492954783828</v>
      </c>
      <c r="AO16" s="11">
        <f>AO3*$AJ$38</f>
        <v>1914.7142250262211</v>
      </c>
      <c r="AP16" s="11">
        <f>AP3*$AJ$38</f>
        <v>2106.1856475288432</v>
      </c>
      <c r="AQ16" s="11">
        <f>AQ3*$AJ$38</f>
        <v>2316.8042122817278</v>
      </c>
      <c r="AR16" s="11">
        <f>AR3*$AJ$38</f>
        <v>2548.484633509901</v>
      </c>
      <c r="AS16" s="11">
        <f>AS3*$AJ$38</f>
        <v>2803.3330968608911</v>
      </c>
      <c r="AT16" s="11">
        <f>AT3*$AJ$38</f>
        <v>3083.6664065469809</v>
      </c>
      <c r="AU16" s="11">
        <f>AU3*$AJ$38</f>
        <v>3392.033047201679</v>
      </c>
    </row>
    <row r="17">
      <c r="B17" t="s">
        <v>80</v>
      </c>
      <c r="C17" s="9">
        <v>196.75999999999999</v>
      </c>
      <c r="D17" s="9">
        <v>228.69999999999999</v>
      </c>
      <c r="E17" s="9">
        <v>238.40000000000001</v>
      </c>
      <c r="F17" s="14">
        <v>229</v>
      </c>
      <c r="G17" s="9">
        <v>221.34</v>
      </c>
      <c r="H17" s="9">
        <v>212.44999999999999</v>
      </c>
      <c r="I17" s="9">
        <v>219.28</v>
      </c>
      <c r="J17" s="14">
        <v>203.36000000000001</v>
      </c>
      <c r="K17" s="9">
        <v>217.44</v>
      </c>
      <c r="L17" s="9">
        <v>280.10000000000002</v>
      </c>
      <c r="M17" s="9">
        <v>278.44</v>
      </c>
      <c r="N17" s="14">
        <v>361.86000000000001</v>
      </c>
      <c r="O17" s="9">
        <v>361.88999999999999</v>
      </c>
      <c r="P17" s="9">
        <v>389.24000000000001</v>
      </c>
      <c r="Q17" s="9">
        <v>302.89999999999998</v>
      </c>
      <c r="R17" s="14">
        <v>270.38999999999999</v>
      </c>
      <c r="S17" s="4"/>
      <c r="U17" s="9">
        <v>0</v>
      </c>
      <c r="V17" s="9">
        <v>0</v>
      </c>
      <c r="W17" s="9">
        <v>0</v>
      </c>
      <c r="X17">
        <v>0</v>
      </c>
      <c r="Y17" s="4">
        <v>367.91000000000003</v>
      </c>
      <c r="Z17" s="4">
        <v>599.85000000000002</v>
      </c>
      <c r="AA17" s="9">
        <v>461.63999999999999</v>
      </c>
      <c r="AB17" s="9">
        <v>469.11000000000001</v>
      </c>
      <c r="AC17" s="9">
        <v>635.85000000000002</v>
      </c>
      <c r="AD17" s="9">
        <v>892.85000000000002</v>
      </c>
      <c r="AE17" s="9">
        <v>861.30999999999995</v>
      </c>
      <c r="AF17">
        <v>1137.8399999999999</v>
      </c>
      <c r="AG17" s="9">
        <v>1329.0599999999999</v>
      </c>
      <c r="AH17" s="9"/>
      <c r="AI17" s="9"/>
      <c r="AJ17" s="9"/>
      <c r="AK17" s="10">
        <v>1329.0599999999999</v>
      </c>
      <c r="AL17" s="11">
        <f>AL6*$AJ$39</f>
        <v>1569.8330637614756</v>
      </c>
      <c r="AM17" s="11">
        <f>AM6*$AJ$39</f>
        <v>1726.8163701376234</v>
      </c>
      <c r="AN17" s="11">
        <f>AN6*$AJ$39</f>
        <v>1899.4980071513858</v>
      </c>
      <c r="AO17" s="11">
        <f>AO6*$AJ$39</f>
        <v>2089.4478078665247</v>
      </c>
      <c r="AP17" s="11">
        <f>AP6*$AJ$39</f>
        <v>2298.3925886531774</v>
      </c>
      <c r="AQ17" s="11">
        <f>AQ6*$AJ$39</f>
        <v>2528.2318475184952</v>
      </c>
      <c r="AR17" s="11">
        <f>AR6*$AJ$39</f>
        <v>2781.0550322703448</v>
      </c>
      <c r="AS17" s="11">
        <f>AS6*$AJ$39</f>
        <v>3059.1605354973794</v>
      </c>
      <c r="AT17" s="11">
        <f>AT6*$AJ$39</f>
        <v>3365.0765890471175</v>
      </c>
      <c r="AU17" s="11">
        <f>AU6*$AJ$39</f>
        <v>3701.5842479518301</v>
      </c>
    </row>
    <row r="18">
      <c r="B18" s="4" t="s">
        <v>81</v>
      </c>
      <c r="C18" s="9">
        <v>0</v>
      </c>
      <c r="D18" s="9">
        <v>0</v>
      </c>
      <c r="E18" s="9">
        <v>0</v>
      </c>
      <c r="F18" s="14">
        <v>0</v>
      </c>
      <c r="G18" s="9">
        <v>0</v>
      </c>
      <c r="H18" s="9">
        <v>3.4399999999999999</v>
      </c>
      <c r="I18" s="9">
        <v>0</v>
      </c>
      <c r="J18" s="14">
        <v>0</v>
      </c>
      <c r="K18" s="9">
        <v>0</v>
      </c>
      <c r="L18" s="9">
        <v>0</v>
      </c>
      <c r="M18" s="9">
        <v>0</v>
      </c>
      <c r="N18" s="14">
        <v>0</v>
      </c>
      <c r="O18" s="9">
        <v>0</v>
      </c>
      <c r="P18" s="9">
        <v>0</v>
      </c>
      <c r="Q18" s="9">
        <v>0</v>
      </c>
      <c r="R18" s="14">
        <v>0</v>
      </c>
      <c r="T18" s="4"/>
      <c r="U18" s="9">
        <v>0</v>
      </c>
      <c r="V18" s="9">
        <v>0</v>
      </c>
      <c r="W18" s="9">
        <v>0</v>
      </c>
      <c r="X18">
        <v>0</v>
      </c>
      <c r="Y18" s="4">
        <v>0</v>
      </c>
      <c r="Z18" s="4">
        <v>0</v>
      </c>
      <c r="AA18" s="9">
        <v>0</v>
      </c>
      <c r="AB18" s="9">
        <v>219.02000000000001</v>
      </c>
      <c r="AC18" s="9"/>
      <c r="AD18" s="9"/>
      <c r="AE18" s="9"/>
      <c r="AF18" s="4"/>
      <c r="AG18" s="9"/>
      <c r="AH18" s="9"/>
      <c r="AI18" s="9"/>
      <c r="AJ18" s="9"/>
      <c r="AK18" s="10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t="s">
        <v>82</v>
      </c>
      <c r="B19" t="s">
        <v>83</v>
      </c>
      <c r="C19" s="9">
        <v>42.479999999999997</v>
      </c>
      <c r="D19" s="9">
        <v>27.02</v>
      </c>
      <c r="E19" s="9">
        <v>29.48</v>
      </c>
      <c r="F19" s="14">
        <v>-4.3300000000000001</v>
      </c>
      <c r="G19" s="9">
        <v>8.5500000000000007</v>
      </c>
      <c r="H19" s="9">
        <v>15.449999999999999</v>
      </c>
      <c r="I19" s="9">
        <v>10.01</v>
      </c>
      <c r="J19" s="14">
        <v>5.3399999999999999</v>
      </c>
      <c r="K19" s="9">
        <v>23.34</v>
      </c>
      <c r="L19" s="9">
        <v>10.619999999999999</v>
      </c>
      <c r="M19" s="9">
        <v>2.6899999999999999</v>
      </c>
      <c r="N19" s="14">
        <v>17.309999999999999</v>
      </c>
      <c r="O19" s="9">
        <v>14.960000000000001</v>
      </c>
      <c r="P19" s="9">
        <v>0.53000000000000003</v>
      </c>
      <c r="Q19" s="9">
        <v>-8.5999999999999996</v>
      </c>
      <c r="R19" s="14">
        <v>1.79</v>
      </c>
      <c r="S19" s="4"/>
      <c r="U19" s="9">
        <v>0</v>
      </c>
      <c r="V19" s="9">
        <v>0</v>
      </c>
      <c r="W19" s="9">
        <v>0</v>
      </c>
      <c r="X19" s="4">
        <v>0</v>
      </c>
      <c r="Y19" s="4">
        <v>0</v>
      </c>
      <c r="Z19" s="4">
        <v>0</v>
      </c>
      <c r="AA19" s="9">
        <v>360.41000000000003</v>
      </c>
      <c r="AB19" s="9">
        <v>91.299999999999997</v>
      </c>
      <c r="AC19" s="9">
        <v>97.609999999999999</v>
      </c>
      <c r="AD19" s="9">
        <v>94.659999999999997</v>
      </c>
      <c r="AE19" s="9">
        <v>42.789999999999999</v>
      </c>
      <c r="AF19">
        <v>53.979999999999997</v>
      </c>
      <c r="AG19" s="9">
        <v>8.6899999999999995</v>
      </c>
      <c r="AH19" s="9"/>
      <c r="AI19" s="9"/>
      <c r="AJ19" s="9"/>
      <c r="AK19" s="10">
        <v>8.6899999999999995</v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B20" t="s">
        <v>84</v>
      </c>
      <c r="C20" s="9">
        <v>180.37</v>
      </c>
      <c r="D20" s="9">
        <v>210.00999999999999</v>
      </c>
      <c r="E20" s="9">
        <v>226.84999999999999</v>
      </c>
      <c r="F20" s="14">
        <v>250.36000000000001</v>
      </c>
      <c r="G20" s="9">
        <v>232.18000000000001</v>
      </c>
      <c r="H20" s="9">
        <v>243.55000000000001</v>
      </c>
      <c r="I20" s="9">
        <v>260.67000000000002</v>
      </c>
      <c r="J20" s="14">
        <v>271.98000000000002</v>
      </c>
      <c r="K20" s="9">
        <v>317.85000000000002</v>
      </c>
      <c r="L20" s="9">
        <v>309.91000000000003</v>
      </c>
      <c r="M20" s="9">
        <v>303.77999999999997</v>
      </c>
      <c r="N20" s="14">
        <v>398.27999999999997</v>
      </c>
      <c r="O20" s="9">
        <v>396.99000000000001</v>
      </c>
      <c r="P20" s="9">
        <v>453.70999999999998</v>
      </c>
      <c r="Q20" s="9">
        <v>458.19</v>
      </c>
      <c r="R20" s="14">
        <v>432.5</v>
      </c>
      <c r="S20" s="4"/>
      <c r="U20" s="9">
        <v>107.95999999999999</v>
      </c>
      <c r="V20" s="9">
        <v>127.31999999999999</v>
      </c>
      <c r="W20" s="9">
        <v>190.15000000000001</v>
      </c>
      <c r="X20" s="4">
        <v>250.94999999999999</v>
      </c>
      <c r="Y20" s="4">
        <v>353.39999999999998</v>
      </c>
      <c r="Z20" s="4">
        <v>500.13</v>
      </c>
      <c r="AA20" s="9">
        <v>501.76999999999998</v>
      </c>
      <c r="AB20" s="9">
        <v>539.79999999999995</v>
      </c>
      <c r="AC20" s="9">
        <v>643.58000000000004</v>
      </c>
      <c r="AD20" s="9">
        <v>867.58000000000004</v>
      </c>
      <c r="AE20" s="9">
        <v>1008.38</v>
      </c>
      <c r="AF20">
        <v>1329.8099999999999</v>
      </c>
      <c r="AG20" s="9">
        <v>1741.3900000000001</v>
      </c>
      <c r="AH20" s="9"/>
      <c r="AI20" s="9"/>
      <c r="AJ20" s="9"/>
      <c r="AK20" s="10">
        <v>1741.3900000000001</v>
      </c>
      <c r="AL20" s="11">
        <f>AK20*($AJ$48+1)</f>
        <v>1880.7012000000002</v>
      </c>
      <c r="AM20" s="11">
        <f>AL20*($AJ$48+1)</f>
        <v>2031.1572960000003</v>
      </c>
      <c r="AN20" s="11">
        <f>AM20*($AJ$48+1)</f>
        <v>2193.6498796800006</v>
      </c>
      <c r="AO20" s="11">
        <f>AN20*($AJ$48+1)</f>
        <v>2369.1418700544009</v>
      </c>
      <c r="AP20" s="11">
        <f>AO20*($AJ$48+1)</f>
        <v>2558.6732196587532</v>
      </c>
      <c r="AQ20" s="11">
        <f>AP20*($AJ$48+1)</f>
        <v>2763.3670772314535</v>
      </c>
      <c r="AR20" s="11">
        <f>AQ20*($AJ$48+1)</f>
        <v>2984.4364434099703</v>
      </c>
      <c r="AS20" s="11">
        <f>AR20*($AJ$48+1)</f>
        <v>3223.1913588827679</v>
      </c>
      <c r="AT20" s="11">
        <f>AS20*($AJ$48+1)</f>
        <v>3481.0466675933894</v>
      </c>
      <c r="AU20" s="11">
        <f>AT20*($AJ$48+1)</f>
        <v>3759.5304010008608</v>
      </c>
    </row>
    <row r="21">
      <c r="B21" t="s">
        <v>85</v>
      </c>
      <c r="C21" s="9">
        <v>11.26</v>
      </c>
      <c r="D21" s="9">
        <v>13.140000000000001</v>
      </c>
      <c r="E21" s="9">
        <v>12.720000000000001</v>
      </c>
      <c r="F21" s="14">
        <v>11.15</v>
      </c>
      <c r="G21" s="9">
        <v>13.359999999999999</v>
      </c>
      <c r="H21" s="9">
        <v>15.57</v>
      </c>
      <c r="I21" s="9">
        <v>16.699999999999999</v>
      </c>
      <c r="J21" s="14">
        <v>12.75</v>
      </c>
      <c r="K21" s="9">
        <v>17.350000000000001</v>
      </c>
      <c r="L21" s="9">
        <v>17.260000000000002</v>
      </c>
      <c r="M21" s="9">
        <v>24.030000000000001</v>
      </c>
      <c r="N21" s="14">
        <v>23.940000000000001</v>
      </c>
      <c r="O21" s="9">
        <v>21.84</v>
      </c>
      <c r="P21" s="9">
        <v>23.41</v>
      </c>
      <c r="Q21" s="9">
        <v>27.300000000000001</v>
      </c>
      <c r="R21" s="14">
        <v>26.219999999999999</v>
      </c>
      <c r="S21" s="4"/>
      <c r="U21" s="9">
        <v>25.850000000000001</v>
      </c>
      <c r="V21" s="9">
        <v>24.199999999999999</v>
      </c>
      <c r="W21" s="9">
        <v>30.670000000000002</v>
      </c>
      <c r="X21" s="4">
        <v>34.939999999999998</v>
      </c>
      <c r="Y21" s="4">
        <v>32.840000000000003</v>
      </c>
      <c r="Z21" s="4">
        <v>37.490000000000002</v>
      </c>
      <c r="AA21" s="9">
        <v>23.949999999999999</v>
      </c>
      <c r="AB21" s="9">
        <v>39.710000000000001</v>
      </c>
      <c r="AC21" s="9">
        <v>47.520000000000003</v>
      </c>
      <c r="AD21" s="9">
        <v>48.259999999999998</v>
      </c>
      <c r="AE21" s="9">
        <v>58.380000000000003</v>
      </c>
      <c r="AF21">
        <v>82.579999999999998</v>
      </c>
      <c r="AG21" s="9">
        <v>98.760000000000005</v>
      </c>
      <c r="AH21" s="9"/>
      <c r="AI21" s="9"/>
      <c r="AJ21" s="9"/>
      <c r="AK21" s="10">
        <v>98.760000000000005</v>
      </c>
      <c r="AL21" s="11">
        <f>AK21*($AJ$49+1)</f>
        <v>103.69800000000001</v>
      </c>
      <c r="AM21" s="11">
        <f>AL21*($AJ$49+1)</f>
        <v>108.88290000000001</v>
      </c>
      <c r="AN21" s="11">
        <f>AM21*($AJ$49+1)</f>
        <v>114.32704500000001</v>
      </c>
      <c r="AO21" s="11">
        <f>AN21*($AJ$49+1)</f>
        <v>120.04339725000001</v>
      </c>
      <c r="AP21" s="11">
        <f>AO21*($AJ$49+1)</f>
        <v>126.04556711250002</v>
      </c>
      <c r="AQ21" s="11">
        <f>AP21*($AJ$49+1)</f>
        <v>132.34784546812503</v>
      </c>
      <c r="AR21" s="11">
        <f>AQ21*($AJ$49+1)</f>
        <v>138.9652377415313</v>
      </c>
      <c r="AS21" s="11">
        <f>AR21*($AJ$49+1)</f>
        <v>145.91349962860787</v>
      </c>
      <c r="AT21" s="11">
        <f>AS21*($AJ$49+1)</f>
        <v>153.20917461003827</v>
      </c>
      <c r="AU21" s="11">
        <f>AT21*($AJ$49+1)</f>
        <v>160.86963334054019</v>
      </c>
    </row>
    <row r="22">
      <c r="B22" t="s">
        <v>86</v>
      </c>
      <c r="C22" s="9">
        <v>78.469999999999999</v>
      </c>
      <c r="D22" s="9">
        <v>78.25</v>
      </c>
      <c r="E22" s="9">
        <v>81.930000000000007</v>
      </c>
      <c r="F22" s="14">
        <v>83.760000000000005</v>
      </c>
      <c r="G22" s="9">
        <v>89.900000000000006</v>
      </c>
      <c r="H22" s="9">
        <v>99.75</v>
      </c>
      <c r="I22" s="9">
        <v>95.469999999999999</v>
      </c>
      <c r="J22" s="14">
        <v>103.06</v>
      </c>
      <c r="K22" s="9">
        <v>103.06999999999999</v>
      </c>
      <c r="L22" s="9">
        <v>134.09999999999999</v>
      </c>
      <c r="M22" s="9">
        <v>111.34999999999999</v>
      </c>
      <c r="N22" s="14">
        <v>132.31999999999999</v>
      </c>
      <c r="O22" s="9">
        <v>145.72999999999999</v>
      </c>
      <c r="P22" s="9">
        <v>178.37</v>
      </c>
      <c r="Q22" s="9">
        <v>179.46000000000001</v>
      </c>
      <c r="R22" s="14">
        <v>205.81999999999999</v>
      </c>
      <c r="S22" s="4"/>
      <c r="U22" s="9">
        <v>190.50999999999999</v>
      </c>
      <c r="V22" s="9">
        <v>198.75</v>
      </c>
      <c r="W22" s="9">
        <v>325.36000000000001</v>
      </c>
      <c r="X22" s="4">
        <v>395.38999999999999</v>
      </c>
      <c r="Y22" s="4">
        <v>193.71000000000001</v>
      </c>
      <c r="Z22" s="4">
        <v>370.02999999999997</v>
      </c>
      <c r="AA22" s="9">
        <v>219.22</v>
      </c>
      <c r="AB22" s="9">
        <v>226.81</v>
      </c>
      <c r="AC22" s="9">
        <v>232.75999999999999</v>
      </c>
      <c r="AD22" s="9">
        <v>322.48000000000002</v>
      </c>
      <c r="AE22" s="9">
        <v>388.18000000000001</v>
      </c>
      <c r="AF22">
        <v>480.29000000000002</v>
      </c>
      <c r="AG22" s="9">
        <v>714.60000000000002</v>
      </c>
      <c r="AH22" s="9"/>
      <c r="AI22" s="9"/>
      <c r="AJ22" s="9"/>
      <c r="AK22" s="10">
        <v>714.60000000000002</v>
      </c>
      <c r="AL22" s="11">
        <f>AK22*($AJ$50+1)</f>
        <v>764.62200000000007</v>
      </c>
      <c r="AM22" s="11">
        <f>AL22*($AJ$50+1)</f>
        <v>818.1455400000001</v>
      </c>
      <c r="AN22" s="11">
        <f>AM22*($AJ$50+1)</f>
        <v>875.41572780000013</v>
      </c>
      <c r="AO22" s="11">
        <f>AN22*($AJ$50+1)</f>
        <v>936.69482874600021</v>
      </c>
      <c r="AP22" s="11">
        <f>AO22*($AJ$50+1)</f>
        <v>1002.2634667582203</v>
      </c>
      <c r="AQ22" s="11">
        <f>AP22*($AJ$50+1)</f>
        <v>1072.4219094312957</v>
      </c>
      <c r="AR22" s="11">
        <f>AQ22*($AJ$50+1)</f>
        <v>1147.4914430914864</v>
      </c>
      <c r="AS22" s="11">
        <f>AR22*($AJ$50+1)</f>
        <v>1227.8158441078906</v>
      </c>
      <c r="AT22" s="11">
        <f>AS22*($AJ$50+1)</f>
        <v>1313.7629531954431</v>
      </c>
      <c r="AU22" s="11">
        <f>AT22*($AJ$50+1)</f>
        <v>1405.7263599191242</v>
      </c>
    </row>
    <row r="23" s="5" customFormat="1">
      <c r="B23" s="5" t="s">
        <v>87</v>
      </c>
      <c r="C23" s="5">
        <f>SUM(C16:C22)</f>
        <v>615.52999999999997</v>
      </c>
      <c r="D23" s="5">
        <f>SUM(D16:D22)</f>
        <v>669.70999999999992</v>
      </c>
      <c r="E23" s="5">
        <f>SUM(E16:E22)</f>
        <v>733.72000000000003</v>
      </c>
      <c r="F23" s="7">
        <f>SUM(F16:F22)</f>
        <v>685.00999999999999</v>
      </c>
      <c r="G23" s="5">
        <f>SUM(G16:G22)</f>
        <v>679.74000000000001</v>
      </c>
      <c r="H23" s="5">
        <f>SUM(H16:H22)</f>
        <v>720.15999999999997</v>
      </c>
      <c r="I23" s="5">
        <f>SUM(I16:I22)</f>
        <v>771.57000000000016</v>
      </c>
      <c r="J23" s="7">
        <f>SUM(J16:J22)</f>
        <v>786.05999999999995</v>
      </c>
      <c r="K23" s="5">
        <f>SUM(K16:K22)</f>
        <v>894.94000000000005</v>
      </c>
      <c r="L23" s="5">
        <f>SUM(L16:L22)</f>
        <v>993.12</v>
      </c>
      <c r="M23" s="5">
        <f>SUM(M16:M22)</f>
        <v>982.67999999999995</v>
      </c>
      <c r="N23" s="7">
        <f>SUM(N16:N22)</f>
        <v>1228.4399999999998</v>
      </c>
      <c r="O23" s="5">
        <f>SUM(O16:O22)</f>
        <v>1259.0899999999999</v>
      </c>
      <c r="P23" s="5">
        <f>SUM(P16:P22)</f>
        <v>1392.3099999999999</v>
      </c>
      <c r="Q23" s="5">
        <f>SUM(Q16:Q22)</f>
        <v>1261.8499999999999</v>
      </c>
      <c r="R23" s="7">
        <f>SUM(R16:R22)</f>
        <v>1235.2099999999998</v>
      </c>
      <c r="S23" s="5"/>
      <c r="T23" s="5"/>
      <c r="U23" s="5">
        <f>SUM(U16:U22)</f>
        <v>329.12</v>
      </c>
      <c r="V23" s="5">
        <f>SUM(V16:V22)</f>
        <v>353.13</v>
      </c>
      <c r="W23" s="5">
        <f>SUM(W16:W22)</f>
        <v>577.12</v>
      </c>
      <c r="X23" s="5">
        <f>SUM(X16:X22)</f>
        <v>855.03999999999996</v>
      </c>
      <c r="Y23" s="5">
        <f>SUM(Y16:Y22)</f>
        <v>1390.1200000000001</v>
      </c>
      <c r="Z23" s="5">
        <f>SUM(Z16:Z22)</f>
        <v>2003.0900000000001</v>
      </c>
      <c r="AA23" s="5">
        <f>SUM(AA16:AA22)</f>
        <v>2083.8400000000001</v>
      </c>
      <c r="AB23" s="5">
        <f>SUM(AB16:AB22)</f>
        <v>2080.2200000000003</v>
      </c>
      <c r="AC23" s="5">
        <f>SUM(AC16:AC22)</f>
        <v>2087.6000000000004</v>
      </c>
      <c r="AD23" s="5">
        <f>SUM(AD16:AD22)</f>
        <v>2704.0200000000004</v>
      </c>
      <c r="AE23" s="5">
        <f>SUM(AE16:AE22)</f>
        <v>2954.8699999999999</v>
      </c>
      <c r="AF23" s="5">
        <f>SUM(AF16:AF22)</f>
        <v>4098.6400000000003</v>
      </c>
      <c r="AG23" s="5">
        <f>SUM(AG16:AG22)</f>
        <v>5190.9600000000009</v>
      </c>
      <c r="AH23" s="5"/>
      <c r="AI23" s="5"/>
      <c r="AJ23" s="5"/>
      <c r="AK23" s="5">
        <f>SUM(AK16:AK22)</f>
        <v>5190.9600000000009</v>
      </c>
      <c r="AL23" s="13">
        <f>SUM(AL16:AL22)</f>
        <v>5757.4074005204702</v>
      </c>
      <c r="AM23" s="13">
        <f>SUM(AM16:AM22)</f>
        <v>6267.4105565725167</v>
      </c>
      <c r="AN23" s="13">
        <f>SUM(AN16:AN22)</f>
        <v>6823.5399551097689</v>
      </c>
      <c r="AO23" s="13">
        <f>SUM(AO16:AO22)</f>
        <v>7430.042128943147</v>
      </c>
      <c r="AP23" s="13">
        <f>SUM(AP16:AP22)</f>
        <v>8091.5604897114936</v>
      </c>
      <c r="AQ23" s="13">
        <f>SUM(AQ16:AQ22)</f>
        <v>8813.1728919310972</v>
      </c>
      <c r="AR23" s="13">
        <f>SUM(AR16:AR22)</f>
        <v>9600.4327900232347</v>
      </c>
      <c r="AS23" s="13">
        <f>SUM(AS16:AS22)</f>
        <v>10459.414334977537</v>
      </c>
      <c r="AT23" s="13">
        <f>SUM(AT16:AT22)</f>
        <v>11396.761790992969</v>
      </c>
      <c r="AU23" s="13">
        <f>SUM(AU16:AU22)</f>
        <v>12419.743689414036</v>
      </c>
    </row>
    <row r="24" s="0" customFormat="1">
      <c r="B24" s="4" t="s">
        <v>88</v>
      </c>
      <c r="C24" s="9">
        <v>0</v>
      </c>
      <c r="D24" s="9">
        <v>0</v>
      </c>
      <c r="E24" s="9">
        <v>0</v>
      </c>
      <c r="F24" s="14">
        <v>0</v>
      </c>
      <c r="G24" s="9">
        <v>0</v>
      </c>
      <c r="H24" s="9">
        <v>0</v>
      </c>
      <c r="I24" s="9">
        <v>0</v>
      </c>
      <c r="J24" s="14">
        <v>0</v>
      </c>
      <c r="K24" s="9">
        <v>0</v>
      </c>
      <c r="L24" s="9">
        <v>0</v>
      </c>
      <c r="M24" s="9">
        <v>0</v>
      </c>
      <c r="N24" s="14">
        <v>0</v>
      </c>
      <c r="O24" s="9">
        <v>0</v>
      </c>
      <c r="P24" s="9">
        <v>0</v>
      </c>
      <c r="Q24" s="9">
        <v>0</v>
      </c>
      <c r="R24" s="14">
        <v>0</v>
      </c>
      <c r="T24" s="4"/>
      <c r="U24" s="9">
        <v>18.07</v>
      </c>
      <c r="V24" s="9">
        <v>-55.579999999999998</v>
      </c>
      <c r="W24" s="9">
        <v>0</v>
      </c>
      <c r="X24" s="9">
        <v>0</v>
      </c>
      <c r="Y24" s="9">
        <v>-27.879999999999999</v>
      </c>
      <c r="Z24" s="9">
        <v>0</v>
      </c>
      <c r="AA24" s="9">
        <v>0</v>
      </c>
      <c r="AB24" s="9">
        <v>0</v>
      </c>
      <c r="AC24">
        <v>-88.099999999999994</v>
      </c>
      <c r="AD24">
        <v>0</v>
      </c>
      <c r="AE24">
        <v>0</v>
      </c>
      <c r="AF24" s="4">
        <v>0</v>
      </c>
      <c r="AG24">
        <v>0</v>
      </c>
      <c r="AH24" s="4"/>
      <c r="AI24" s="4"/>
      <c r="AJ24" s="4"/>
      <c r="AK24" s="10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</row>
    <row r="25" s="5" customFormat="1">
      <c r="B25" s="5" t="s">
        <v>89</v>
      </c>
      <c r="C25" s="8">
        <f>C12-C23+C24</f>
        <v>285.73000000000013</v>
      </c>
      <c r="D25" s="8">
        <f>D12-D23+D24</f>
        <v>659.05000000000007</v>
      </c>
      <c r="E25" s="8">
        <f>E12-E23+E24</f>
        <v>300.62000000000012</v>
      </c>
      <c r="F25" s="16">
        <f>F12-F23+F24</f>
        <v>370.22000000000003</v>
      </c>
      <c r="G25" s="8">
        <f>G12-G23+G24</f>
        <v>80.919999999999959</v>
      </c>
      <c r="H25" s="8">
        <f>H12-H23+H24</f>
        <v>607.11000000000001</v>
      </c>
      <c r="I25" s="8">
        <f>I12-I23+I24</f>
        <v>306.74999999999977</v>
      </c>
      <c r="J25" s="16">
        <f>J12-J23+J24</f>
        <v>247.48000000000002</v>
      </c>
      <c r="K25" s="8">
        <f>K12-K23+K24</f>
        <v>635.96000000000004</v>
      </c>
      <c r="L25" s="8">
        <f>L12-L23+L24</f>
        <v>657.57000000000005</v>
      </c>
      <c r="M25" s="8">
        <f>M12-M23+M24</f>
        <v>808.62</v>
      </c>
      <c r="N25" s="16">
        <f>N12-N23+N24</f>
        <v>929.70999999999981</v>
      </c>
      <c r="O25" s="8">
        <f>O12-O23+O24</f>
        <v>1058.6000000000001</v>
      </c>
      <c r="P25" s="8">
        <f>P12-P23+P24</f>
        <v>1453.6700000000001</v>
      </c>
      <c r="Q25" s="8">
        <f>Q12-Q23+Q24</f>
        <v>740.66000000000008</v>
      </c>
      <c r="R25" s="16">
        <f>R12-R23+R24</f>
        <v>-26.659999999999854</v>
      </c>
      <c r="S25" s="5"/>
      <c r="T25" s="5"/>
      <c r="U25" s="8">
        <f>U12-U23+U24</f>
        <v>161.81</v>
      </c>
      <c r="V25" s="8">
        <f>V12-V23+V24</f>
        <v>59.540000000000006</v>
      </c>
      <c r="W25" s="8">
        <f>W12-W23+W24</f>
        <v>195.59000000000003</v>
      </c>
      <c r="X25" s="8">
        <f>X12-X23+X24</f>
        <v>224.55200000000013</v>
      </c>
      <c r="Y25" s="8">
        <f>Y12-Y23+Y24</f>
        <v>505.61999999999978</v>
      </c>
      <c r="Z25" s="8">
        <f>Z12-Z23+Z24</f>
        <v>766.58999999999969</v>
      </c>
      <c r="AA25" s="8">
        <f>AA12-AA23+AA24</f>
        <v>377.90000000000009</v>
      </c>
      <c r="AB25" s="8">
        <f>AB12-AB23+AB24</f>
        <v>285.19000000000005</v>
      </c>
      <c r="AC25" s="8">
        <f>AC12-AC23+AC24</f>
        <v>1458.4200000000001</v>
      </c>
      <c r="AD25" s="8">
        <f>AD12-AD23+AD24</f>
        <v>1615.8099999999995</v>
      </c>
      <c r="AE25" s="8">
        <f>AE12-AE23+AE24</f>
        <v>1242.25</v>
      </c>
      <c r="AF25" s="8">
        <f>AF12-AF23+AF24</f>
        <v>3031.8799999999992</v>
      </c>
      <c r="AG25" s="8">
        <f>AG12-AG23+AG24</f>
        <v>3226.2599999999984</v>
      </c>
      <c r="AH25" s="8"/>
      <c r="AI25" s="8"/>
      <c r="AJ25" s="8"/>
      <c r="AK25" s="8">
        <f>AK12-AK23+AK24</f>
        <v>3226.2599999999984</v>
      </c>
      <c r="AL25" s="17">
        <f>AL12-AL23+AL24</f>
        <v>3465.5475994795315</v>
      </c>
      <c r="AM25" s="17">
        <f>AM12-AM23+AM24</f>
        <v>3872.8399434274852</v>
      </c>
      <c r="AN25" s="17">
        <f>AN12-AN23+AN24</f>
        <v>4325.735594890235</v>
      </c>
      <c r="AO25" s="17">
        <f>AO12-AO23+AO24</f>
        <v>4829.1609760568572</v>
      </c>
      <c r="AP25" s="17">
        <f>AP12-AP23+AP24</f>
        <v>5388.5629257885121</v>
      </c>
      <c r="AQ25" s="17">
        <f>AQ12-AQ23+AQ24</f>
        <v>6009.9628651189105</v>
      </c>
      <c r="AR25" s="17">
        <f>AR12-AR23+AR24</f>
        <v>6700.0165427317752</v>
      </c>
      <c r="AS25" s="17">
        <f>AS12-AS23+AS24</f>
        <v>7466.0799310529765</v>
      </c>
      <c r="AT25" s="17">
        <f>AT12-AT23+AT24</f>
        <v>8316.2819016405956</v>
      </c>
      <c r="AU25" s="17">
        <f>AU12-AU23+AU24</f>
        <v>9259.6043724828869</v>
      </c>
    </row>
    <row r="26">
      <c r="B26" t="s">
        <v>90</v>
      </c>
      <c r="C26" s="9">
        <f>-65.63</f>
        <v>-65.629999999999995</v>
      </c>
      <c r="D26" s="9">
        <f>-109.58</f>
        <v>-109.58</v>
      </c>
      <c r="E26" s="9">
        <f>-61.48</f>
        <v>-61.479999999999997</v>
      </c>
      <c r="F26" s="14">
        <v>-68.349999999999994</v>
      </c>
      <c r="G26" s="9">
        <f>-49.65</f>
        <v>-49.649999999999999</v>
      </c>
      <c r="H26" s="9">
        <f>-98.09</f>
        <v>-98.090000000000003</v>
      </c>
      <c r="I26" s="9">
        <v>-81.170000000000002</v>
      </c>
      <c r="J26" s="14">
        <v>-80.519999999999996</v>
      </c>
      <c r="K26" s="9">
        <v>-109.83</v>
      </c>
      <c r="L26" s="9">
        <v>-124.18000000000001</v>
      </c>
      <c r="M26" s="9">
        <v>-147.13</v>
      </c>
      <c r="N26" s="14">
        <v>-205.11000000000001</v>
      </c>
      <c r="O26" s="9">
        <v>-175.02000000000001</v>
      </c>
      <c r="P26" s="9">
        <v>-331.87</v>
      </c>
      <c r="Q26" s="9">
        <v>-174.66</v>
      </c>
      <c r="R26" s="14">
        <v>-36.520000000000003</v>
      </c>
      <c r="S26" s="4"/>
      <c r="U26" s="9">
        <v>-51.829999999999998</v>
      </c>
      <c r="V26" s="9">
        <v>-17.923999999999999</v>
      </c>
      <c r="W26" s="9">
        <v>-52.32</v>
      </c>
      <c r="X26" s="9">
        <v>-61.210000000000001</v>
      </c>
      <c r="Y26" s="9">
        <v>-141.09</v>
      </c>
      <c r="Z26" s="9">
        <f>-204.33</f>
        <v>-204.33000000000001</v>
      </c>
      <c r="AA26" s="9">
        <f>-92.65</f>
        <v>-92.650000000000006</v>
      </c>
      <c r="AB26" s="9">
        <f>-69.79</f>
        <v>-69.790000000000006</v>
      </c>
      <c r="AC26" s="9">
        <f>-255.46</f>
        <v>-255.46000000000001</v>
      </c>
      <c r="AD26" s="9">
        <f>-305.08</f>
        <v>-305.07999999999998</v>
      </c>
      <c r="AE26" s="9">
        <f>-309.43</f>
        <v>-309.43000000000001</v>
      </c>
      <c r="AF26">
        <f>-586.26</f>
        <v>-586.25999999999999</v>
      </c>
      <c r="AG26" s="9">
        <f>-718.08</f>
        <v>-718.08000000000004</v>
      </c>
      <c r="AH26" s="9"/>
      <c r="AI26" s="9"/>
      <c r="AJ26" s="9"/>
      <c r="AK26" s="10">
        <f>-718.08</f>
        <v>-718.08000000000004</v>
      </c>
      <c r="AL26" s="11">
        <f>AL25*$AJ$51*-1</f>
        <v>-839.12392607415552</v>
      </c>
      <c r="AM26" s="11">
        <f>AM25*$AJ$51*-1</f>
        <v>-937.74290068148173</v>
      </c>
      <c r="AN26" s="11">
        <f>AN25*$AJ$51*-1</f>
        <v>-1047.4039473842915</v>
      </c>
      <c r="AO26" s="11">
        <f>AO25*$AJ$51*-1</f>
        <v>-1169.2999162618671</v>
      </c>
      <c r="AP26" s="11">
        <f>AP25*$AJ$51*-1</f>
        <v>-1304.7496675170112</v>
      </c>
      <c r="AQ26" s="11">
        <f>AQ25*$AJ$51*-1</f>
        <v>-1455.2111867388151</v>
      </c>
      <c r="AR26" s="11">
        <f>AR25*$AJ$51*-1</f>
        <v>-1622.2960512627878</v>
      </c>
      <c r="AS26" s="11">
        <f>AS25*$AJ$51*-1</f>
        <v>-1807.7853857986338</v>
      </c>
      <c r="AT26" s="11">
        <f>AT25*$AJ$51*-1</f>
        <v>-2013.6474595507334</v>
      </c>
      <c r="AU26" s="11">
        <f>AU25*$AJ$51*-1</f>
        <v>-2242.0570925351531</v>
      </c>
    </row>
    <row r="27" s="5" customFormat="1">
      <c r="B27" s="5" t="s">
        <v>91</v>
      </c>
      <c r="C27" s="5">
        <f>C25+C26</f>
        <v>220.10000000000014</v>
      </c>
      <c r="D27" s="5">
        <f>D25+D26</f>
        <v>549.47000000000003</v>
      </c>
      <c r="E27" s="5">
        <f>E25+E26</f>
        <v>239.14000000000013</v>
      </c>
      <c r="F27" s="7">
        <f>F25+F26</f>
        <v>301.87</v>
      </c>
      <c r="G27" s="5">
        <f>G25+G26</f>
        <v>31.26999999999996</v>
      </c>
      <c r="H27" s="5">
        <f>H25+H26</f>
        <v>509.01999999999998</v>
      </c>
      <c r="I27" s="5">
        <f>I25+I26</f>
        <v>225.57999999999976</v>
      </c>
      <c r="J27" s="7">
        <f>J25+J26</f>
        <v>166.96000000000004</v>
      </c>
      <c r="K27" s="5">
        <f>K25+K26</f>
        <v>526.13</v>
      </c>
      <c r="L27" s="5">
        <f>L25+L26</f>
        <v>533.3900000000001</v>
      </c>
      <c r="M27" s="5">
        <f>M25+M26</f>
        <v>661.49000000000001</v>
      </c>
      <c r="N27" s="7">
        <f>N25+N26</f>
        <v>724.5999999999998</v>
      </c>
      <c r="O27" s="5">
        <f>O25+O26</f>
        <v>883.58000000000015</v>
      </c>
      <c r="P27" s="5">
        <f>P25+P26</f>
        <v>1121.8000000000002</v>
      </c>
      <c r="Q27" s="5">
        <f>Q25+Q26</f>
        <v>566.00000000000011</v>
      </c>
      <c r="R27" s="7">
        <f>R25+R26</f>
        <v>-63.179999999999858</v>
      </c>
      <c r="S27" s="5"/>
      <c r="T27" s="5"/>
      <c r="U27" s="5">
        <f>U25+U26</f>
        <v>109.98</v>
      </c>
      <c r="V27" s="5">
        <f>V25+V26</f>
        <v>41.616000000000007</v>
      </c>
      <c r="W27" s="5">
        <f>W25+W26</f>
        <v>143.27000000000004</v>
      </c>
      <c r="X27" s="5">
        <f>X25+X26</f>
        <v>163.34200000000013</v>
      </c>
      <c r="Y27" s="5">
        <f>Y25+Y26</f>
        <v>364.52999999999975</v>
      </c>
      <c r="Z27" s="5">
        <f>Z25+Z26</f>
        <v>562.25999999999965</v>
      </c>
      <c r="AA27" s="5">
        <f>AA25+AA26</f>
        <v>285.25000000000011</v>
      </c>
      <c r="AB27" s="5">
        <f>AB25+AB26</f>
        <v>215.40000000000003</v>
      </c>
      <c r="AC27" s="5">
        <f>AC25+AC26</f>
        <v>1202.96</v>
      </c>
      <c r="AD27" s="5">
        <f>AD25+AD26</f>
        <v>1310.7299999999996</v>
      </c>
      <c r="AE27" s="5">
        <f>AE25+AE26</f>
        <v>932.81999999999994</v>
      </c>
      <c r="AF27" s="5">
        <f>AF25+AF26</f>
        <v>2445.619999999999</v>
      </c>
      <c r="AG27" s="5">
        <f>AG25+AG26</f>
        <v>2508.1799999999985</v>
      </c>
      <c r="AH27" s="5"/>
      <c r="AI27" s="5"/>
      <c r="AJ27" s="5"/>
      <c r="AK27" s="5">
        <f>AK25+AK26</f>
        <v>2508.1799999999985</v>
      </c>
      <c r="AL27" s="13">
        <f>AL25+AL26</f>
        <v>2626.4236734053761</v>
      </c>
      <c r="AM27" s="13">
        <f>AM25+AM26</f>
        <v>2935.0970427460034</v>
      </c>
      <c r="AN27" s="13">
        <f>AN25+AN26</f>
        <v>3278.3316475059437</v>
      </c>
      <c r="AO27" s="13">
        <f>AO25+AO26</f>
        <v>3659.8610597949901</v>
      </c>
      <c r="AP27" s="13">
        <f>AP25+AP26</f>
        <v>4083.8132582715007</v>
      </c>
      <c r="AQ27" s="13">
        <f>AQ25+AQ26</f>
        <v>4554.7516783800957</v>
      </c>
      <c r="AR27" s="13">
        <f>AR25+AR26</f>
        <v>5077.7204914689873</v>
      </c>
      <c r="AS27" s="13">
        <f>AS25+AS26</f>
        <v>5658.2945452543427</v>
      </c>
      <c r="AT27" s="13">
        <f>AT25+AT26</f>
        <v>6302.6344420898622</v>
      </c>
      <c r="AU27" s="13">
        <f>AU25+AU26</f>
        <v>7017.5472799477338</v>
      </c>
      <c r="AV27" s="13">
        <f>AU27*(1+$AW$32)</f>
        <v>7087.7227527472114</v>
      </c>
      <c r="AW27" s="13">
        <f>AV27*(1+$AW$32)</f>
        <v>7158.5999802746837</v>
      </c>
      <c r="AX27" s="13">
        <f>AW27*(1+$AW$32)</f>
        <v>7230.1859800774309</v>
      </c>
      <c r="AY27" s="13">
        <f>AX27*(1+$AW$32)</f>
        <v>7302.4878398782057</v>
      </c>
      <c r="AZ27" s="13">
        <f>AY27*(1+$AW$32)</f>
        <v>7375.5127182769875</v>
      </c>
      <c r="BA27" s="13">
        <f>AZ27*(1+$AW$32)</f>
        <v>7449.2678454597572</v>
      </c>
      <c r="BB27" s="13">
        <f>BA27*(1+$AW$32)</f>
        <v>7523.760523914355</v>
      </c>
      <c r="BC27" s="13">
        <f>BB27*(1+$AW$32)</f>
        <v>7598.9981291534987</v>
      </c>
      <c r="BD27" s="13">
        <f>BC27*(1+$AW$32)</f>
        <v>7674.9881104450333</v>
      </c>
      <c r="BE27" s="13">
        <f>BD27*(1+$AW$32)</f>
        <v>7751.7379915494839</v>
      </c>
      <c r="BF27" s="13">
        <f>BE27*(1+$AW$32)</f>
        <v>7829.2553714649785</v>
      </c>
      <c r="BG27" s="13">
        <f>BF27*(1+$AW$32)</f>
        <v>7907.5479251796287</v>
      </c>
      <c r="BH27" s="13">
        <f>BG27*(1+$AW$32)</f>
        <v>7986.6234044314251</v>
      </c>
      <c r="BI27" s="13">
        <f>BH27*(1+$AW$32)</f>
        <v>8066.4896384757394</v>
      </c>
      <c r="BJ27" s="13">
        <f>BI27*(1+$AW$32)</f>
        <v>8147.1545348604968</v>
      </c>
      <c r="BK27" s="13">
        <f>BJ27*(1+$AW$32)</f>
        <v>8228.6260802091019</v>
      </c>
      <c r="BL27" s="13">
        <f>BK27*(1+$AW$32)</f>
        <v>8310.9123410111933</v>
      </c>
      <c r="BM27" s="13">
        <f>BL27*(1+$AW$32)</f>
        <v>8394.0214644213047</v>
      </c>
      <c r="BN27" s="13">
        <f>BM27*(1+$AW$32)</f>
        <v>8477.9616790655182</v>
      </c>
      <c r="BO27" s="13">
        <f>BN27*(1+$AW$32)</f>
        <v>8562.7412958561727</v>
      </c>
      <c r="BP27" s="13">
        <f>BO27*(1+$AW$32)</f>
        <v>8648.3687088147344</v>
      </c>
      <c r="BQ27" s="13">
        <f>BP27*(1+$AW$32)</f>
        <v>8734.8523959028826</v>
      </c>
      <c r="BR27" s="13">
        <f>BQ27*(1+$AW$32)</f>
        <v>8822.2009198619107</v>
      </c>
      <c r="BS27" s="13">
        <f>BR27*(1+$AW$32)</f>
        <v>8910.4229290605308</v>
      </c>
      <c r="BT27" s="13">
        <f>BS27*(1+$AW$32)</f>
        <v>8999.5271583511367</v>
      </c>
      <c r="BU27" s="13">
        <f>BT27*(1+$AW$32)</f>
        <v>9089.5224299346482</v>
      </c>
      <c r="BV27" s="13">
        <f>BU27*(1+$AW$32)</f>
        <v>9180.4176542339956</v>
      </c>
      <c r="BW27" s="13">
        <f>BV27*(1+$AW$32)</f>
        <v>9272.221830776336</v>
      </c>
      <c r="BX27" s="13">
        <f>BW27*(1+$AW$32)</f>
        <v>9364.9440490840989</v>
      </c>
      <c r="BY27" s="13">
        <f>BX27*(1+$AW$32)</f>
        <v>9458.5934895749397</v>
      </c>
      <c r="BZ27" s="13">
        <f>BY27*(1+$AW$32)</f>
        <v>9553.1794244706889</v>
      </c>
      <c r="CA27" s="13">
        <f>BZ27*(1+$AW$32)</f>
        <v>9648.7112187153962</v>
      </c>
      <c r="CB27" s="13">
        <f>CA27*(1+$AW$32)</f>
        <v>9745.1983309025509</v>
      </c>
      <c r="CC27" s="13">
        <f>CB27*(1+$AW$32)</f>
        <v>9842.6503142115762</v>
      </c>
      <c r="CD27" s="13">
        <f>CC27*(1+$AW$32)</f>
        <v>9941.0768173536926</v>
      </c>
      <c r="CE27" s="13">
        <f>CD27*(1+$AW$32)</f>
        <v>10040.487585527229</v>
      </c>
      <c r="CF27" s="13">
        <f>CE27*(1+$AW$32)</f>
        <v>10140.892461382502</v>
      </c>
      <c r="CG27" s="13">
        <f>CF27*(1+$AW$32)</f>
        <v>10242.301385996327</v>
      </c>
      <c r="CH27" s="13">
        <f>CG27*(1+$AW$32)</f>
        <v>10344.72439985629</v>
      </c>
      <c r="CI27" s="13">
        <f>CH27*(1+$AW$32)</f>
        <v>10448.171643854854</v>
      </c>
      <c r="CJ27" s="13">
        <f>CI27*(1+$AW$32)</f>
        <v>10552.653360293403</v>
      </c>
      <c r="CK27" s="13">
        <f>CJ27*(1+$AW$32)</f>
        <v>10658.179893896337</v>
      </c>
      <c r="CL27" s="13">
        <f>CK27*(1+$AW$32)</f>
        <v>10764.7616928353</v>
      </c>
      <c r="CM27" s="13">
        <f>CL27*(1+$AW$32)</f>
        <v>10872.409309763652</v>
      </c>
      <c r="CN27" s="13">
        <f>CM27*(1+$AW$32)</f>
        <v>10981.133402861289</v>
      </c>
      <c r="CO27" s="13">
        <f>CN27*(1+$AW$32)</f>
        <v>11090.944736889902</v>
      </c>
      <c r="CP27" s="13">
        <f>CO27*(1+$AW$32)</f>
        <v>11201.8541842588</v>
      </c>
      <c r="CQ27" s="13">
        <f>CP27*(1+$AW$32)</f>
        <v>11313.872726101388</v>
      </c>
      <c r="CR27" s="13">
        <f>CQ27*(1+$AW$32)</f>
        <v>11427.011453362402</v>
      </c>
      <c r="CS27" s="13">
        <f>CR27*(1+$AW$32)</f>
        <v>11541.281567896027</v>
      </c>
      <c r="CT27" s="13">
        <f>CS27*(1+$AW$32)</f>
        <v>11656.694383574988</v>
      </c>
      <c r="CU27" s="13">
        <f>CT27*(1+$AW$32)</f>
        <v>11773.261327410739</v>
      </c>
      <c r="CV27" s="13">
        <f>CU27*(1+$AW$32)</f>
        <v>11890.993940684846</v>
      </c>
      <c r="CW27" s="13">
        <f>CV27*(1+$AW$32)</f>
        <v>12009.903880091695</v>
      </c>
      <c r="CX27" s="13">
        <f>CW27*(1+$AW$32)</f>
        <v>12130.002918892613</v>
      </c>
      <c r="CY27" s="13">
        <f>CX27*(1+$AW$32)</f>
        <v>12251.302948081538</v>
      </c>
      <c r="CZ27" s="13">
        <f>CY27*(1+$AW$32)</f>
        <v>12373.815977562354</v>
      </c>
      <c r="DA27" s="13">
        <f>CZ27*(1+$AW$32)</f>
        <v>12497.554137337976</v>
      </c>
      <c r="DB27" s="13">
        <f>DA27*(1+$AW$32)</f>
        <v>12622.529678711357</v>
      </c>
      <c r="DC27" s="13">
        <f>DB27*(1+$AW$32)</f>
        <v>12748.75497549847</v>
      </c>
      <c r="DD27" s="13">
        <f>DC27*(1+$AW$32)</f>
        <v>12876.242525253456</v>
      </c>
    </row>
    <row r="28">
      <c r="B28" t="s">
        <v>92</v>
      </c>
      <c r="C28" s="9">
        <v>1.1200000000000001</v>
      </c>
      <c r="D28" s="9">
        <f>-0.7</f>
        <v>-0.69999999999999996</v>
      </c>
      <c r="E28" s="9">
        <v>0.67000000000000004</v>
      </c>
      <c r="F28" s="14">
        <v>0.64000000000000001</v>
      </c>
      <c r="G28" s="9">
        <v>0.68999999999999995</v>
      </c>
      <c r="H28" s="9">
        <v>0.68999999999999995</v>
      </c>
      <c r="I28" s="9">
        <v>1.72</v>
      </c>
      <c r="J28" s="14">
        <v>-1.47</v>
      </c>
      <c r="K28" s="9">
        <v>1.4399999999999999</v>
      </c>
      <c r="L28" s="9">
        <v>-1.2</v>
      </c>
      <c r="M28" s="9">
        <v>-0.25</v>
      </c>
      <c r="N28" s="3">
        <v>0</v>
      </c>
      <c r="O28" s="9">
        <v>0</v>
      </c>
      <c r="P28" s="9">
        <v>0</v>
      </c>
      <c r="Q28" s="9">
        <v>0</v>
      </c>
      <c r="R28" s="3">
        <v>0</v>
      </c>
      <c r="S28" s="4"/>
      <c r="U28" s="9">
        <f>22.13-18.97</f>
        <v>3.1600000000000001</v>
      </c>
      <c r="V28" s="9">
        <f>22.13-18.97</f>
        <v>3.1600000000000001</v>
      </c>
      <c r="W28" s="9">
        <f>22.13-18.97</f>
        <v>3.1600000000000001</v>
      </c>
      <c r="X28" s="9">
        <f>+83.11-25.54</f>
        <v>57.57</v>
      </c>
      <c r="Y28" s="9">
        <v>13.06</v>
      </c>
      <c r="Z28" s="9">
        <v>13.06</v>
      </c>
      <c r="AA28" s="9">
        <v>13.06</v>
      </c>
      <c r="AB28" s="9">
        <f>-25.82</f>
        <v>-25.82</v>
      </c>
      <c r="AC28" s="9">
        <v>61.770000000000003</v>
      </c>
      <c r="AD28" s="9">
        <v>1.72</v>
      </c>
      <c r="AE28" s="9">
        <v>1.96</v>
      </c>
      <c r="AF28">
        <v>-0.01</v>
      </c>
      <c r="AG28" s="9">
        <v>-0.01</v>
      </c>
      <c r="AH28" s="9"/>
      <c r="AI28" s="9"/>
      <c r="AJ28" s="9"/>
      <c r="AK28" s="10">
        <v>-0.01</v>
      </c>
    </row>
    <row r="29" s="18" customFormat="1">
      <c r="B29" s="18" t="s">
        <v>93</v>
      </c>
      <c r="C29" s="19"/>
      <c r="D29" s="19"/>
      <c r="E29" s="19"/>
      <c r="F29" s="20"/>
      <c r="G29" s="18"/>
      <c r="H29" s="18"/>
      <c r="I29" s="18"/>
      <c r="J29" s="21"/>
      <c r="K29" s="18"/>
      <c r="L29" s="18"/>
      <c r="M29" s="18"/>
      <c r="N29" s="21"/>
      <c r="O29" s="18"/>
      <c r="P29" s="18"/>
      <c r="Q29" s="18"/>
      <c r="R29" s="21"/>
      <c r="S29" s="18"/>
      <c r="T29" s="18"/>
      <c r="U29" s="18"/>
      <c r="V29" s="18"/>
      <c r="W29" s="18"/>
      <c r="X29" s="19"/>
      <c r="Y29" s="19">
        <v>-2.8999999999999999</v>
      </c>
      <c r="Z29" s="19">
        <v>-2.8999999999999999</v>
      </c>
      <c r="AA29" s="19">
        <v>-2.8999999999999999</v>
      </c>
      <c r="AB29" s="19">
        <v>-2.8999999999999999</v>
      </c>
      <c r="AC29" s="19">
        <f>41.06</f>
        <v>41.060000000000002</v>
      </c>
      <c r="AD29" s="19">
        <f>41.06</f>
        <v>41.060000000000002</v>
      </c>
      <c r="AE29" s="19">
        <v>-46.479999999999997</v>
      </c>
      <c r="AF29" s="18">
        <v>184.96000000000001</v>
      </c>
      <c r="AG29" s="18">
        <v>184.96000000000001</v>
      </c>
      <c r="AH29" s="18"/>
      <c r="AI29" s="18"/>
      <c r="AJ29" s="18"/>
      <c r="AK29" s="18">
        <v>184.96000000000001</v>
      </c>
      <c r="AL29" s="18"/>
      <c r="AM29" s="18"/>
    </row>
    <row r="30">
      <c r="B30" t="s">
        <v>94</v>
      </c>
      <c r="C30" s="9"/>
      <c r="D30" s="9"/>
      <c r="E30" s="9"/>
      <c r="F30" s="14"/>
      <c r="G30" s="4"/>
      <c r="H30" s="4"/>
      <c r="I30" s="4"/>
      <c r="J30" s="3"/>
      <c r="K30" s="4"/>
      <c r="L30" s="9"/>
      <c r="M30" s="9"/>
      <c r="N30" s="14"/>
      <c r="O30" s="9"/>
      <c r="P30" s="9"/>
      <c r="Q30" s="9"/>
      <c r="R30" s="14"/>
      <c r="S30" s="4"/>
      <c r="X30" s="9"/>
      <c r="Y30" s="9">
        <v>293.97000000000003</v>
      </c>
      <c r="Z30" s="9">
        <v>293.97000000000003</v>
      </c>
      <c r="AA30" s="9">
        <v>293.97000000000003</v>
      </c>
      <c r="AB30" s="9">
        <v>183.37</v>
      </c>
      <c r="AC30" s="9">
        <v>1260.4400000000001</v>
      </c>
      <c r="AD30" s="9">
        <v>1309.78</v>
      </c>
      <c r="AE30" s="9">
        <v>931.69000000000005</v>
      </c>
      <c r="AF30">
        <v>2441.0599999999999</v>
      </c>
      <c r="AG30" s="9">
        <v>2501.6399999999999</v>
      </c>
      <c r="AH30" s="9"/>
      <c r="AI30" s="9"/>
      <c r="AJ30" s="9"/>
      <c r="AK30" s="10">
        <v>2501.6399999999999</v>
      </c>
    </row>
    <row r="31">
      <c r="C31" s="9"/>
      <c r="F31" s="3"/>
      <c r="J31" s="3"/>
      <c r="K31" s="9"/>
      <c r="L31" s="9"/>
      <c r="M31" s="9"/>
      <c r="N31" s="14"/>
      <c r="O31" s="9"/>
      <c r="P31" s="9"/>
      <c r="Q31" s="9"/>
      <c r="R31" s="14"/>
      <c r="X31" s="9"/>
      <c r="Y31" s="9"/>
      <c r="Z31" s="9"/>
      <c r="AA31" s="9"/>
      <c r="AB31" s="9"/>
      <c r="AC31" s="9"/>
      <c r="AD31" s="9"/>
      <c r="AE31" s="9"/>
      <c r="AG31" s="9"/>
      <c r="AH31" s="9"/>
      <c r="AI31" s="9"/>
      <c r="AJ31" s="9"/>
      <c r="AK31" s="10"/>
    </row>
    <row r="32">
      <c r="B32" t="s">
        <v>95</v>
      </c>
      <c r="C32" s="9"/>
      <c r="E32" s="4"/>
      <c r="F32" s="3"/>
      <c r="G32" s="4"/>
      <c r="H32" s="4"/>
      <c r="I32" s="4"/>
      <c r="J32" s="3"/>
      <c r="K32" s="4"/>
      <c r="L32" s="9"/>
      <c r="M32" s="9"/>
      <c r="N32" s="14"/>
      <c r="O32" s="9"/>
      <c r="P32" s="9"/>
      <c r="Q32" s="9"/>
      <c r="R32" s="14"/>
      <c r="S32" s="4"/>
      <c r="X32" s="9">
        <v>148135120</v>
      </c>
      <c r="Y32" s="9">
        <v>148135120</v>
      </c>
      <c r="Z32" s="9">
        <v>148135120</v>
      </c>
      <c r="AA32" s="9">
        <v>148135120</v>
      </c>
      <c r="AB32" s="9">
        <v>148135120</v>
      </c>
      <c r="AC32" s="9">
        <v>148135120</v>
      </c>
      <c r="AD32" s="9">
        <v>148135120</v>
      </c>
      <c r="AE32" s="9">
        <v>148135120</v>
      </c>
      <c r="AF32">
        <v>148272290</v>
      </c>
      <c r="AG32" s="9">
        <v>148272290</v>
      </c>
      <c r="AH32" s="9"/>
      <c r="AI32" s="9"/>
      <c r="AJ32" s="9"/>
      <c r="AK32" s="10">
        <v>148272290</v>
      </c>
      <c r="AV32" t="s">
        <v>96</v>
      </c>
      <c r="AW32" s="22">
        <v>0.01</v>
      </c>
    </row>
    <row r="33">
      <c r="B33" t="s">
        <v>97</v>
      </c>
      <c r="C33" s="9">
        <v>15.07</v>
      </c>
      <c r="D33" s="4">
        <v>36.560000000000002</v>
      </c>
      <c r="E33" s="4"/>
      <c r="F33" s="3"/>
      <c r="G33" s="4"/>
      <c r="H33" s="4">
        <v>34.450000000000003</v>
      </c>
      <c r="I33" s="4">
        <v>15.449999999999999</v>
      </c>
      <c r="J33" s="3">
        <v>11.35</v>
      </c>
      <c r="K33" s="4">
        <v>35.619999999999997</v>
      </c>
      <c r="L33" s="9">
        <v>35.869999999999997</v>
      </c>
      <c r="M33" s="9">
        <v>44.490000000000002</v>
      </c>
      <c r="N33" s="14">
        <v>48.609999999999999</v>
      </c>
      <c r="O33" s="9">
        <v>14.779999999999999</v>
      </c>
      <c r="P33" s="9">
        <v>18.739999999999998</v>
      </c>
      <c r="Q33" s="9">
        <v>9.4299999999999997</v>
      </c>
      <c r="R33" s="14">
        <v>48.609999999999999</v>
      </c>
      <c r="S33" s="4"/>
      <c r="U33">
        <v>7.5700000000000003</v>
      </c>
      <c r="V33">
        <v>2.9500000000000002</v>
      </c>
      <c r="X33" s="9">
        <v>11.94</v>
      </c>
      <c r="Y33" s="9">
        <v>25.140000000000001</v>
      </c>
      <c r="Z33" s="9">
        <v>38.799999999999997</v>
      </c>
      <c r="AA33" s="9">
        <v>20.210000000000001</v>
      </c>
      <c r="AB33" s="9">
        <v>12.470000000000001</v>
      </c>
      <c r="AC33" s="9">
        <v>85.670000000000002</v>
      </c>
      <c r="AD33" s="9">
        <v>89.140000000000001</v>
      </c>
      <c r="AE33" s="9">
        <v>62.890000000000001</v>
      </c>
      <c r="AF33">
        <v>164.63</v>
      </c>
      <c r="AG33" s="9">
        <v>41.829999999999998</v>
      </c>
      <c r="AH33" s="9"/>
      <c r="AI33" s="9"/>
      <c r="AJ33" s="9"/>
      <c r="AK33" s="10">
        <v>41.829999999999998</v>
      </c>
      <c r="AV33" t="s">
        <v>98</v>
      </c>
      <c r="AW33" s="22">
        <v>0.11</v>
      </c>
    </row>
    <row r="34">
      <c r="B34" t="s">
        <v>99</v>
      </c>
      <c r="C34" s="12"/>
      <c r="D34" s="4"/>
      <c r="E34" s="4"/>
      <c r="F34" s="3"/>
      <c r="G34" s="4"/>
      <c r="H34" s="4"/>
      <c r="I34" s="4"/>
      <c r="J34" s="3"/>
      <c r="K34" s="4"/>
      <c r="L34" s="4"/>
      <c r="M34" s="4"/>
      <c r="N34" s="3"/>
      <c r="R34" s="3"/>
      <c r="S34" s="4"/>
      <c r="X34" s="12">
        <f>X30*10000000/X32</f>
        <v>0</v>
      </c>
      <c r="Y34" s="12">
        <f>Y30*10000000/Y32</f>
        <v>19.844720144689528</v>
      </c>
      <c r="Z34" s="12">
        <f>Z30*10000000/Z32</f>
        <v>19.844720144689528</v>
      </c>
      <c r="AA34" s="12">
        <f>AA30*10000000/AA32</f>
        <v>19.844720144689528</v>
      </c>
      <c r="AB34" s="12">
        <f>AB30*10000000/AB32</f>
        <v>12.378563570880424</v>
      </c>
      <c r="AC34" s="12">
        <f>AC30*10000000/AC32</f>
        <v>85.087182566834926</v>
      </c>
      <c r="AD34" s="12">
        <f>AD30*10000000/AD32</f>
        <v>88.417925472366036</v>
      </c>
      <c r="AE34" s="12">
        <f>AE30*10000000/AE32</f>
        <v>62.894605951647385</v>
      </c>
      <c r="AF34" s="12">
        <f>AF30*10000000/AF32</f>
        <v>164.63359404511795</v>
      </c>
      <c r="AG34" s="12">
        <f>AG30*10000000/AG32</f>
        <v>168.7193203800926</v>
      </c>
      <c r="AH34" s="12"/>
      <c r="AI34" s="12"/>
      <c r="AJ34" s="12"/>
      <c r="AK34" s="23">
        <f>AK30*10000000/AK32</f>
        <v>168.7193203800926</v>
      </c>
      <c r="AV34" t="s">
        <v>100</v>
      </c>
      <c r="AW34" s="11">
        <f>NPV(AW33,AL27:DD27)</f>
        <v>49134.450664820695</v>
      </c>
    </row>
    <row r="35">
      <c r="B35" s="4" t="s">
        <v>101</v>
      </c>
      <c r="C35" s="12"/>
      <c r="F35" s="3"/>
      <c r="G35" s="4"/>
      <c r="H35" s="4"/>
      <c r="I35" s="4"/>
      <c r="J35" s="3"/>
      <c r="N35" s="3"/>
      <c r="O35" s="4"/>
      <c r="P35" s="4"/>
      <c r="Q35" s="4"/>
      <c r="R35" s="3"/>
      <c r="T35" s="4"/>
      <c r="U35" s="4"/>
      <c r="V35" s="4"/>
      <c r="W35" s="4"/>
      <c r="X35">
        <v>350</v>
      </c>
      <c r="Y35" s="4">
        <v>350</v>
      </c>
      <c r="Z35" s="4">
        <v>1275</v>
      </c>
      <c r="AA35" s="12">
        <v>715</v>
      </c>
      <c r="AB35" s="12">
        <v>455</v>
      </c>
      <c r="AC35" s="12">
        <v>623</v>
      </c>
      <c r="AD35" s="12">
        <v>1000</v>
      </c>
      <c r="AE35" s="12">
        <v>710</v>
      </c>
      <c r="AF35" s="12">
        <v>1030</v>
      </c>
      <c r="AG35" s="12">
        <v>602.35000000000002</v>
      </c>
      <c r="AH35" s="12"/>
      <c r="AI35" s="12"/>
      <c r="AJ35" s="12"/>
      <c r="AK35" s="23">
        <v>602.35000000000002</v>
      </c>
      <c r="AV35" t="s">
        <v>102</v>
      </c>
      <c r="AW35">
        <v>598642630</v>
      </c>
    </row>
    <row r="36">
      <c r="B36" s="4"/>
      <c r="F36" s="3"/>
      <c r="G36" s="4"/>
      <c r="H36" s="4"/>
      <c r="I36" s="4"/>
      <c r="O36" s="4"/>
      <c r="P36" s="4"/>
      <c r="Q36" s="4"/>
      <c r="R36" s="4"/>
      <c r="T36" s="4"/>
      <c r="U36" s="4"/>
      <c r="V36" s="4"/>
      <c r="W36" s="4"/>
      <c r="Y36" s="4"/>
      <c r="Z36" s="4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4"/>
      <c r="AV36" t="s">
        <v>103</v>
      </c>
      <c r="AW36" s="11">
        <f>AW34*10000000/AW35</f>
        <v>820.76431250512007</v>
      </c>
    </row>
    <row r="37">
      <c r="A37" s="5" t="s">
        <v>104</v>
      </c>
      <c r="F37" s="3"/>
      <c r="AA37" s="9"/>
      <c r="AB37" s="9"/>
      <c r="AC37" s="9"/>
      <c r="AD37" s="9"/>
      <c r="AE37" s="9"/>
      <c r="AG37" s="9"/>
      <c r="AH37" s="8" t="s">
        <v>105</v>
      </c>
      <c r="AI37" s="8" t="s">
        <v>106</v>
      </c>
      <c r="AJ37" s="8" t="s">
        <v>107</v>
      </c>
      <c r="AK37" s="24"/>
      <c r="AV37" t="s">
        <v>108</v>
      </c>
      <c r="AW37" s="11">
        <v>822.89999999999998</v>
      </c>
    </row>
    <row r="38">
      <c r="B38" t="s">
        <v>109</v>
      </c>
      <c r="C38" s="25">
        <f>C16/C3</f>
        <v>0.50094348523445609</v>
      </c>
      <c r="D38" s="25">
        <f>D16/D3</f>
        <v>0.45285978601882393</v>
      </c>
      <c r="E38" s="25">
        <f>E16/E3</f>
        <v>0.45972545147625565</v>
      </c>
      <c r="F38" s="26">
        <f>F16/F3</f>
        <v>0.44344676095417929</v>
      </c>
      <c r="G38" s="25">
        <f>G16/G3</f>
        <v>0.44805169375367143</v>
      </c>
      <c r="H38" s="25">
        <f>H16/H3</f>
        <v>0.46104449017242599</v>
      </c>
      <c r="I38" s="25">
        <f>I16/I3</f>
        <v>0.50155403605363647</v>
      </c>
      <c r="J38" s="25">
        <f>J16/J3</f>
        <v>0.53666062733552256</v>
      </c>
      <c r="K38" s="25">
        <f>K16/K3</f>
        <v>0.54040050062578215</v>
      </c>
      <c r="L38" s="25">
        <f>L16/L3</f>
        <v>0.53727718360071297</v>
      </c>
      <c r="M38" s="25">
        <f>M16/M3</f>
        <v>0.53533684253478597</v>
      </c>
      <c r="N38" s="25">
        <f>N16/N3</f>
        <v>0.52983263523109292</v>
      </c>
      <c r="O38" s="25">
        <f>O16/O3</f>
        <v>0.54091605652988262</v>
      </c>
      <c r="P38" s="25">
        <f>P16/P3</f>
        <v>0.52072861494140776</v>
      </c>
      <c r="Q38" s="25">
        <f>Q16/Q3</f>
        <v>0.50041342814618817</v>
      </c>
      <c r="R38" s="25">
        <f>R16/R3</f>
        <v>0.51037890705150124</v>
      </c>
      <c r="S38" s="4"/>
      <c r="X38" s="4"/>
      <c r="Y38" s="25"/>
      <c r="Z38" s="25"/>
      <c r="AA38" s="25">
        <f>AA16/AA3</f>
        <v>0.63197730579704825</v>
      </c>
      <c r="AB38" s="25">
        <f>AB16/AB3</f>
        <v>0.64422701097011237</v>
      </c>
      <c r="AC38" s="25">
        <f>AC16/AC3</f>
        <v>0.57132993414064159</v>
      </c>
      <c r="AD38" s="25">
        <f>AD16/AD3</f>
        <v>0.46235436306502298</v>
      </c>
      <c r="AE38" s="25">
        <f>AE16/AE3</f>
        <v>0.4850890262071661</v>
      </c>
      <c r="AF38" s="25">
        <f>AF16/AF3</f>
        <v>0.53524531329167369</v>
      </c>
      <c r="AG38" s="25">
        <f>AG16/AG3</f>
        <v>0.53143264083296493</v>
      </c>
      <c r="AH38" s="27">
        <f t="shared" ref="AH38:AH40" si="0">AVERAGE(AA38:AG38)</f>
        <v>0.55166508490066135</v>
      </c>
      <c r="AI38" s="25">
        <f>MEDIAN(AA38:AG38)</f>
        <v>0.53524531329167369</v>
      </c>
      <c r="AJ38" s="25">
        <f>MEDIAN(AB38:AH38)</f>
        <v>0.53524531329167369</v>
      </c>
      <c r="AK38" s="28"/>
    </row>
    <row r="39">
      <c r="B39" s="29" t="s">
        <v>110</v>
      </c>
      <c r="C39" s="25">
        <f>C17/C6</f>
        <v>0.34583611628642735</v>
      </c>
      <c r="D39" s="25">
        <f>D17/D6</f>
        <v>0.3646306659651472</v>
      </c>
      <c r="E39" s="25">
        <f>E17/E6</f>
        <v>0.34467303772030017</v>
      </c>
      <c r="F39" s="26">
        <f>F17/F6</f>
        <v>0.31692431183137965</v>
      </c>
      <c r="G39" s="25">
        <f>G17/G6</f>
        <v>0.34416058961640728</v>
      </c>
      <c r="H39" s="25">
        <f>H17/H6</f>
        <v>0.30132187331574617</v>
      </c>
      <c r="I39" s="25">
        <f>I17/I6</f>
        <v>0.31429431409365188</v>
      </c>
      <c r="J39" s="25">
        <f>J17/J6</f>
        <v>0.29577915466736482</v>
      </c>
      <c r="K39" s="25">
        <f>K17/K6</f>
        <v>0.28994706172576107</v>
      </c>
      <c r="L39" s="25">
        <f>L17/L6</f>
        <v>0.32117139843140857</v>
      </c>
      <c r="M39" s="25">
        <f>M17/M6</f>
        <v>0.32294505851378463</v>
      </c>
      <c r="N39" s="25">
        <f>N17/N6</f>
        <v>0.31816623143678618</v>
      </c>
      <c r="O39" s="25">
        <f>O17/O6</f>
        <v>0.33081943835015354</v>
      </c>
      <c r="P39" s="25">
        <f>P17/P6</f>
        <v>0.30383264382171576</v>
      </c>
      <c r="Q39" s="25">
        <f>Q17/Q6</f>
        <v>0.26386166644888709</v>
      </c>
      <c r="R39" s="25">
        <f>R17/R6</f>
        <v>0.26421787054409002</v>
      </c>
      <c r="S39" s="30"/>
      <c r="T39" s="30"/>
      <c r="U39" s="30"/>
      <c r="V39" s="30"/>
      <c r="W39" s="30"/>
      <c r="X39" s="30"/>
      <c r="Y39" s="25"/>
      <c r="Z39" s="25"/>
      <c r="AA39" s="25">
        <f>AA17/AA6</f>
        <v>0.30463244027979408</v>
      </c>
      <c r="AB39" s="25">
        <f>AB17/AB6</f>
        <v>0.30280399168613881</v>
      </c>
      <c r="AC39" s="25">
        <f>AC17/AC6</f>
        <v>0.32616390011695429</v>
      </c>
      <c r="AD39" s="25">
        <f>AD17/AD6</f>
        <v>0.34244237333640165</v>
      </c>
      <c r="AE39" s="25">
        <f>AE17/AE6</f>
        <v>0.315103423549985</v>
      </c>
      <c r="AF39" s="25">
        <f>AF17/AF6</f>
        <v>0.31386005610554679</v>
      </c>
      <c r="AG39" s="25">
        <f>AG17/AG6</f>
        <v>0.29233689591384698</v>
      </c>
      <c r="AH39" s="27">
        <f>AVERAGE(AA39:AG39)</f>
        <v>0.31390615442695247</v>
      </c>
      <c r="AI39" s="25">
        <f>MEDIAN(AA39:AG39)</f>
        <v>0.31386005610554679</v>
      </c>
      <c r="AJ39" s="25">
        <f>MEDIAN(AB39:AH39)</f>
        <v>0.31390615442695247</v>
      </c>
      <c r="AK39" s="28"/>
    </row>
    <row r="40">
      <c r="B40" t="s">
        <v>111</v>
      </c>
      <c r="C40" s="31">
        <f>1-C38</f>
        <v>0.49905651476554391</v>
      </c>
      <c r="D40" s="31">
        <f>1-D38</f>
        <v>0.54714021398117607</v>
      </c>
      <c r="E40" s="31">
        <f>1-E38</f>
        <v>0.54027454852374435</v>
      </c>
      <c r="F40" s="32">
        <f>1-F38</f>
        <v>0.55655323904582077</v>
      </c>
      <c r="G40" s="31">
        <f>1-G38</f>
        <v>0.55194830624632862</v>
      </c>
      <c r="H40" s="31">
        <f>1-H38</f>
        <v>0.53895550982757401</v>
      </c>
      <c r="I40" s="31">
        <f>1-I38</f>
        <v>0.49844596394636353</v>
      </c>
      <c r="J40" s="31">
        <f>1-J38</f>
        <v>0.46333937266447744</v>
      </c>
      <c r="K40" s="31">
        <f>1-K38</f>
        <v>0.45959949937421785</v>
      </c>
      <c r="L40" s="31">
        <f>1-L38</f>
        <v>0.46272281639928703</v>
      </c>
      <c r="M40" s="31">
        <f>1-M38</f>
        <v>0.46466315746521403</v>
      </c>
      <c r="N40" s="31">
        <f>1-N38</f>
        <v>0.47016736476890708</v>
      </c>
      <c r="O40" s="31">
        <f>1-O38</f>
        <v>0.45908394347011738</v>
      </c>
      <c r="P40" s="31">
        <f>1-P38</f>
        <v>0.47927138505859224</v>
      </c>
      <c r="Q40" s="31">
        <f>1-Q38</f>
        <v>0.49958657185381183</v>
      </c>
      <c r="R40" s="31">
        <f>1-R38</f>
        <v>0.48962109294849876</v>
      </c>
      <c r="Y40" s="25"/>
      <c r="Z40" s="25"/>
      <c r="AA40" s="25">
        <f>1-AA38</f>
        <v>0.36802269420295175</v>
      </c>
      <c r="AB40" s="25">
        <f>1-AB38</f>
        <v>0.35577298902988763</v>
      </c>
      <c r="AC40" s="25">
        <f>1-AC38</f>
        <v>0.42867006585935841</v>
      </c>
      <c r="AD40" s="25">
        <f>1-AD38</f>
        <v>0.53764563693497702</v>
      </c>
      <c r="AE40" s="25">
        <f>1-AE38</f>
        <v>0.5149109737928339</v>
      </c>
      <c r="AF40" s="25">
        <f>1-AF38</f>
        <v>0.46475468670832631</v>
      </c>
      <c r="AG40" s="25">
        <f>1-AG38</f>
        <v>0.46856735916703507</v>
      </c>
      <c r="AH40" s="33">
        <f t="shared" si="0"/>
        <v>0.44833491509933859</v>
      </c>
      <c r="AI40" s="25"/>
      <c r="AJ40" s="25"/>
      <c r="AK40" s="28"/>
    </row>
    <row r="41" ht="14.25">
      <c r="B41" t="s">
        <v>112</v>
      </c>
      <c r="C41" s="4"/>
      <c r="D41" s="25"/>
      <c r="E41" s="25"/>
      <c r="F41" s="26"/>
      <c r="G41" s="25">
        <f>G9/C9-1</f>
        <v>0.1508201759440666</v>
      </c>
      <c r="H41" s="34">
        <f>H9/D9-1</f>
        <v>0.12673531829390794</v>
      </c>
      <c r="I41" s="34">
        <f>I9/E9-1</f>
        <v>0.029660637758399444</v>
      </c>
      <c r="J41" s="34">
        <f>J9/F9-1</f>
        <v>0.059792071848238759</v>
      </c>
      <c r="K41" s="34">
        <f>K9/G9-1</f>
        <v>0.27930033047367897</v>
      </c>
      <c r="L41" s="34">
        <f>L9/H9-1</f>
        <v>0.3386359721560801</v>
      </c>
      <c r="M41" s="34">
        <f>M9/I9-1</f>
        <v>0.30592734225621432</v>
      </c>
      <c r="N41" s="34">
        <f>N9/J9-1</f>
        <v>0.62723508104420667</v>
      </c>
      <c r="O41" s="34">
        <f>O9/K9-1</f>
        <v>0.46259089169536938</v>
      </c>
      <c r="P41" s="34">
        <f>P9/L9-1</f>
        <v>0.47416625035953786</v>
      </c>
      <c r="Q41" s="34">
        <f>Q9/M9-1</f>
        <v>0.2960202315985625</v>
      </c>
      <c r="R41" s="34">
        <f>R9/N9-1</f>
        <v>-0.050424832163248889</v>
      </c>
      <c r="S41" s="4"/>
      <c r="V41" s="25">
        <f>V10/U10-1</f>
        <v>-0.016766389737850385</v>
      </c>
      <c r="W41" s="25">
        <f>W10/V10-1</f>
        <v>0.68325197557078132</v>
      </c>
      <c r="X41" s="25">
        <f>X10/W10-1</f>
        <v>0.3718398876404494</v>
      </c>
      <c r="Y41" s="25">
        <f>Y10/X10-1</f>
        <v>0.74508242565575533</v>
      </c>
      <c r="Z41" s="25">
        <f>Z10/Y10-1</f>
        <v>0.4927452780478796</v>
      </c>
      <c r="AA41" s="25">
        <f>AA10/Z10-1</f>
        <v>-0.1086992121399587</v>
      </c>
      <c r="AB41" s="25">
        <f>AB10/AA10-1</f>
        <v>-0.037440032663060174</v>
      </c>
      <c r="AC41" s="25">
        <f>AC10/AB10-1</f>
        <v>0.53766410044325674</v>
      </c>
      <c r="AD41" s="25">
        <f>AD10/AC10-1</f>
        <v>0.18529317650174315</v>
      </c>
      <c r="AE41" s="25">
        <f>AE10/AD10-1</f>
        <v>-0.027860073589134338</v>
      </c>
      <c r="AF41" s="25">
        <f>AF10/AE10-1</f>
        <v>0.69201986057379239</v>
      </c>
      <c r="AG41" s="25">
        <f>AG10/AF10-1</f>
        <v>0.1798700297264908</v>
      </c>
      <c r="AH41" s="33">
        <f t="shared" ref="AH41:AH43" si="1">AVERAGE(V41:AG41)</f>
        <v>0.30808341883584545</v>
      </c>
      <c r="AI41" s="25">
        <f t="shared" ref="AI41:AI42" si="2">MEDIAN(Z41:AG41)</f>
        <v>0.18258160311411697</v>
      </c>
      <c r="AJ41" s="25">
        <v>0.11</v>
      </c>
      <c r="AK41" s="28"/>
    </row>
    <row r="42" ht="14.25">
      <c r="B42" t="s">
        <v>113</v>
      </c>
      <c r="C42" s="25"/>
      <c r="D42" s="25"/>
      <c r="E42" s="25"/>
      <c r="F42" s="26"/>
      <c r="G42" s="25">
        <f>G23/C23-1</f>
        <v>0.10431660520202102</v>
      </c>
      <c r="H42" s="34">
        <f>H23/D23-1</f>
        <v>0.075331113467023147</v>
      </c>
      <c r="I42" s="34">
        <f>I23/E23-1</f>
        <v>0.051586436242708533</v>
      </c>
      <c r="J42" s="34">
        <f>J23/F23-1</f>
        <v>0.14751609465555249</v>
      </c>
      <c r="K42" s="34">
        <f>K23/G23-1</f>
        <v>0.31659163797922751</v>
      </c>
      <c r="L42" s="34">
        <f>L23/H23-1</f>
        <v>0.37902688291490794</v>
      </c>
      <c r="M42" s="34">
        <f>M23/I23-1</f>
        <v>0.27361094910377504</v>
      </c>
      <c r="N42" s="34">
        <f>N23/J23-1</f>
        <v>0.5627814670635829</v>
      </c>
      <c r="O42" s="34">
        <f>O23/K23-1</f>
        <v>0.40689878651082734</v>
      </c>
      <c r="P42" s="34">
        <f>P23/L23-1</f>
        <v>0.401955453520219</v>
      </c>
      <c r="Q42" s="34">
        <f>Q23/M23-1</f>
        <v>0.2840904465339682</v>
      </c>
      <c r="R42" s="34">
        <f>R23/N23-1</f>
        <v>0.0055110546709646879</v>
      </c>
      <c r="S42" s="4"/>
      <c r="V42" s="25">
        <f>V23/U23-1</f>
        <v>0.072952114730189477</v>
      </c>
      <c r="W42" s="25">
        <f>W23/V23-1</f>
        <v>0.63429898337722657</v>
      </c>
      <c r="X42" s="25">
        <f>X23/W23-1</f>
        <v>0.48156362628222893</v>
      </c>
      <c r="Y42" s="25">
        <f>Y23/X23-1</f>
        <v>0.62579528443113785</v>
      </c>
      <c r="Z42" s="25">
        <f>Z23/Y23-1</f>
        <v>0.44094754409691239</v>
      </c>
      <c r="AA42" s="25">
        <f>AA23/Z23-1</f>
        <v>0.040312716852462849</v>
      </c>
      <c r="AB42" s="25">
        <f>AB23/AA23-1</f>
        <v>-0.0017371775184275018</v>
      </c>
      <c r="AC42" s="25">
        <f>AC23/AB23-1</f>
        <v>0.0035477016853986409</v>
      </c>
      <c r="AD42" s="25">
        <f>AD23/AC23-1</f>
        <v>0.29527687296416927</v>
      </c>
      <c r="AE42" s="25">
        <f>AE23/AD23-1</f>
        <v>0.092769284250855844</v>
      </c>
      <c r="AF42" s="25">
        <f>AF23/AE23-1</f>
        <v>0.38707963463705686</v>
      </c>
      <c r="AG42" s="25">
        <f>AG23/AF23-1</f>
        <v>0.26650791482052605</v>
      </c>
      <c r="AH42" s="33">
        <f t="shared" si="1"/>
        <v>0.27827620838414474</v>
      </c>
      <c r="AI42" s="25">
        <f t="shared" si="2"/>
        <v>0.17963859953569095</v>
      </c>
      <c r="AJ42" s="25"/>
      <c r="AK42" s="28"/>
    </row>
    <row r="43" ht="14.25">
      <c r="B43" t="s">
        <v>114</v>
      </c>
      <c r="C43" s="12"/>
      <c r="D43" s="12"/>
      <c r="E43" s="12"/>
      <c r="F43" s="35"/>
      <c r="G43" s="12">
        <f>G10/G23</f>
        <v>1.1077470797657929</v>
      </c>
      <c r="H43" s="12">
        <f>H10/H23</f>
        <v>1.8326621861808488</v>
      </c>
      <c r="I43" s="12">
        <f>I10/I23</f>
        <v>1.389478595590808</v>
      </c>
      <c r="J43" s="12">
        <f>J10/J23</f>
        <v>1.3069867440144518</v>
      </c>
      <c r="K43" s="12">
        <f>K10/K23</f>
        <v>1.6758106688716561</v>
      </c>
      <c r="L43" s="12">
        <f>L10/L23</f>
        <v>1.6505658933462219</v>
      </c>
      <c r="M43" s="12">
        <f>M10/M23</f>
        <v>1.8157589449261204</v>
      </c>
      <c r="N43" s="12">
        <f>N10/N23</f>
        <v>1.7430969359512876</v>
      </c>
      <c r="O43" s="12">
        <f>O10/O23</f>
        <v>1.8365168494706496</v>
      </c>
      <c r="P43" s="12">
        <f>P10/P23</f>
        <v>2.0382170637286237</v>
      </c>
      <c r="Q43" s="12">
        <f>Q10/Q23</f>
        <v>1.5838887347941515</v>
      </c>
      <c r="R43" s="12">
        <f>R10/R23</f>
        <v>0.96360942673715411</v>
      </c>
      <c r="S43" s="4"/>
      <c r="V43" s="12">
        <f>V10/V23</f>
        <v>1.2936595588027071</v>
      </c>
      <c r="W43" s="12">
        <f>W10/W23</f>
        <v>1.3324092043249238</v>
      </c>
      <c r="X43" s="12">
        <f>X10/X23</f>
        <v>1.2337317552395211</v>
      </c>
      <c r="Y43" s="12">
        <f>Y10/Y23</f>
        <v>1.3242525825108622</v>
      </c>
      <c r="Z43" s="12">
        <f>Z10/Z23</f>
        <v>1.3718554832783347</v>
      </c>
      <c r="AA43" s="12">
        <f>AA10/AA23</f>
        <v>1.1753541538697789</v>
      </c>
      <c r="AB43" s="12">
        <f>AB10/AB23</f>
        <v>1.1333176298660719</v>
      </c>
      <c r="AC43" s="12">
        <f>AC10/AC23</f>
        <v>1.7365012454493196</v>
      </c>
      <c r="AD43" s="12">
        <f>AD10/AD23</f>
        <v>1.589052595764824</v>
      </c>
      <c r="AE43" s="12">
        <f>AE10/AE23</f>
        <v>1.4136391787117539</v>
      </c>
      <c r="AF43" s="12">
        <f>AF10/AF23</f>
        <v>1.7244183436456968</v>
      </c>
      <c r="AG43" s="12">
        <f>AG10/AG23</f>
        <v>1.606456223896928</v>
      </c>
      <c r="AH43" s="36">
        <f t="shared" si="1"/>
        <v>1.411220662946727</v>
      </c>
      <c r="AI43" s="37">
        <f>MEDIAN(Y43:AH43)</f>
        <v>1.4124299208292403</v>
      </c>
      <c r="AJ43" s="37"/>
      <c r="AK43" s="38"/>
    </row>
    <row r="44" s="0" customFormat="1" ht="14.25">
      <c r="B44" s="4" t="s">
        <v>115</v>
      </c>
      <c r="D44" s="9"/>
      <c r="E44" s="9"/>
      <c r="F44" s="14"/>
      <c r="G44" s="39">
        <f>G3/C3-1</f>
        <v>0.20459477309180119</v>
      </c>
      <c r="H44" s="39">
        <f>H3/D3-1</f>
        <v>0.13369801303193629</v>
      </c>
      <c r="I44" s="39">
        <f>I3/E3-1</f>
        <v>0.075994521769595647</v>
      </c>
      <c r="J44" s="39">
        <f>J3/F3-1</f>
        <v>0.36128559867432264</v>
      </c>
      <c r="K44" s="39">
        <f>K3/G3-1</f>
        <v>0.56451928725279021</v>
      </c>
      <c r="L44" s="39">
        <f>L3/H3-1</f>
        <v>0.59227985524728588</v>
      </c>
      <c r="M44" s="39">
        <f>M3/I3-1</f>
        <v>0.45084805967498442</v>
      </c>
      <c r="N44" s="39">
        <f>N3/J3-1</f>
        <v>0.57476503227267561</v>
      </c>
      <c r="O44" s="39">
        <f>O3/K3-1</f>
        <v>0.47008760951188977</v>
      </c>
      <c r="P44" s="39">
        <f>P3/L3-1</f>
        <v>0.48500445632798583</v>
      </c>
      <c r="Q44" s="39">
        <f>Q3/M3-1</f>
        <v>0.23372913861345745</v>
      </c>
      <c r="R44" s="39">
        <f>R3/N3-1</f>
        <v>0.051359951102881718</v>
      </c>
      <c r="V44" s="9"/>
      <c r="W44" s="9"/>
      <c r="AB44" s="25">
        <f>AB3/AA3-1</f>
        <v>-0.061491997114314856</v>
      </c>
      <c r="AC44" s="25">
        <f>AC3/AB3-1</f>
        <v>-0.018787294473252114</v>
      </c>
      <c r="AD44" s="25">
        <f>AD3/AC3-1</f>
        <v>0.37328712555767996</v>
      </c>
      <c r="AE44" s="25">
        <f>AE3/AD3-1</f>
        <v>0.18761421319796945</v>
      </c>
      <c r="AF44" s="25">
        <f>AF3/AE3-1</f>
        <v>0.54256730902311356</v>
      </c>
      <c r="AG44" s="25">
        <f>AG3/AF3-1</f>
        <v>0.28954146259077862</v>
      </c>
      <c r="AH44" s="33">
        <f>AVERAGE(AB44:AG44)</f>
        <v>0.21878846979699576</v>
      </c>
      <c r="AI44" s="25">
        <f>MEDIAN(AB44:AH44)</f>
        <v>0.21878846979699576</v>
      </c>
      <c r="AJ44" s="25">
        <v>0.10000000000000001</v>
      </c>
      <c r="AK44" s="28"/>
    </row>
    <row r="45" s="0" customFormat="1" ht="14.25">
      <c r="B45" s="40" t="s">
        <v>116</v>
      </c>
      <c r="C45" s="30"/>
      <c r="D45" s="9"/>
      <c r="E45" s="9"/>
      <c r="F45" s="14"/>
      <c r="G45" s="39">
        <f>G4/C4-1</f>
        <v>0.38461538461538458</v>
      </c>
      <c r="H45" s="39">
        <f>H4/D4-1</f>
        <v>-0.96350891660653537</v>
      </c>
      <c r="I45" s="39">
        <f>I4/E4-1</f>
        <v>-0.625</v>
      </c>
      <c r="J45" s="39">
        <f>J4/F4-1</f>
        <v>0.291784702549575</v>
      </c>
      <c r="K45" s="39">
        <f>K4/G4-1</f>
        <v>3.5555555555555554</v>
      </c>
      <c r="L45" s="39">
        <f>L4/H4-1</f>
        <v>0.9152542372881356</v>
      </c>
      <c r="M45" s="39">
        <f>M4/I4-1</f>
        <v>-0.29629629629629628</v>
      </c>
      <c r="N45" s="39">
        <f>N4/J4-1</f>
        <v>-0.86622807017543857</v>
      </c>
      <c r="O45" s="39">
        <f>O4/K4-1</f>
        <v>0.060975609756097615</v>
      </c>
      <c r="P45" s="39">
        <f>P4/L4-1</f>
        <v>0.16814159292035402</v>
      </c>
      <c r="Q45" s="39">
        <f>Q4/M4-1</f>
        <v>-0.28947368421052633</v>
      </c>
      <c r="R45" s="39">
        <f>R4/N4-1</f>
        <v>0.55737704918032782</v>
      </c>
      <c r="S45" s="30"/>
      <c r="T45" s="30"/>
      <c r="U45" s="30"/>
      <c r="V45" s="9"/>
      <c r="W45" s="9"/>
      <c r="X45" s="30"/>
      <c r="Y45" s="30"/>
      <c r="Z45" s="30"/>
      <c r="AA45" s="30"/>
      <c r="AB45" s="28">
        <f>AB4/AA4-1</f>
        <v>4.243243243243243</v>
      </c>
      <c r="AC45" s="28">
        <f>AC4/AB4-1</f>
        <v>-0.21134020618556693</v>
      </c>
      <c r="AD45" s="28">
        <f>AD4/AC4-1</f>
        <v>65.738562091503269</v>
      </c>
      <c r="AE45" s="28">
        <f>AE4/AD4-1</f>
        <v>-0.91362256390167462</v>
      </c>
      <c r="AF45" s="28">
        <f>AF4/AE4-1</f>
        <v>-0.027210884353741527</v>
      </c>
      <c r="AG45" s="25">
        <f>AG4/AF4-1</f>
        <v>0.16666666666666674</v>
      </c>
      <c r="AH45" s="33"/>
      <c r="AI45" s="25"/>
      <c r="AJ45" s="25"/>
      <c r="AK45" s="28"/>
    </row>
    <row r="46" s="0" customFormat="1" ht="14.25">
      <c r="B46" s="4" t="s">
        <v>117</v>
      </c>
      <c r="D46" s="9"/>
      <c r="E46" s="9"/>
      <c r="F46" s="1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V46" s="9"/>
      <c r="W46" s="9"/>
      <c r="AH46" s="41"/>
      <c r="AI46" s="4"/>
      <c r="AJ46" s="4"/>
      <c r="AK46" s="30"/>
    </row>
    <row r="47" s="18" customFormat="1" ht="14.25">
      <c r="B47" s="18"/>
      <c r="C47" s="18"/>
      <c r="D47" s="42"/>
      <c r="E47" s="42"/>
      <c r="F47" s="43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18"/>
      <c r="T47" s="18"/>
      <c r="U47" s="18"/>
      <c r="V47" s="18"/>
      <c r="W47" s="18"/>
      <c r="X47" s="18"/>
      <c r="Y47" s="18"/>
      <c r="Z47" s="42"/>
      <c r="AA47" s="42"/>
      <c r="AB47" s="42"/>
      <c r="AC47" s="42"/>
      <c r="AD47" s="42"/>
      <c r="AE47" s="42"/>
      <c r="AF47" s="42"/>
      <c r="AG47" s="42"/>
      <c r="AH47" s="33"/>
      <c r="AI47" s="25"/>
      <c r="AJ47" s="25"/>
      <c r="AK47" s="28"/>
    </row>
    <row r="48" ht="14.25">
      <c r="B48" t="s">
        <v>118</v>
      </c>
      <c r="C48" s="4"/>
      <c r="D48" s="25"/>
      <c r="E48" s="25"/>
      <c r="F48" s="26"/>
      <c r="G48" s="25">
        <f t="shared" ref="G48:G50" si="3">G20/C20-1</f>
        <v>0.2872428896157897</v>
      </c>
      <c r="H48" s="34">
        <f t="shared" ref="H48:H50" si="4">H20/D20-1</f>
        <v>0.15970668063425553</v>
      </c>
      <c r="I48" s="34">
        <f t="shared" ref="I48:I50" si="5">I20/E20-1</f>
        <v>0.14908529865549935</v>
      </c>
      <c r="J48" s="34">
        <f t="shared" ref="J48:J50" si="6">J20/F20-1</f>
        <v>0.086355647867071506</v>
      </c>
      <c r="K48" s="34">
        <f t="shared" ref="K48:K50" si="7">K20/G20-1</f>
        <v>0.36898096304591266</v>
      </c>
      <c r="L48" s="34">
        <f t="shared" ref="L48:L50" si="8">L20/H20-1</f>
        <v>0.2724697187435845</v>
      </c>
      <c r="M48" s="34">
        <f t="shared" ref="M48:M50" si="9">M20/I20-1</f>
        <v>0.16538151686039804</v>
      </c>
      <c r="N48" s="34">
        <f t="shared" ref="N48:N50" si="10">N20/J20-1</f>
        <v>0.46437238032208228</v>
      </c>
      <c r="O48" s="34">
        <f t="shared" ref="O48:O50" si="11">O20/K20-1</f>
        <v>0.24898537045776314</v>
      </c>
      <c r="P48" s="34">
        <f t="shared" ref="P48:P50" si="12">P20/L20-1</f>
        <v>0.46400567906811641</v>
      </c>
      <c r="Q48" s="34">
        <f t="shared" ref="Q48:Q50" si="13">Q20/M20-1</f>
        <v>0.50829547698992705</v>
      </c>
      <c r="R48" s="34">
        <f t="shared" ref="R48:R50" si="14">R20/N20-1</f>
        <v>0.085919453650697974</v>
      </c>
      <c r="S48" s="4"/>
      <c r="V48" s="25">
        <f t="shared" ref="V48:V50" si="15">V20/U20-1</f>
        <v>0.17932567617636153</v>
      </c>
      <c r="W48" s="25">
        <f t="shared" ref="W48:W50" si="16">W20/V20-1</f>
        <v>0.49348099277411261</v>
      </c>
      <c r="X48" s="25">
        <f t="shared" ref="X48:X50" si="17">X20/W20-1</f>
        <v>0.31974756770970281</v>
      </c>
      <c r="Y48" s="25">
        <f t="shared" ref="Y48:Y50" si="18">Y20/X20-1</f>
        <v>0.40824865511057973</v>
      </c>
      <c r="Z48" s="25">
        <f t="shared" ref="Z48:Z50" si="19">Z20/Y20-1</f>
        <v>0.41519524617996617</v>
      </c>
      <c r="AA48" s="39">
        <f t="shared" ref="AA48:AA50" si="20">AA20/Z20-1</f>
        <v>0.0032791474216702365</v>
      </c>
      <c r="AB48" s="39">
        <f t="shared" ref="AB48:AB50" si="21">AB20/AA20-1</f>
        <v>0.075791697391234925</v>
      </c>
      <c r="AC48" s="39">
        <f t="shared" ref="AC48:AC50" si="22">AC20/AB20-1</f>
        <v>0.1922563912560209</v>
      </c>
      <c r="AD48" s="39">
        <f t="shared" ref="AD48:AD50" si="23">AD20/AC20-1</f>
        <v>0.34805307809440933</v>
      </c>
      <c r="AE48" s="39">
        <f t="shared" ref="AE48:AE50" si="24">AE20/AD20-1</f>
        <v>0.16229050923257793</v>
      </c>
      <c r="AF48" s="39">
        <f t="shared" ref="AF48:AF50" si="25">AF20/AE20-1</f>
        <v>0.31875880124556222</v>
      </c>
      <c r="AG48" s="39">
        <f t="shared" ref="AG48:AG50" si="26">AG20/AF20-1</f>
        <v>0.30950286131101445</v>
      </c>
      <c r="AH48" s="33">
        <f t="shared" ref="AH48:AH51" si="27">AVERAGE(V48:AG48)</f>
        <v>0.26882755199193437</v>
      </c>
      <c r="AI48" s="25">
        <f t="shared" ref="AI48:AI50" si="28">MEDIAN(Z48:AH48)</f>
        <v>0.26882755199193437</v>
      </c>
      <c r="AJ48" s="44">
        <v>0.080000000000000002</v>
      </c>
      <c r="AK48" s="28"/>
    </row>
    <row r="49" ht="14.25">
      <c r="B49" t="s">
        <v>119</v>
      </c>
      <c r="C49" s="4"/>
      <c r="D49" s="39"/>
      <c r="E49" s="39"/>
      <c r="F49" s="45"/>
      <c r="G49" s="39">
        <f t="shared" si="3"/>
        <v>0.18650088809946719</v>
      </c>
      <c r="H49" s="46">
        <f t="shared" si="4"/>
        <v>0.18493150684931514</v>
      </c>
      <c r="I49" s="46">
        <f t="shared" si="5"/>
        <v>0.31289308176100628</v>
      </c>
      <c r="J49" s="46">
        <f t="shared" si="6"/>
        <v>0.1434977578475336</v>
      </c>
      <c r="K49" s="46">
        <f t="shared" si="7"/>
        <v>0.29865269461077859</v>
      </c>
      <c r="L49" s="46">
        <f t="shared" si="8"/>
        <v>0.10854206807964051</v>
      </c>
      <c r="M49" s="46">
        <f t="shared" si="9"/>
        <v>0.43892215568862292</v>
      </c>
      <c r="N49" s="46">
        <f t="shared" si="10"/>
        <v>0.87764705882352945</v>
      </c>
      <c r="O49" s="46">
        <f t="shared" si="11"/>
        <v>0.25878962536023042</v>
      </c>
      <c r="P49" s="46">
        <f t="shared" si="12"/>
        <v>0.35631517960602532</v>
      </c>
      <c r="Q49" s="46">
        <f t="shared" si="13"/>
        <v>0.13607990012484383</v>
      </c>
      <c r="R49" s="46">
        <f t="shared" si="14"/>
        <v>0.095238095238095122</v>
      </c>
      <c r="S49" s="4"/>
      <c r="V49" s="39">
        <f t="shared" si="15"/>
        <v>-0.063829787234042645</v>
      </c>
      <c r="W49" s="39">
        <f t="shared" si="16"/>
        <v>0.26735537190082659</v>
      </c>
      <c r="X49" s="39">
        <f t="shared" si="17"/>
        <v>0.13922399739158764</v>
      </c>
      <c r="Y49" s="39">
        <f t="shared" si="18"/>
        <v>-0.060103033772180736</v>
      </c>
      <c r="Z49" s="39">
        <f t="shared" si="19"/>
        <v>0.14159561510353225</v>
      </c>
      <c r="AA49" s="39">
        <f t="shared" si="20"/>
        <v>-0.36116297679381171</v>
      </c>
      <c r="AB49" s="39">
        <f t="shared" si="21"/>
        <v>0.65803757828810028</v>
      </c>
      <c r="AC49" s="39">
        <f t="shared" si="22"/>
        <v>0.19667590027700843</v>
      </c>
      <c r="AD49" s="39">
        <f t="shared" si="23"/>
        <v>0.015572390572390571</v>
      </c>
      <c r="AE49" s="39">
        <f t="shared" si="24"/>
        <v>0.209697472026523</v>
      </c>
      <c r="AF49" s="39">
        <f t="shared" si="25"/>
        <v>0.4145255224391915</v>
      </c>
      <c r="AG49" s="39">
        <f t="shared" si="26"/>
        <v>0.19593121821264248</v>
      </c>
      <c r="AH49" s="33">
        <f t="shared" si="27"/>
        <v>0.14612660570098063</v>
      </c>
      <c r="AI49" s="25">
        <f t="shared" si="28"/>
        <v>0.19593121821264248</v>
      </c>
      <c r="AJ49" s="25">
        <v>0.050000000000000003</v>
      </c>
      <c r="AK49" s="28"/>
    </row>
    <row r="50" ht="14.25">
      <c r="B50" t="s">
        <v>86</v>
      </c>
      <c r="C50" s="4"/>
      <c r="D50" s="39"/>
      <c r="E50" s="39"/>
      <c r="F50" s="45"/>
      <c r="G50" s="39">
        <f t="shared" si="3"/>
        <v>0.14566076207467837</v>
      </c>
      <c r="H50" s="46">
        <f t="shared" si="4"/>
        <v>0.27476038338658149</v>
      </c>
      <c r="I50" s="46">
        <f t="shared" si="5"/>
        <v>0.16526302941535453</v>
      </c>
      <c r="J50" s="46">
        <f t="shared" si="6"/>
        <v>0.23042024832855779</v>
      </c>
      <c r="K50" s="46">
        <f t="shared" si="7"/>
        <v>0.14649610678531677</v>
      </c>
      <c r="L50" s="46">
        <f t="shared" si="8"/>
        <v>0.34436090225563909</v>
      </c>
      <c r="M50" s="46">
        <f t="shared" si="9"/>
        <v>0.16633497433748823</v>
      </c>
      <c r="N50" s="46">
        <f t="shared" si="10"/>
        <v>0.28391228410634572</v>
      </c>
      <c r="O50" s="46">
        <f t="shared" si="11"/>
        <v>0.413893470456971</v>
      </c>
      <c r="P50" s="46">
        <f t="shared" si="12"/>
        <v>0.33012677106636845</v>
      </c>
      <c r="Q50" s="46">
        <f t="shared" si="13"/>
        <v>0.61167489896722071</v>
      </c>
      <c r="R50" s="46">
        <f t="shared" si="14"/>
        <v>0.55547158403869412</v>
      </c>
      <c r="S50" s="4"/>
      <c r="V50" s="39">
        <f t="shared" si="15"/>
        <v>0.043252322712718616</v>
      </c>
      <c r="W50" s="39">
        <f t="shared" si="16"/>
        <v>0.63703144654088062</v>
      </c>
      <c r="X50" s="39">
        <f t="shared" si="17"/>
        <v>0.21523850504057029</v>
      </c>
      <c r="Y50" s="39">
        <f t="shared" si="18"/>
        <v>-0.51007865651635087</v>
      </c>
      <c r="Z50" s="39">
        <f t="shared" si="19"/>
        <v>0.91022662743276017</v>
      </c>
      <c r="AA50" s="39">
        <f t="shared" si="20"/>
        <v>-0.40756154906358943</v>
      </c>
      <c r="AB50" s="39">
        <f t="shared" si="21"/>
        <v>0.034622753398412476</v>
      </c>
      <c r="AC50" s="39">
        <f t="shared" si="22"/>
        <v>0.026233411225254466</v>
      </c>
      <c r="AD50" s="39">
        <f t="shared" si="23"/>
        <v>0.3854614194878847</v>
      </c>
      <c r="AE50" s="39">
        <f t="shared" si="24"/>
        <v>0.20373356487224004</v>
      </c>
      <c r="AF50" s="39">
        <f t="shared" si="25"/>
        <v>0.23728682569941784</v>
      </c>
      <c r="AG50" s="39">
        <f t="shared" si="26"/>
        <v>0.48785108996647852</v>
      </c>
      <c r="AH50" s="33">
        <f t="shared" si="27"/>
        <v>0.18860814673305645</v>
      </c>
      <c r="AI50" s="25">
        <f t="shared" si="28"/>
        <v>0.20373356487224004</v>
      </c>
      <c r="AJ50" s="25">
        <v>0.070000000000000007</v>
      </c>
      <c r="AK50" s="28"/>
    </row>
    <row r="51" ht="14.25">
      <c r="B51" t="s">
        <v>120</v>
      </c>
      <c r="C51" s="25">
        <f>C26/C25*-1</f>
        <v>0.22969236691981929</v>
      </c>
      <c r="D51" s="25">
        <f>D26/D25*-1</f>
        <v>0.16626963052879143</v>
      </c>
      <c r="E51" s="25">
        <f>E26/E25*-1</f>
        <v>0.2045106779322732</v>
      </c>
      <c r="F51" s="26">
        <f>F26/F25*-1</f>
        <v>0.18461995570201498</v>
      </c>
      <c r="G51" s="25">
        <f>G26/G25*-1</f>
        <v>0.61356895699456282</v>
      </c>
      <c r="H51" s="25">
        <f>H26/H25*-1</f>
        <v>0.1615687437202484</v>
      </c>
      <c r="I51" s="25">
        <f>I26/I25*-1</f>
        <v>0.26461287693561553</v>
      </c>
      <c r="J51" s="25">
        <f>J26/J25*-1</f>
        <v>0.3253596250202036</v>
      </c>
      <c r="K51" s="25">
        <f>K26/K25*-1</f>
        <v>0.17269954085162587</v>
      </c>
      <c r="L51" s="25">
        <f>L26/L25*-1</f>
        <v>0.18884681478777923</v>
      </c>
      <c r="M51" s="25">
        <f>M26/M25*-1</f>
        <v>0.18195196754965248</v>
      </c>
      <c r="N51" s="25">
        <f>N26/N25*-1</f>
        <v>0.22061718170182107</v>
      </c>
      <c r="O51" s="25">
        <f>O26/O25*-1</f>
        <v>0.16533156999811069</v>
      </c>
      <c r="P51" s="25">
        <f>P26/P25*-1</f>
        <v>0.22829803187793651</v>
      </c>
      <c r="Q51" s="25">
        <f>Q26/Q25*-1</f>
        <v>0.23581670402073823</v>
      </c>
      <c r="R51" s="25">
        <f>R26/R25*-1</f>
        <v>-1.3698424606151614</v>
      </c>
      <c r="S51" s="4"/>
      <c r="V51" s="25">
        <f>V26/V25*-1</f>
        <v>0.30104131676184076</v>
      </c>
      <c r="W51" s="25">
        <f>W26/W25*-1</f>
        <v>0.26749833836085685</v>
      </c>
      <c r="X51" s="25">
        <f>X26/X25*-1</f>
        <v>0.27258719583882557</v>
      </c>
      <c r="Y51" s="25">
        <f>Y26/Y25*-1</f>
        <v>0.27904355049246482</v>
      </c>
      <c r="Z51" s="25">
        <f>Z26/Z25*-1</f>
        <v>0.26654404570891882</v>
      </c>
      <c r="AA51" s="25">
        <f>AA26/AA25*-1</f>
        <v>0.24517068007409362</v>
      </c>
      <c r="AB51" s="25">
        <f>AB26/AB25*-1</f>
        <v>0.24471405028226795</v>
      </c>
      <c r="AC51" s="25">
        <f>AC26/AC25*-1</f>
        <v>0.17516216179152783</v>
      </c>
      <c r="AD51" s="25">
        <f>AD26/AD25*-1</f>
        <v>0.18880932782938592</v>
      </c>
      <c r="AE51" s="25">
        <f>AE26/AE25*-1</f>
        <v>0.24908834775608774</v>
      </c>
      <c r="AF51" s="25">
        <f>AF26/AF25*-1</f>
        <v>0.19336517276409362</v>
      </c>
      <c r="AG51" s="25">
        <f>AG26/AG25*-1</f>
        <v>0.22257350616503332</v>
      </c>
      <c r="AH51" s="47">
        <f t="shared" si="27"/>
        <v>0.2421331411521164</v>
      </c>
      <c r="AI51" s="47">
        <f>MEDIAN(Z51:AH51)</f>
        <v>0.2421331411521164</v>
      </c>
      <c r="AJ51" s="47">
        <f>MEDIAN(AA51:AI51)</f>
        <v>0.2421331411521164</v>
      </c>
      <c r="AK51" s="28"/>
    </row>
    <row r="52" ht="14.25">
      <c r="F52" s="3"/>
    </row>
    <row r="53" ht="14.25">
      <c r="A53" s="5" t="s">
        <v>121</v>
      </c>
      <c r="F53" s="3"/>
    </row>
    <row r="54" ht="14.25">
      <c r="A54" s="5"/>
      <c r="B54" s="5" t="s">
        <v>122</v>
      </c>
      <c r="AM54" s="22"/>
    </row>
    <row r="55" ht="14.25">
      <c r="B55" t="s">
        <v>123</v>
      </c>
      <c r="C55">
        <v>512.04999999999995</v>
      </c>
    </row>
    <row r="56" ht="14.25">
      <c r="B56" t="s">
        <v>124</v>
      </c>
      <c r="C56">
        <v>110.84</v>
      </c>
    </row>
    <row r="57" ht="14.25">
      <c r="A57" t="s">
        <v>125</v>
      </c>
      <c r="B57" t="s">
        <v>126</v>
      </c>
      <c r="C57">
        <v>205.33000000000001</v>
      </c>
    </row>
    <row r="58" ht="14.25">
      <c r="B58" t="s">
        <v>127</v>
      </c>
      <c r="C58">
        <v>1.2</v>
      </c>
    </row>
    <row r="59" ht="14.25">
      <c r="B59" t="s">
        <v>41</v>
      </c>
      <c r="C59">
        <v>136.84999999999999</v>
      </c>
      <c r="F59" s="3"/>
    </row>
    <row r="60" ht="14.25">
      <c r="B60" t="s">
        <v>128</v>
      </c>
      <c r="C60">
        <v>0.16</v>
      </c>
      <c r="F60" s="3"/>
    </row>
    <row r="61" s="5" customFormat="1" ht="14.25">
      <c r="B61" s="5" t="s">
        <v>129</v>
      </c>
      <c r="C61" s="5">
        <f>SUM(C55:C60)</f>
        <v>966.43000000000006</v>
      </c>
      <c r="D61" s="5">
        <f>SUM(D55:D60)</f>
        <v>0</v>
      </c>
      <c r="E61" s="5">
        <f>SUM(E55:E60)</f>
        <v>0</v>
      </c>
      <c r="F61" s="7">
        <f>SUM(F55:F60)</f>
        <v>0</v>
      </c>
      <c r="G61" s="5"/>
      <c r="H61" s="5"/>
      <c r="I61" s="5"/>
    </row>
    <row r="62" ht="14.25">
      <c r="F62" s="3"/>
    </row>
    <row r="63" ht="14.25">
      <c r="B63" s="5" t="s">
        <v>130</v>
      </c>
      <c r="F63" s="3"/>
    </row>
    <row r="64" ht="14.25">
      <c r="B64" t="s">
        <v>123</v>
      </c>
      <c r="C64">
        <v>114.7</v>
      </c>
      <c r="F64" s="3"/>
    </row>
    <row r="65" ht="14.25">
      <c r="B65" t="s">
        <v>131</v>
      </c>
      <c r="C65">
        <v>0</v>
      </c>
    </row>
    <row r="66" ht="14.25">
      <c r="B66" t="s">
        <v>132</v>
      </c>
      <c r="C66">
        <v>103.88</v>
      </c>
    </row>
    <row r="67" ht="14.25">
      <c r="B67" t="s">
        <v>126</v>
      </c>
      <c r="C67">
        <v>77.540000000000006</v>
      </c>
    </row>
    <row r="68" ht="14.25">
      <c r="B68" t="s">
        <v>127</v>
      </c>
      <c r="C68">
        <v>-2.4900000000000002</v>
      </c>
      <c r="F68" s="3"/>
    </row>
    <row r="69" ht="14.25">
      <c r="B69" t="s">
        <v>41</v>
      </c>
      <c r="C69">
        <v>11.35</v>
      </c>
      <c r="F69" s="3"/>
    </row>
    <row r="70" ht="14.25">
      <c r="B70" t="s">
        <v>128</v>
      </c>
      <c r="C70">
        <v>-17.510000000000002</v>
      </c>
      <c r="F70" s="3"/>
    </row>
    <row r="71" s="5" customFormat="1" ht="14.25">
      <c r="B71" s="5" t="s">
        <v>133</v>
      </c>
      <c r="C71" s="5">
        <f>SUM(C65:C70)</f>
        <v>172.77000000000001</v>
      </c>
      <c r="D71" s="5">
        <f>SUM(D65:D70)</f>
        <v>0</v>
      </c>
      <c r="E71" s="5">
        <f>SUM(E65:E70)</f>
        <v>0</v>
      </c>
      <c r="F71" s="7">
        <f>SUM(F65:F70)</f>
        <v>0</v>
      </c>
      <c r="G71" s="5"/>
      <c r="H71" s="5"/>
      <c r="I71" s="5"/>
    </row>
    <row r="72" ht="14.25">
      <c r="F72" s="3"/>
    </row>
    <row r="73" ht="14.25">
      <c r="F73" s="3"/>
    </row>
    <row r="74" ht="14.25">
      <c r="F74" s="3"/>
    </row>
    <row r="78" ht="14.25">
      <c r="F78" s="3"/>
    </row>
  </sheetData>
  <hyperlinks>
    <hyperlink r:id="rId1" ref="AD1"/>
    <hyperlink r:id="rId2" ref="AF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2025-06-14T19:48:00Z</dcterms:modified>
</cp:coreProperties>
</file>