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zimmerm\Documents\idoMaps\popups\"/>
    </mc:Choice>
  </mc:AlternateContent>
  <bookViews>
    <workbookView xWindow="0" yWindow="90" windowWidth="15390" windowHeight="7980"/>
  </bookViews>
  <sheets>
    <sheet name="Global" sheetId="1" r:id="rId1"/>
    <sheet name="NGDM CSC Docs" sheetId="2" r:id="rId2"/>
    <sheet name="D%$&amp;01_DevSheet" sheetId="3" state="veryHidden" r:id="rId3"/>
  </sheets>
  <calcPr calcId="152511"/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BF14" i="1" l="1"/>
  <c r="AZ14" i="1"/>
  <c r="AZ3" i="1" l="1"/>
  <c r="AZ4" i="1"/>
  <c r="AZ5" i="1"/>
  <c r="AZ6" i="1"/>
  <c r="AZ7" i="1"/>
  <c r="AZ8" i="1"/>
  <c r="AZ9" i="1"/>
  <c r="AZ10" i="1"/>
  <c r="AZ11" i="1"/>
  <c r="AZ12" i="1"/>
  <c r="AZ13" i="1"/>
  <c r="AZ15" i="1"/>
  <c r="AZ16" i="1"/>
  <c r="AZ17" i="1"/>
  <c r="AZ18" i="1"/>
  <c r="AZ19" i="1"/>
  <c r="AZ20" i="1"/>
  <c r="AZ21" i="1"/>
  <c r="AZ22" i="1"/>
  <c r="AZ23" i="1"/>
  <c r="AZ24" i="1"/>
  <c r="AZ25" i="1"/>
  <c r="AZ2" i="1"/>
  <c r="BF3" i="1"/>
  <c r="BL3" i="3" s="1"/>
  <c r="BF4" i="1"/>
  <c r="BF5" i="1"/>
  <c r="BF6" i="1"/>
  <c r="BF7" i="1"/>
  <c r="BF8" i="1"/>
  <c r="BF9" i="1"/>
  <c r="BF10" i="1"/>
  <c r="BF11" i="1"/>
  <c r="FF5" i="3" s="1"/>
  <c r="BF12" i="1"/>
  <c r="IC5" i="3" s="1"/>
  <c r="BF13" i="1"/>
  <c r="BF15" i="1"/>
  <c r="BF16" i="1"/>
  <c r="BF17" i="1"/>
  <c r="BF18" i="1"/>
  <c r="BF19" i="1"/>
  <c r="BF20" i="1"/>
  <c r="CD8" i="3" s="1"/>
  <c r="BF21" i="1"/>
  <c r="BF22" i="1"/>
  <c r="BF23" i="1"/>
  <c r="BC9" i="3" s="1"/>
  <c r="BF24" i="1"/>
  <c r="DZ9" i="3" s="1"/>
  <c r="BF25" i="1"/>
  <c r="BF2" i="1"/>
  <c r="J3" i="1" l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M2" i="1"/>
  <c r="J2" i="1"/>
  <c r="K2" i="1" l="1"/>
</calcChain>
</file>

<file path=xl/sharedStrings.xml><?xml version="1.0" encoding="utf-8"?>
<sst xmlns="http://schemas.openxmlformats.org/spreadsheetml/2006/main" count="1797" uniqueCount="466">
  <si>
    <t>https://c3.csc.com/groups/ngdm-pods-huddle-boards-overview-india-platform</t>
  </si>
  <si>
    <t>https://c3.csc.com/groups/ngdm-pods-huddle-boards-overview-asturias-spain</t>
  </si>
  <si>
    <t>https://c3.csc.com/groups/pod-huddle-boards-summary</t>
  </si>
  <si>
    <t>https://c3.csc.com/groups/ngdm-pods-huddle-board-overview-nordic</t>
  </si>
  <si>
    <t>https://c3.csc.com/groups/ido-pod-huddle-boards-overview-denmark-luxembourg</t>
  </si>
  <si>
    <t>https://c3.csc.com/groups/ido-pod-overview-americas</t>
  </si>
  <si>
    <t>https://c3.csc.com/groups/ngdm-pods-huddle-boards-overview-asia-pacific</t>
  </si>
  <si>
    <t>&lt;a href="javascript:void(0)" id=</t>
  </si>
  <si>
    <t xml:space="preserve"> class="bullet </t>
  </si>
  <si>
    <t>cyan</t>
  </si>
  <si>
    <t>1000</t>
  </si>
  <si>
    <t>-</t>
  </si>
  <si>
    <t>487</t>
  </si>
  <si>
    <t>&gt;&lt;h3&gt;</t>
  </si>
  <si>
    <t>AUS-S1 Sydney, Australia</t>
  </si>
  <si>
    <t xml:space="preserve">&lt;/h3&gt;&lt;a class="updtd"&gt;last updated </t>
  </si>
  <si>
    <t>05/12/2015</t>
  </si>
  <si>
    <t xml:space="preserve"> by </t>
  </si>
  <si>
    <t>bzimmerm</t>
  </si>
  <si>
    <t>https://c3.csc.com/groups/esp-p1-p-yellow-nghb</t>
  </si>
  <si>
    <t>pod1.png</t>
  </si>
  <si>
    <t>&lt;/div&gt;&lt;p&gt;</t>
  </si>
  <si>
    <t>entity</t>
  </si>
  <si>
    <t>&lt;br /&gt;</t>
  </si>
  <si>
    <t xml:space="preserve"> </t>
  </si>
  <si>
    <t>Brigitte Karlowatz</t>
  </si>
  <si>
    <t>&lt;/p&gt;&lt;/div&gt;&lt;a class="wan</t>
  </si>
  <si>
    <t>iswan</t>
  </si>
  <si>
    <t>blue</t>
  </si>
  <si>
    <t>847</t>
  </si>
  <si>
    <t>368</t>
  </si>
  <si>
    <t>KUA-C1 Kuala Lumpur, MY</t>
  </si>
  <si>
    <t>122</t>
  </si>
  <si>
    <t>528</t>
  </si>
  <si>
    <t>AST-C1 Asturias-Prague</t>
  </si>
  <si>
    <t>https://cscportal.sharepoint.com/sites/idoPODTeamStructureAndToolsAndQueues/iDO%20Pod%20NIBs/ast-c1%20nib.xlsx?d=wedbe7a1dfa284c0baf93499b222042e5</t>
  </si>
  <si>
    <t>Pere Tubau Rosell</t>
  </si>
  <si>
    <t>506</t>
  </si>
  <si>
    <t>347</t>
  </si>
  <si>
    <t>187</t>
  </si>
  <si>
    <t>238</t>
  </si>
  <si>
    <t>GBR-S1 Chorley-Chesterfield</t>
  </si>
  <si>
    <t>Carolyn Knowles</t>
  </si>
  <si>
    <t>210</t>
  </si>
  <si>
    <t>251</t>
  </si>
  <si>
    <t>green</t>
  </si>
  <si>
    <t>350</t>
  </si>
  <si>
    <t>362</t>
  </si>
  <si>
    <t>LUX-R1 Luxembourg</t>
  </si>
  <si>
    <t>Hicham Hage</t>
  </si>
  <si>
    <t>LTU-R1 Elbl&amp;#261;g-Vilnius</t>
  </si>
  <si>
    <t>Jonas Lukosius</t>
  </si>
  <si>
    <t>602</t>
  </si>
  <si>
    <t>221</t>
  </si>
  <si>
    <t>531</t>
  </si>
  <si>
    <t>82</t>
  </si>
  <si>
    <t>SWE-S1 Link&amp;ouml;ping, Sweden</t>
  </si>
  <si>
    <t>Michael Thisted</t>
  </si>
  <si>
    <t>473</t>
  </si>
  <si>
    <t>180</t>
  </si>
  <si>
    <t>DNK-S1 Copenhagen, Denmark</t>
  </si>
  <si>
    <t>181</t>
  </si>
  <si>
    <t>442</t>
  </si>
  <si>
    <t>PDC-R1 Pittsburgh-Coppell</t>
  </si>
  <si>
    <t>Brad Rogers</t>
  </si>
  <si>
    <t>628</t>
  </si>
  <si>
    <t>193</t>
  </si>
  <si>
    <t>827</t>
  </si>
  <si>
    <t>138</t>
  </si>
  <si>
    <t>EHT-R1 East Hartford, CT</t>
  </si>
  <si>
    <t>red</t>
  </si>
  <si>
    <t>701</t>
  </si>
  <si>
    <t>244</t>
  </si>
  <si>
    <t>USA-MF Falls Church, VA</t>
  </si>
  <si>
    <t>TBD</t>
  </si>
  <si>
    <t>625</t>
  </si>
  <si>
    <t>448</t>
  </si>
  <si>
    <t>CHE-MF Chennai, India</t>
  </si>
  <si>
    <t>India</t>
  </si>
  <si>
    <t>purple</t>
  </si>
  <si>
    <t>578</t>
  </si>
  <si>
    <t>HYD-P1 Hyderabad, India</t>
  </si>
  <si>
    <t>yellow</t>
  </si>
  <si>
    <t>588</t>
  </si>
  <si>
    <t>355</t>
  </si>
  <si>
    <t>HYD-W1 Hyderabad, India</t>
  </si>
  <si>
    <t>silver</t>
  </si>
  <si>
    <t>589</t>
  </si>
  <si>
    <t>343</t>
  </si>
  <si>
    <t>HYD-CL Hyderabad, India</t>
  </si>
  <si>
    <t>560</t>
  </si>
  <si>
    <t>90</t>
  </si>
  <si>
    <t>NOI-P1 Noida, India</t>
  </si>
  <si>
    <t>Sanjeev Sarbahi</t>
  </si>
  <si>
    <t>568</t>
  </si>
  <si>
    <t>97</t>
  </si>
  <si>
    <t>NOI-P2 Noida, India</t>
  </si>
  <si>
    <t>576</t>
  </si>
  <si>
    <t>104</t>
  </si>
  <si>
    <t>NOI-P3 Noida, India</t>
  </si>
  <si>
    <t>88</t>
  </si>
  <si>
    <t>NOI-W1 Noida, India</t>
  </si>
  <si>
    <t>584</t>
  </si>
  <si>
    <t>95</t>
  </si>
  <si>
    <t>NOI-W2 Noida, India</t>
  </si>
  <si>
    <t>"AUS-S1"</t>
  </si>
  <si>
    <t>"KUA-C1"</t>
  </si>
  <si>
    <t>"AST-C1"</t>
  </si>
  <si>
    <t>"GBR-S1"</t>
  </si>
  <si>
    <t>"LUX-R1"</t>
  </si>
  <si>
    <t>"LTU-R1"</t>
  </si>
  <si>
    <t>"SWE-S1"</t>
  </si>
  <si>
    <t>"DNK-S1"</t>
  </si>
  <si>
    <t>"PDC-R1"</t>
  </si>
  <si>
    <t>"EHT-R1"</t>
  </si>
  <si>
    <t>"USA-MF"</t>
  </si>
  <si>
    <t>"CHE-MF"</t>
  </si>
  <si>
    <t>"HYD-P1"</t>
  </si>
  <si>
    <t>"HYD-W1"</t>
  </si>
  <si>
    <t>"HYD-CL"</t>
  </si>
  <si>
    <t>"NOI-P1"</t>
  </si>
  <si>
    <t>"NOI-P2"</t>
  </si>
  <si>
    <t>"NOI-P3"</t>
  </si>
  <si>
    <t>"NOI-W1"</t>
  </si>
  <si>
    <t>"NOI-W2"</t>
  </si>
  <si>
    <t>" rel="</t>
  </si>
  <si>
    <t>" id=</t>
  </si>
  <si>
    <t>" href="</t>
  </si>
  <si>
    <t>global</t>
  </si>
  <si>
    <t>europe</t>
  </si>
  <si>
    <t>amer</t>
  </si>
  <si>
    <t>india</t>
  </si>
  <si>
    <t>map</t>
  </si>
  <si>
    <t>start script</t>
  </si>
  <si>
    <t>"mnemonic"</t>
  </si>
  <si>
    <t>class</t>
  </si>
  <si>
    <t>bullet</t>
  </si>
  <si>
    <t>pos</t>
  </si>
  <si>
    <t>left</t>
  </si>
  <si>
    <t>dash</t>
  </si>
  <si>
    <t>top</t>
  </si>
  <si>
    <t>"LTU-R2"</t>
  </si>
  <si>
    <t>title</t>
  </si>
  <si>
    <t>color</t>
  </si>
  <si>
    <t>id</t>
  </si>
  <si>
    <t>-box</t>
  </si>
  <si>
    <t>header</t>
  </si>
  <si>
    <t>header text</t>
  </si>
  <si>
    <t>updated</t>
  </si>
  <si>
    <t>date</t>
  </si>
  <si>
    <t>by</t>
  </si>
  <si>
    <t>user</t>
  </si>
  <si>
    <t>content</t>
  </si>
  <si>
    <t>link</t>
  </si>
  <si>
    <t>logo</t>
  </si>
  <si>
    <t>div</t>
  </si>
  <si>
    <t>end</t>
  </si>
  <si>
    <t>br</t>
  </si>
  <si>
    <t>text 9</t>
  </si>
  <si>
    <t>text 10</t>
  </si>
  <si>
    <t>text 11</t>
  </si>
  <si>
    <t>text 12</t>
  </si>
  <si>
    <t>href</t>
  </si>
  <si>
    <t>TL class</t>
  </si>
  <si>
    <t>TL URL</t>
  </si>
  <si>
    <t>C3 URL</t>
  </si>
  <si>
    <t>c3</t>
  </si>
  <si>
    <t>" target="_blank"&gt;&lt;img src="images/c3.png" alt="C3"/&gt;&lt;/a&gt;&lt;a class="close" href="javascript:void(0)"&gt;&lt;/a&gt;&lt;/div&gt;</t>
  </si>
  <si>
    <t>208</t>
  </si>
  <si>
    <t>710</t>
  </si>
  <si>
    <t>" target="_blank"&gt;&lt;img class="podlogo"src="images/</t>
  </si>
  <si>
    <t>a</t>
  </si>
  <si>
    <t>" alt="POD"/&gt;&lt;/a&gt;&lt;a class="one" title="pod notebook" href="</t>
  </si>
  <si>
    <t>https://weather.yahoo.com/australia/new-south-wales/sydney-1105779/</t>
  </si>
  <si>
    <t>" target="_blank"&gt;&lt;/a&gt;&lt;a class="weather" title="local weather" href="</t>
  </si>
  <si>
    <t>" target="_blank"&gt;&lt;/a&gt;&lt;a class="maps" title="google maps" href="</t>
  </si>
  <si>
    <t>https://www.google.com/maps/place/CSC+Australia+Building+B/@-33.7798592,151.1275965,3a,75y,39h,90t/data=!3m7!1e1!3m5!1s3ptrsOoQGJGQvkxPZFFnLw!2e0!6s%2F%2Fgeo3.ggpht.com%2Fcbk%3Fpanoid%3D3ptrsOoQGJGQvkxPZFFnLw%26output%3Dthumbnail%26cb_client%3Dsearch.TACTILE.gps%26thumb%3D2%26w%3D86%26h%3D86%26yaw%3D39.147102%26pitch%3D0!7i13312!8i6656!4m2!3m1!1s0x6b12a60f611dc91d:0x275606b2a5876193!6m1!1e1?hl=en</t>
  </si>
  <si>
    <t>NSW 2113, Australia</t>
  </si>
  <si>
    <t>Level 6 - Tower B</t>
  </si>
  <si>
    <t>iDO Pod Manager:</t>
  </si>
  <si>
    <t>text 13</t>
  </si>
  <si>
    <t>CPRM:</t>
  </si>
  <si>
    <t>br CPRM</t>
  </si>
  <si>
    <t>Niels Tolman</t>
  </si>
  <si>
    <t>Pankaj Singh</t>
  </si>
  <si>
    <t>ntolman@csc.com</t>
  </si>
  <si>
    <t>Beat Zimmerman</t>
  </si>
  <si>
    <t>Matt Hayes</t>
  </si>
  <si>
    <t>mhayes27@csc.com</t>
  </si>
  <si>
    <t>bzimmerm@csc.com</t>
  </si>
  <si>
    <t>Joel Gemson</t>
  </si>
  <si>
    <t>jgemson@csc.com</t>
  </si>
  <si>
    <t>Jakub Moch</t>
  </si>
  <si>
    <t>jmoch@csc.com</t>
  </si>
  <si>
    <t>Vijayan Sandiara Sekharan</t>
  </si>
  <si>
    <t>Chris Daugherty</t>
  </si>
  <si>
    <t>cdaughe2@csc.com</t>
  </si>
  <si>
    <t>Mira Patel</t>
  </si>
  <si>
    <t>mpatel24@csc.com</t>
  </si>
  <si>
    <t>Douglas Dorsch</t>
  </si>
  <si>
    <t>Jeremy Hardy</t>
  </si>
  <si>
    <t>jhardy6@csc.com</t>
  </si>
  <si>
    <t>Raman Shindu Chulliparambil</t>
  </si>
  <si>
    <t>rchulliparam@csc.com</t>
  </si>
  <si>
    <t>Gulam Mohammed Junaidi</t>
  </si>
  <si>
    <t>Srikanth Mannem</t>
  </si>
  <si>
    <t>smannem@csc.com</t>
  </si>
  <si>
    <t>Atul Sehgal</t>
  </si>
  <si>
    <t>asehgal@csc.com</t>
  </si>
  <si>
    <t>Nagendra Bhatt</t>
  </si>
  <si>
    <t>Munish Bhatia</t>
  </si>
  <si>
    <t>mbhatia5@csc.com</t>
  </si>
  <si>
    <t>Rajat Bhatia</t>
  </si>
  <si>
    <t>Tilak Sarkar</t>
  </si>
  <si>
    <t>Praveen Garg</t>
  </si>
  <si>
    <t>tsarkar@csc.com</t>
  </si>
  <si>
    <t>email</t>
  </si>
  <si>
    <t>&lt;/a&gt;&lt;/i&gt;&lt;br /&gt;</t>
  </si>
  <si>
    <t>end a tag</t>
  </si>
  <si>
    <t xml:space="preserve"> target="_blank"&gt;</t>
  </si>
  <si>
    <t>" target="_blank"&gt;&lt;/a&gt;&lt;a title="pod metrics" href="</t>
  </si>
  <si>
    <t>metrics url</t>
  </si>
  <si>
    <t>metrics image</t>
  </si>
  <si>
    <t>onenote url</t>
  </si>
  <si>
    <t>weather url</t>
  </si>
  <si>
    <t>google_maps url</t>
  </si>
  <si>
    <t>address 1</t>
  </si>
  <si>
    <t>address 2</t>
  </si>
  <si>
    <t>address 3</t>
  </si>
  <si>
    <t>address 4</t>
  </si>
  <si>
    <t>Title</t>
  </si>
  <si>
    <t>Name</t>
  </si>
  <si>
    <t>formula</t>
  </si>
  <si>
    <t>26 Talavera Rd, Macquarie Park</t>
  </si>
  <si>
    <t>CSC Australia</t>
  </si>
  <si>
    <t>" target="_blank"&gt;&lt;/a&gt;&lt;a class="docs" title="csc docs" href="</t>
  </si>
  <si>
    <t>https://docs.amer.csc.com/alfresco/n/browse/workspace/SpacesStore/c76cb885-01bd-412f-84cc-70b73c6f48ea</t>
  </si>
  <si>
    <t>csc docs url</t>
  </si>
  <si>
    <t>" target="_blank"&gt;&lt;/a&gt;&lt;a class="sites" title="csc workshare site" href="</t>
  </si>
  <si>
    <t>https://cscportal.sharepoint.com/sites/idoPodOperations</t>
  </si>
  <si>
    <t>&lt;br/&gt;&lt;strong&gt;</t>
  </si>
  <si>
    <t>&lt;/strong&gt;&lt;br /&gt;CPRM:&amp;nbsp;</t>
  </si>
  <si>
    <t>workshare</t>
  </si>
  <si>
    <t>General</t>
  </si>
  <si>
    <t>Thu, 27 Aug 2015 17:00:43 GMT</t>
  </si>
  <si>
    <t>Capabilities</t>
  </si>
  <si>
    <t>Sat, 12 Sep 2015 09:56:07 GMT</t>
  </si>
  <si>
    <t>Pittsburgh WP1</t>
  </si>
  <si>
    <t>Thu, 23 Apr 2015 20:23:53 GMT</t>
  </si>
  <si>
    <t>East Hartford WP1</t>
  </si>
  <si>
    <t>Thu, 23 Apr 2015 20:23:14 GMT</t>
  </si>
  <si>
    <t>Chorley-Chesterfield WP1</t>
  </si>
  <si>
    <t>Sat, 12 Sep 2015 08:23:40 GMT</t>
  </si>
  <si>
    <t>Asturias-Prague WP1</t>
  </si>
  <si>
    <t>Thu, 10 Sep 2015 12:50:39 GMT</t>
  </si>
  <si>
    <t>Hyderabad W1</t>
  </si>
  <si>
    <t>Wed, 13 May 2015 13:52:49 GMT</t>
  </si>
  <si>
    <t>Hyderabad P1</t>
  </si>
  <si>
    <t>Thu, 23 Apr 2015 20:25:11 GMT</t>
  </si>
  <si>
    <t>Noida P1</t>
  </si>
  <si>
    <t>Tue, 20 Oct 2015 08:00:04 GMT</t>
  </si>
  <si>
    <t>Noida P2</t>
  </si>
  <si>
    <t>Thu, 11 Jun 2015 14:55:12 GMT</t>
  </si>
  <si>
    <t>Noida P3</t>
  </si>
  <si>
    <t>Tue, 15 Dec 2015 11:20:55 GMT</t>
  </si>
  <si>
    <t>Noida W1</t>
  </si>
  <si>
    <t>Wed, 13 May 2015 12:35:18 GMT</t>
  </si>
  <si>
    <t>Noida W2</t>
  </si>
  <si>
    <t>Wed, 19 Aug 2015 12:29:45 GMT</t>
  </si>
  <si>
    <t>Operations</t>
  </si>
  <si>
    <t>Sat, 12 Sep 2015 08:52:14 GMT</t>
  </si>
  <si>
    <t>Copenhagen WP1</t>
  </si>
  <si>
    <t>Thu, 23 Apr 2015 20:24:09 GMT</t>
  </si>
  <si>
    <t>Sydney WP1</t>
  </si>
  <si>
    <t>Wed, 09 Dec 2015 17:30:41 GMT</t>
  </si>
  <si>
    <t>Kuala Lumpur WP1</t>
  </si>
  <si>
    <t>Wed, 05 Aug 2015 03:32:33 GMT</t>
  </si>
  <si>
    <t>Sweden WP1</t>
  </si>
  <si>
    <t>Mon, 31 Aug 2015 13:14:16 GMT</t>
  </si>
  <si>
    <t>North America MF1</t>
  </si>
  <si>
    <t>Thu, 23 Jul 2015 17:42:29 GMT</t>
  </si>
  <si>
    <t>Luxembourg</t>
  </si>
  <si>
    <t>Wed, 09 Dec 2015 17:53:06 GMT</t>
  </si>
  <si>
    <t>Sydney MF</t>
  </si>
  <si>
    <t>overlay</t>
  </si>
  <si>
    <t>" target="_blank"&gt;&lt;/a&gt;&lt;div class="overlay"&gt;</t>
  </si>
  <si>
    <t>CSC Malaysia</t>
  </si>
  <si>
    <t>CSC Espa&amp;ntilde;a</t>
  </si>
  <si>
    <t>CSC Czech Republic</t>
  </si>
  <si>
    <t>CSC UK</t>
  </si>
  <si>
    <t>CSC Luxembourg</t>
  </si>
  <si>
    <t>CSC Lithuania</t>
  </si>
  <si>
    <t>CSC Poland</t>
  </si>
  <si>
    <t>CSC Denmark</t>
  </si>
  <si>
    <t xml:space="preserve">CSC </t>
  </si>
  <si>
    <t>CSC</t>
  </si>
  <si>
    <t>CSC India</t>
  </si>
  <si>
    <t>5th Floor, Plaza Hamodal</t>
  </si>
  <si>
    <t>Lot 15 Jalan 13/2</t>
  </si>
  <si>
    <t>Selangor, Malaysia</t>
  </si>
  <si>
    <t>Petaling Jaya, 46150</t>
  </si>
  <si>
    <t>conditional double br</t>
  </si>
  <si>
    <t>https://docs.amer.csc.com/alfresco/n/browse/workspace/SpacesStore/a0cb34fc-bf0a-4076-8d7d-4d0351eb59af</t>
  </si>
  <si>
    <t>https://docs.amer.csc.com/alfresco/n/browse/workspace/SpacesStore/65e5cddc-e45d-4145-bd9d-0385b34f682f</t>
  </si>
  <si>
    <t>https://docs.amer.csc.com/alfresco/n/browse/workspace/SpacesStore/77d38665-fa92-4f6f-9ff4-d5d144afc290</t>
  </si>
  <si>
    <t>https://docs.amer.csc.com/alfresco/n/browse/workspace/SpacesStore/8208fc49-f52b-4e88-9d55-2ba7d31d16db</t>
  </si>
  <si>
    <t>https://docs.amer.csc.com/alfresco/n/browse/workspace/SpacesStore/ca5923ab-5624-44f8-86cb-e40aa12b5197</t>
  </si>
  <si>
    <t>https://docs.amer.csc.com/alfresco/n/browse/workspace/SpacesStore/0fac7c3d-aebf-420d-86c5-7af4d4b49945</t>
  </si>
  <si>
    <t>https://docs.amer.csc.com/alfresco/n/browse/workspace/SpacesStore/c03e36f7-54fc-48f6-8263-ef5990087fd8</t>
  </si>
  <si>
    <t>https://docs.amer.csc.com/alfresco/n/browse/workspace/SpacesStore/6c25a3eb-661e-4c83-90c1-3e5310fee44b</t>
  </si>
  <si>
    <t>https://docs.amer.csc.com/alfresco/n/browse/workspace/SpacesStore/29fe18dc-3723-4db7-8f65-8797532ea0b6</t>
  </si>
  <si>
    <t>https://docs.amer.csc.com/alfresco/n/browse/workspace/SpacesStore/11af1641-b761-45df-a97a-7c6a3c0f180b</t>
  </si>
  <si>
    <t>https://docs.amer.csc.com/alfresco/n/browse/workspace/SpacesStore/4f5a2881-1f6a-4512-8f5e-bc53f1214023</t>
  </si>
  <si>
    <t>https://docs.amer.csc.com/alfresco/n/browse/workspace/SpacesStore/87840be5-d4f2-4ce2-8e0b-c4ba85ceebf9</t>
  </si>
  <si>
    <t>https://docs.amer.csc.com/alfresco/n/browse/workspace/SpacesStore/f8b1123e-c5d6-4fdd-a9c0-88584c1b53fa</t>
  </si>
  <si>
    <t>https://docs.amer.csc.com/alfresco/n/browse/workspace/SpacesStore/a69f3004-84a2-457f-b488-07405f53087b</t>
  </si>
  <si>
    <t>https://docs.amer.csc.com/alfresco/n/browse/workspace/SpacesStore/ea3a24f8-3fb4-4c0d-a4f0-2f9dd13bdbbc</t>
  </si>
  <si>
    <t>https://docs.amer.csc.com/alfresco/n/browse/workspace/SpacesStore/9774a8b7-6bdf-44bc-90b7-160f4cdf45a3</t>
  </si>
  <si>
    <t>https://docs.amer.csc.com/alfresco/n/browse/workspace/SpacesStore/c42d9bf8-875a-4b6d-ab72-190a6fea0317</t>
  </si>
  <si>
    <t>https://docs.amer.csc.com/alfresco/n/browse/workspace/SpacesStore/8c2f0721-0518-44da-a984-938e04fbb5c4</t>
  </si>
  <si>
    <t>https://docs.amer.csc.com/alfresco/n/browse/workspace/SpacesStore/27bbfbb2-56e7-4bbf-ad44-c5b07227de9e</t>
  </si>
  <si>
    <t>https://www.google.com/maps/place/CSC+Malaysia/@3.115823,101.638354,3a,75y,90t/data=!3m8!1e2!3m6!1s87553107!2e1!3e10!6s%2F%2Flh3.googleusercontent.com%2Fproxy%2FfbdcO2BY6x8IcWZhA7uuv7WWnpjFNrpfERmbQjbQZiYLuxm3IkrBLau9zU6hODkpmAQq5bZHdRtDOpiY_vxkH3s4U231Ew%3Dw94-h86!7i560!8i509!4m2!3m1!1s0x31cc4960fc324a13:0xbdeaa30ab1525897!6m1!1e1?hl=en</t>
  </si>
  <si>
    <t>https://weather.yahoo.com/malaysia/selangor/selangor-56035111/</t>
  </si>
  <si>
    <t>https://weather.yahoo.com/spain/asturias/aviles-753332/</t>
  </si>
  <si>
    <t>https://www.google.com/maps/place/CSC+Asturias+IT+Service+Center/@43.560196,-5.909469,3a,75y,90t/data=!3m8!1e2!3m6!1s60550210!2e1!3e10!6s%2F%2Flh5.googleusercontent.com%2Fproxy%2FnA5zP7IXs-07WddeFGr_vb1PkJUhh0Ead0XkjjPu6sV3k5nxqxrzlhw-KdujYcp7z8DFAG9lcjchn7eIvcvuu1hB7EnY_g%3Dw198-h86!7i2967!8i1288!4m2!3m1!1s0xd369b5789d93567:0xbc801b40c19034fe!6m1!1e1?hl=en</t>
  </si>
  <si>
    <t>Avenida de la Siderurgia 15</t>
  </si>
  <si>
    <t>Asturias, Spain</t>
  </si>
  <si>
    <t>https://www.google.com/maps/place/CSC+Computer+Sciences/@50.0489435,14.355696,17z/data=!3m1!4b1!4m2!3m1!1s0x470b95c37027807f:0xa49780f045b66724?hl=en</t>
  </si>
  <si>
    <t>https://weather.yahoo.com/czech-republic/prague/prague-796597/</t>
  </si>
  <si>
    <t>Radlická 751/113e</t>
  </si>
  <si>
    <t>158 00 Praha 5</t>
  </si>
  <si>
    <t>Czech Republic</t>
  </si>
  <si>
    <t>https://weather.yahoo.com/united-kingdom/england/chorley-16006/</t>
  </si>
  <si>
    <t>https://www.google.com/maps/place/Computer+Sciences+Corporation/@53.671802,-2.6573718,17z/data=!3m1!4b1!4m2!3m1!1s0x487b0d039d60147d:0x5fc81eb075ba81f6?hl=en</t>
  </si>
  <si>
    <t>Euxton House, Euxton Ln</t>
  </si>
  <si>
    <t>Euxton, Chorley</t>
  </si>
  <si>
    <t>Lancashire</t>
  </si>
  <si>
    <t>PR7 6AD, United Kingdom</t>
  </si>
  <si>
    <t>https://www.google.com/maps/place/C+S+C+Manor+Offices/@53.2357241,-1.4608128,17z/data=!3m1!4b1!4m2!3m1!1s0x4879850dd3f34435:0x340069df3445d1a6?hl=en</t>
  </si>
  <si>
    <t>https://weather.yahoo.com/united-kingdom/england/chesterfield-15835/</t>
  </si>
  <si>
    <t>Manor Offices</t>
  </si>
  <si>
    <t>Chesterfield, Derbyshire</t>
  </si>
  <si>
    <t>S40 3QT, United Kingdom</t>
  </si>
  <si>
    <t>https://weather.yahoo.com/luxembourg/luxembourg/luxembourg-23424881/</t>
  </si>
  <si>
    <t>http://www.csc.com/lu</t>
  </si>
  <si>
    <t>Impasse Drosbach</t>
  </si>
  <si>
    <t>https://weather.yahoo.com/lithuania/vilnius-county/vilnius-479616/</t>
  </si>
  <si>
    <t>https://www.google.com/maps/place/CSC+Baltic/@54.7174948,25.2837198,17z/data=!3m1!4b1!4m2!3m1!1s0x46dd94055529fabf:0x76fafe5b8b04ad60?hl=en</t>
  </si>
  <si>
    <t>Vilnius 08200</t>
  </si>
  <si>
    <t>Lithuania</t>
  </si>
  <si>
    <t>http://www.csc.com/eastern_europe/ds/27730/27750-poland</t>
  </si>
  <si>
    <t>https://weather.yahoo.com/polska/warminsko-mazurskie/elblag-29397365/</t>
  </si>
  <si>
    <t>02-670 Warszawa</t>
  </si>
  <si>
    <t>Poland</t>
  </si>
  <si>
    <t>https://weather.yahoo.com/sweden/ostergotland/linkoping-897380/</t>
  </si>
  <si>
    <t>https://www.google.com/maps/place/CSC+Sverige+AB/@58.4008349,15.6543627,17z/data=!3m1!4b1!4m2!3m1!1s0x46596ec251cd3b07:0x91a2f49f80d30732?hl=en</t>
  </si>
  <si>
    <t>CSC Sverige AB</t>
  </si>
  <si>
    <t>Br&amp;ouml;derna Ugglas gata</t>
  </si>
  <si>
    <t>Sweden</t>
  </si>
  <si>
    <t>582 54 Link&amp;ouml;ping</t>
  </si>
  <si>
    <t>https://www.google.com/maps/place/CSC/@55.6568639,12.4948241,17z/data=!3m1!4b1!4m2!3m1!1s0x465253f66bbf3cef:0xaea7988617403f64?hl=en</t>
  </si>
  <si>
    <t>https://weather.yahoo.com/danmark/hovedstaden/valby-558452/</t>
  </si>
  <si>
    <t>Retortvej 8</t>
  </si>
  <si>
    <t>2500 Valby</t>
  </si>
  <si>
    <t>Denmark</t>
  </si>
  <si>
    <t>https://weather.yahoo.com/united-states/pennsylvania/pittsburgh-2473224/</t>
  </si>
  <si>
    <t>https://www.google.com/maps/place/Computer+Sciences+Corporation/@40.4480575,-80.1898558,15z/data=!4m2!3m1!1s0x88345959dff01c19:0xf39960c7b784181?hl=en</t>
  </si>
  <si>
    <t>35 Summit Park Dr</t>
  </si>
  <si>
    <t>Pittsburgh</t>
  </si>
  <si>
    <t>PA 15275</t>
  </si>
  <si>
    <t>United States</t>
  </si>
  <si>
    <t>http://www.wunderground.com/us/tx/coppell</t>
  </si>
  <si>
    <t>https://www.google.es/maps/place/CSC/@32.9571759,-97.027537,17z/data=!3m1!4b1!4m2!3m1!1s0x864c2bedab3e81a3:0x3e029f1a7484f1c7?hl=en</t>
  </si>
  <si>
    <t>Coppell</t>
  </si>
  <si>
    <t>TX 75019</t>
  </si>
  <si>
    <t>https://www.google.es/maps/place/Computer+Sciences+Corporation/@41.7876418,-72.6700392,13z/data=!4m5!1m2!2m1!1sCSC+East+Hartford!3m1!1s0x89e653830486a3df:0xd1bc64d130ad873a?hl=en</t>
  </si>
  <si>
    <t>http://www.wunderground.com/weather-forecast/zmw:06108.1.99999</t>
  </si>
  <si>
    <t>https://www.google.es/maps/place/1775+Tysons+Blvd,+Tysons,+VA+22102,+USA/@38.9233897,-77.2236468,17z/data=!3m1!4b1!4m2!3m1!1s0x89b64ae9606ae067:0x70e3e571b3ffc826?hl=en</t>
  </si>
  <si>
    <t>http://www.wunderground.com/q/locid:USVA0974;loctype:1</t>
  </si>
  <si>
    <t>1775 Tysons Blvd</t>
  </si>
  <si>
    <t>Tysons</t>
  </si>
  <si>
    <t>VA 22102</t>
  </si>
  <si>
    <t>55 Hartland St</t>
  </si>
  <si>
    <t>East Hartford</t>
  </si>
  <si>
    <t>CT 06108</t>
  </si>
  <si>
    <t>https://weather.yahoo.com/india/tamil-nadu/chennai-2295424/</t>
  </si>
  <si>
    <t>https://www.google.es/maps/place/CSC/@13.0234415,80.1736575,17z/data=!3m1!4b1!4m2!3m1!1s0x3a5260da9b4b0b67:0x29ceaac70f0a9a52?hl=en</t>
  </si>
  <si>
    <t>7th Floor, Tower 1B</t>
  </si>
  <si>
    <t>DLF IT Park, 1/124, Shivaji Garden</t>
  </si>
  <si>
    <t>Chennai, Tamil Nadu 600125</t>
  </si>
  <si>
    <t>https://weather.yahoo.com/india/telangana/hyderabad-2295414/</t>
  </si>
  <si>
    <t>https://www.google.es/maps/place/Computer+Sciences+Corporation+Private+Limited/@17.4282361,78.3918143,14z/data=!4m5!1m2!2m1!1sCSC+Hyderabad!3m1!1s0x3bcb93e168ab6163:0x626d5c3a8a5a8bf?hl=en</t>
  </si>
  <si>
    <t>Building # 7, Mindspace IT Park</t>
  </si>
  <si>
    <t>Madhapur HITEC City</t>
  </si>
  <si>
    <t>Hyderabad, Telangana 500081</t>
  </si>
  <si>
    <t>Hyderabad, Telangana 500082</t>
  </si>
  <si>
    <t>Hyderabad, Telangana 500083</t>
  </si>
  <si>
    <t>https://www.google.es/maps/place/CSC,+Block+A,+Industrial+Area,+Sector+62,+Noida,+Uttar+Pradesh+201309,+India/@28.6247822,77.3687274,17z/data=!3m1!4b1!4m2!3m1!1s0x390ce55a4197b759:0xf07cba9e86679cbe?hl=en</t>
  </si>
  <si>
    <t>https://weather.yahoo.com/india/uttar-pradesh/noida-24505179/</t>
  </si>
  <si>
    <t>Block A</t>
  </si>
  <si>
    <t>Industrial Area, Sector 62</t>
  </si>
  <si>
    <t>Noida, Uttar Pradesh 201309</t>
  </si>
  <si>
    <t>Industrial Area, Sector 63</t>
  </si>
  <si>
    <t>Industrial Area, Sector 64</t>
  </si>
  <si>
    <t>Industrial Area, Sector 65</t>
  </si>
  <si>
    <t>Industrial Area, Sector 66</t>
  </si>
  <si>
    <t>Noida, Uttar Pradesh 201310</t>
  </si>
  <si>
    <t>Noida, Uttar Pradesh 201311</t>
  </si>
  <si>
    <t>Noida, Uttar Pradesh 201312</t>
  </si>
  <si>
    <t>Noida, Uttar Pradesh 201313</t>
  </si>
  <si>
    <t>V. Gerulai&amp;ccaron;io g. 1</t>
  </si>
  <si>
    <t>33417 Avil&amp;eacute;s</t>
  </si>
  <si>
    <t>"AST-C2"</t>
  </si>
  <si>
    <t>"GBR-S2"</t>
  </si>
  <si>
    <t>" target="_blank"&gt;&lt;/a&gt;&lt;a class="c3" title="C3 huddleboards" href="</t>
  </si>
  <si>
    <t>nib url</t>
  </si>
  <si>
    <t>https://cscportal.sharepoint.com/sites/idoPODTeamStructureAndToolsAndQueues/iDO%20Pod%20NIBs/aus-s1%20nib.xlsx?d=wf20d98dae49843fbb3b0f1f7016ba5d8</t>
  </si>
  <si>
    <t>https://cscportal.sharepoint.com/sites/idoPODTeamStructureAndToolsAndQueues/iDO%20Pod%20NIBs/dnk-s1%20nib.xlsx?d=w1c0c724c0b09462bb241693e153ec996</t>
  </si>
  <si>
    <t>https://cscportal.sharepoint.com/sites/idoPODTeamStructureAndToolsAndQueues/iDO%20Pod%20NIBs/eht-c1%20nib.xlsx?d=w4fcb29c68f8c4c948952d2b77ca49fc3</t>
  </si>
  <si>
    <t>https://cscportal.sharepoint.com/sites/idoPODTeamStructureAndToolsAndQueues/iDO%20Pod%20NIBs/gbr-s1%20nib.xlsx?d=w6fc30c20bdb4475092b1d9e6af33886e</t>
  </si>
  <si>
    <t>https://cscportal.sharepoint.com/sites/idoPODTeamStructureAndToolsAndQueues/iDO%20Pod%20NIBs/hyd-p1%20nib.xlsx?d=w6a9f4f487e3f4b4da946e7be0c04e1da</t>
  </si>
  <si>
    <t>https://cscportal.sharepoint.com/sites/idoPODTeamStructureAndToolsAndQueues/iDO%20Pod%20NIBs/hyd-w1%20nib.xlsx?d=w1b1cb5bbceab47a294afc472ef0cade8</t>
  </si>
  <si>
    <t>https://cscportal.sharepoint.com/sites/idoPODTeamStructureAndToolsAndQueues/iDO%20Pod%20NIBs/kua-c1%20nib.xlsx?d=we3a776ce281749cdbb920bf829294397</t>
  </si>
  <si>
    <t>https://cscportal.sharepoint.com/sites/idoPODTeamStructureAndToolsAndQueues/iDO%20Pod%20NIBs/ltu-r1%20nib.xlsx?d=wdce8b514e6254debba4491d05b7a7498</t>
  </si>
  <si>
    <t>https://cscportal.sharepoint.com/sites/idoPODTeamStructureAndToolsAndQueues/iDO%20Pod%20NIBs/lux-r1%20nib.xlsx?d=w2347f1f64c9040e89ec1c9294b892473</t>
  </si>
  <si>
    <t>https://cscportal.sharepoint.com/sites/idoPODTeamStructureAndToolsAndQueues/iDO%20Pod%20NIBs/noi-p1%20nib.xlsx?d=w3e81858c0a9a43b8bd686cf0a09efd16</t>
  </si>
  <si>
    <t>https://cscportal.sharepoint.com/sites/idoPODTeamStructureAndToolsAndQueues/iDO%20Pod%20NIBs/noi-p2%20nib.xlsx?d=w7150ce08fd3542e3b13962238abca54e</t>
  </si>
  <si>
    <t>https://cscportal.sharepoint.com/sites/idoPODTeamStructureAndToolsAndQueues/iDO%20Pod%20NIBs/noi-p3%20nib.xlsx?d=wbf6e93c8e9cf484bb2a3ae9972b6d854</t>
  </si>
  <si>
    <t>https://cscportal.sharepoint.com/sites/idoPODTeamStructureAndToolsAndQueues/iDO%20Pod%20NIBs/noi-w1%20nib.xlsx?d=w6e635f40568c4f48bf51b75747ca6ee4</t>
  </si>
  <si>
    <t>https://cscportal.sharepoint.com/sites/idoPODTeamStructureAndToolsAndQueues/iDO%20Pod%20NIBs/noi-w2%20nib.xlsx?d=w8c275633c9ac4a2fac41cbface949afc</t>
  </si>
  <si>
    <t>https://cscportal.sharepoint.com/sites/idoPODTeamStructureAndToolsAndQueues/iDO%20Pod%20NIBs/pdc-c1%20nib.xlsx?d=wdfc1bf4279fb4c51abe810ba1c6e4e68</t>
  </si>
  <si>
    <t>https://cscportal.sharepoint.com/sites/idoPODTeamStructureAndToolsAndQueues/iDO%20Pod%20NIBs/swe-s1%20nib.xlsx?d=w3581cab6952d4cc29e0586e136fae4e0</t>
  </si>
  <si>
    <t>https://cscportal.sharepoint.com/sites/idoPODTeamStructureAndToolsAndQueues/iDO%20Pod%20NIBs/usa-mf%20nib.xlsx?d=wf92af925cdcf4dcdb66ddd54d3c61766</t>
  </si>
  <si>
    <t>ul. Pu&amp;#322;awska 182</t>
  </si>
  <si>
    <t>mq url</t>
  </si>
  <si>
    <t>&lt;/a&gt;&lt;div class="popupcontent"&gt;&lt;a class="mq" title="mq survey results" href="</t>
  </si>
  <si>
    <t>" target="_blank"&gt;&lt;a class="nib" title="name in the box" href="</t>
  </si>
  <si>
    <t>https://cscportal.sharepoint.com/sites/idoPodOperations/MQ%20Survey%20Results/AUS-S1%20iDO%20MQ%20Survey%20Q3%202015.png</t>
  </si>
  <si>
    <t>https://cscportal.sharepoint.com/sites/idoPodOperations/MQ%20Survey%20Results/AST-C1%20iDO%20MQ%20Survey%20Q3%202015.png</t>
  </si>
  <si>
    <t>https://cscportal.sharepoint.com/sites/idoPodOperations/MQ%20Survey%20Results/HYD-P1%20iDO%20MQ%20Survey%20Q3%202015.png</t>
  </si>
  <si>
    <t>https://cscportal.sharepoint.com/sites/idoPodOperations/MQ%20Survey%20Results/HYD-W1%20iDO%20MQ%20Survey%20Q3%202015.png</t>
  </si>
  <si>
    <t>https://cscportal.sharepoint.com/sites/idoPodOperations/MQ%20Survey%20Results/NOI-P1%20iDO%20MQ%20Survey%20Q3%202015.png</t>
  </si>
  <si>
    <t>https://cscportal.sharepoint.com/sites/idoPodOperations/MQ%20Survey%20Results/NOI-P2%20iDO%20MQ%20Survey%20Q3%202015.png</t>
  </si>
  <si>
    <t>https://cscportal.sharepoint.com/sites/idoPodOperations/MQ%20Survey%20Results/NOI-P3%20iDO%20MQ%20Survey%20Q3%202015.png</t>
  </si>
  <si>
    <t>https://cscportal.sharepoint.com/sites/idoPodOperations/MQ%20Survey%20Results/NOI-W1%20iDO%20MQ%20Survey%20Q3%202015.png</t>
  </si>
  <si>
    <t>https://cscportal.sharepoint.com/sites/idoPodOperations/MQ%20Survey%20Results/NOI-W2%20iDO%20MQ%20Survey%20Q3%202015.png</t>
  </si>
  <si>
    <t>https://cscportal.sharepoint.com/sites/idoPodOperations/MQ%20Survey%20Results/KUA-C1%20iDO%20MQ%20Survey%20Q3%202015.png</t>
  </si>
  <si>
    <t>https://cscportal.sharepoint.com/sites/idoPodOperations/MQ%20Survey%20Results/GBR-S1%20iDO%20MQ%20Survey%20Q3%202015.png</t>
  </si>
  <si>
    <t>https://cscportal.sharepoint.com/sites/idoPodOperations/MQ%20Survey%20Results/SWE-S1%20iDO%20MQ%20Survey%20Q3%202015.png</t>
  </si>
  <si>
    <t>https://cscportal.sharepoint.com/sites/idoPodOperations/MQ%20Survey%20Results/DNK-S1%20iDO%20MQ%20Survey%20Q3%202015.png</t>
  </si>
  <si>
    <t>https://cscportal.sharepoint.com/sites/idoPodOperations/MQ%20Survey%20Results/PDC-C1%20iDO%20MQ%20Survey%20Q3%202015.png</t>
  </si>
  <si>
    <t>https://cscportal.sharepoint.com/sites/idoPodOperations/MQ%20Survey%20Results/EHT-C1%20iDO%20MQ%20Survey%20Q3%202015.png</t>
  </si>
  <si>
    <t>https://cscportal.sharepoint.com/sites/idoPodOperations/MQ%20Survey%20Results/USA-MF%20iDO%20MQ%20Survey%20Q3%202015.png</t>
  </si>
  <si>
    <t>631 South Royal Lane</t>
  </si>
  <si>
    <t>toolkit</t>
  </si>
  <si>
    <t>" target="_blank"&gt;&lt;/a&gt;&lt;a class="toolkit" title="toolkit library" href="</t>
  </si>
  <si>
    <t>D%$&amp;01_cd4f2b73b4b14cc385c3376945733fcb</t>
  </si>
  <si>
    <t>beat_4779__Windows (32-bit) NT :.00_ULURU_beat$$$07012016</t>
  </si>
  <si>
    <t>"$I0]!2585"</t>
  </si>
  <si>
    <t>Anker V Eriksen (acting)</t>
  </si>
  <si>
    <t>Dave Hearrin (acting)</t>
  </si>
  <si>
    <t>Rajendiran Krishnan</t>
  </si>
  <si>
    <t>Sudhakar Moturu</t>
  </si>
  <si>
    <t>Krishna Madhurakavi</t>
  </si>
  <si>
    <t>Mats Oden</t>
  </si>
  <si>
    <t>moden@csc.com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</si>
</sst>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9" fontId="0" fillId="2" borderId="0" xfId="0" applyNumberFormat="1" applyFill="1" applyBorder="1" applyAlignment="1">
      <alignment horizontal="center"/>
    </xf>
    <xf numFmtId="49" fontId="0" fillId="0" borderId="0" xfId="0" applyNumberFormat="1" applyBorder="1"/>
    <xf numFmtId="49" fontId="0" fillId="3" borderId="0" xfId="0" applyNumberForma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4" borderId="0" xfId="0" applyNumberFormat="1" applyFill="1" applyBorder="1" applyAlignment="1" applyProtection="1">
      <alignment horizontal="center"/>
      <protection locked="0"/>
    </xf>
    <xf numFmtId="49" fontId="0" fillId="2" borderId="0" xfId="0" applyNumberFormat="1" applyFill="1" applyBorder="1"/>
    <xf numFmtId="49" fontId="0" fillId="0" borderId="0" xfId="0" applyNumberFormat="1" applyFill="1" applyBorder="1" applyProtection="1">
      <protection locked="0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1" fillId="0" borderId="0" xfId="0" applyNumberFormat="1" applyFont="1" applyBorder="1"/>
    <xf numFmtId="0" fontId="0" fillId="4" borderId="0" xfId="0" applyNumberFormat="1" applyFill="1" applyBorder="1" applyAlignment="1" applyProtection="1">
      <alignment horizontal="center"/>
      <protection locked="0"/>
    </xf>
    <xf numFmtId="49" fontId="0" fillId="2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9" fontId="3" fillId="2" borderId="0" xfId="1" applyNumberFormat="1" applyFill="1" applyBorder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49" fontId="4" fillId="0" borderId="0" xfId="0" applyNumberFormat="1" applyFont="1" applyBorder="1"/>
    <xf numFmtId="49" fontId="2" fillId="3" borderId="0" xfId="0" applyNumberFormat="1" applyFont="1" applyFill="1" applyBorder="1" applyProtection="1">
      <protection locked="0"/>
    </xf>
    <xf numFmtId="49" fontId="2" fillId="2" borderId="0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2" fillId="4" borderId="0" xfId="0" applyNumberFormat="1" applyFont="1" applyFill="1" applyBorder="1" applyAlignment="1" applyProtection="1">
      <alignment horizontal="center"/>
      <protection locked="0"/>
    </xf>
    <xf numFmtId="49" fontId="2" fillId="2" borderId="0" xfId="0" applyNumberFormat="1" applyFont="1" applyFill="1" applyBorder="1"/>
    <xf numFmtId="49" fontId="2" fillId="0" borderId="0" xfId="0" applyNumberFormat="1" applyFont="1" applyFill="1" applyBorder="1" applyProtection="1">
      <protection locked="0"/>
    </xf>
    <xf numFmtId="49" fontId="2" fillId="2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Border="1"/>
    <xf numFmtId="49" fontId="0" fillId="2" borderId="0" xfId="0" applyNumberFormat="1" applyFont="1" applyFill="1" applyBorder="1"/>
    <xf numFmtId="49" fontId="1" fillId="5" borderId="0" xfId="0" applyNumberFormat="1" applyFont="1" applyFill="1" applyBorder="1"/>
    <xf numFmtId="49" fontId="1" fillId="6" borderId="0" xfId="0" applyNumberFormat="1" applyFont="1" applyFill="1" applyBorder="1"/>
    <xf numFmtId="49" fontId="1" fillId="7" borderId="0" xfId="0" applyNumberFormat="1" applyFont="1" applyFill="1" applyBorder="1"/>
    <xf numFmtId="0" fontId="1" fillId="8" borderId="0" xfId="0" applyNumberFormat="1" applyFont="1" applyFill="1" applyBorder="1"/>
    <xf numFmtId="49" fontId="1" fillId="8" borderId="0" xfId="0" applyNumberFormat="1" applyFon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daughe2@csc.com" TargetMode="External"/><Relationship Id="rId18" Type="http://schemas.openxmlformats.org/officeDocument/2006/relationships/hyperlink" Target="mailto:asehgal@csc.com" TargetMode="External"/><Relationship Id="rId26" Type="http://schemas.openxmlformats.org/officeDocument/2006/relationships/hyperlink" Target="https://docs.amer.csc.com/alfresco/n/browse/workspace/SpacesStore/4f5a2881-1f6a-4512-8f5e-bc53f1214023" TargetMode="External"/><Relationship Id="rId39" Type="http://schemas.openxmlformats.org/officeDocument/2006/relationships/hyperlink" Target="http://www.csc.com/eastern_europe/ds/27730/27750-poland" TargetMode="External"/><Relationship Id="rId21" Type="http://schemas.openxmlformats.org/officeDocument/2006/relationships/hyperlink" Target="mailto:asehgal@csc.com" TargetMode="External"/><Relationship Id="rId34" Type="http://schemas.openxmlformats.org/officeDocument/2006/relationships/hyperlink" Target="https://www.google.com/maps/place/C+S+C+Manor+Offices/@53.2357241,-1.4608128,17z/data=!3m1!4b1!4m2!3m1!1s0x4879850dd3f34435:0x340069df3445d1a6?hl=en" TargetMode="External"/><Relationship Id="rId42" Type="http://schemas.openxmlformats.org/officeDocument/2006/relationships/hyperlink" Target="https://www.google.com/maps/place/CSC/@55.6568639,12.4948241,17z/data=!3m1!4b1!4m2!3m1!1s0x465253f66bbf3cef:0xaea7988617403f64?hl=en" TargetMode="External"/><Relationship Id="rId47" Type="http://schemas.openxmlformats.org/officeDocument/2006/relationships/hyperlink" Target="http://www.wunderground.com/weather-forecast/zmw:06108.1.99999" TargetMode="External"/><Relationship Id="rId50" Type="http://schemas.openxmlformats.org/officeDocument/2006/relationships/hyperlink" Target="https://weather.yahoo.com/india/tamil-nadu/chennai-2295424/" TargetMode="External"/><Relationship Id="rId55" Type="http://schemas.openxmlformats.org/officeDocument/2006/relationships/hyperlink" Target="https://weather.yahoo.com/india/telangana/hyderabad-2295414/" TargetMode="External"/><Relationship Id="rId63" Type="http://schemas.openxmlformats.org/officeDocument/2006/relationships/hyperlink" Target="https://cscportal.sharepoint.com/sites/idoPODTeamStructureAndToolsAndQueues/iDO%20Pod%20NIBs/dnk-s1%20nib.xlsx?d=w1c0c724c0b09462bb241693e153ec996" TargetMode="External"/><Relationship Id="rId68" Type="http://schemas.openxmlformats.org/officeDocument/2006/relationships/hyperlink" Target="https://cscportal.sharepoint.com/sites/idoPODTeamStructureAndToolsAndQueues/iDO%20Pod%20NIBs/hyd-w1%20nib.xlsx?d=w1b1cb5bbceab47a294afc472ef0cade8" TargetMode="External"/><Relationship Id="rId76" Type="http://schemas.openxmlformats.org/officeDocument/2006/relationships/hyperlink" Target="https://cscportal.sharepoint.com/sites/idoPODTeamStructureAndToolsAndQueues/iDO%20Pod%20NIBs/noi-w1%20nib.xlsx?d=w6e635f40568c4f48bf51b75747ca6ee4" TargetMode="External"/><Relationship Id="rId84" Type="http://schemas.openxmlformats.org/officeDocument/2006/relationships/hyperlink" Target="https://cscportal.sharepoint.com/sites/idoPodOperations/MQ%20Survey%20Results/PDC-C1%20iDO%20MQ%20Survey%20Q3%202015.png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mailto:mhayes27@csc.com" TargetMode="External"/><Relationship Id="rId71" Type="http://schemas.openxmlformats.org/officeDocument/2006/relationships/hyperlink" Target="https://cscportal.sharepoint.com/sites/idoPODTeamStructureAndToolsAndQueues/iDO%20Pod%20NIBs/ltu-r1%20nib.xlsx?d=wdce8b514e6254debba4491d05b7a7498" TargetMode="External"/><Relationship Id="rId2" Type="http://schemas.openxmlformats.org/officeDocument/2006/relationships/hyperlink" Target="mailto:ntolman@csc.com" TargetMode="External"/><Relationship Id="rId16" Type="http://schemas.openxmlformats.org/officeDocument/2006/relationships/hyperlink" Target="mailto:rchulliparam@csc.com" TargetMode="External"/><Relationship Id="rId29" Type="http://schemas.openxmlformats.org/officeDocument/2006/relationships/hyperlink" Target="https://weather.yahoo.com/spain/asturias/aviles-753332/" TargetMode="External"/><Relationship Id="rId11" Type="http://schemas.openxmlformats.org/officeDocument/2006/relationships/hyperlink" Target="mailto:moden@csc.com" TargetMode="External"/><Relationship Id="rId24" Type="http://schemas.openxmlformats.org/officeDocument/2006/relationships/hyperlink" Target="https://docs.amer.csc.com/alfresco/n/browse/workspace/SpacesStore/0fac7c3d-aebf-420d-86c5-7af4d4b49945" TargetMode="External"/><Relationship Id="rId32" Type="http://schemas.openxmlformats.org/officeDocument/2006/relationships/hyperlink" Target="https://weather.yahoo.com/united-kingdom/england/chorley-16006/" TargetMode="External"/><Relationship Id="rId37" Type="http://schemas.openxmlformats.org/officeDocument/2006/relationships/hyperlink" Target="https://weather.yahoo.com/lithuania/vilnius-county/vilnius-479616/" TargetMode="External"/><Relationship Id="rId40" Type="http://schemas.openxmlformats.org/officeDocument/2006/relationships/hyperlink" Target="https://weather.yahoo.com/sweden/ostergotland/linkoping-897380/" TargetMode="External"/><Relationship Id="rId45" Type="http://schemas.openxmlformats.org/officeDocument/2006/relationships/hyperlink" Target="https://www.google.com/maps/place/Computer+Sciences+Corporation/@40.4480575,-80.1898558,15z/data=!4m2!3m1!1s0x88345959dff01c19:0xf39960c7b784181?hl=en" TargetMode="External"/><Relationship Id="rId53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58" Type="http://schemas.openxmlformats.org/officeDocument/2006/relationships/hyperlink" Target="https://www.google.es/maps/place/CSC,+Block+A,+Industrial+Area,+Sector+62,+Noida,+Uttar+Pradesh+201309,+India/@28.6247822,77.3687274,17z/data=!3m1!4b1!4m2!3m1!1s0x390ce55a4197b759:0xf07cba9e86679cbe?hl=en" TargetMode="External"/><Relationship Id="rId66" Type="http://schemas.openxmlformats.org/officeDocument/2006/relationships/hyperlink" Target="https://cscportal.sharepoint.com/sites/idoPODTeamStructureAndToolsAndQueues/iDO%20Pod%20NIBs/gbr-s1%20nib.xlsx?d=w6fc30c20bdb4475092b1d9e6af33886e" TargetMode="External"/><Relationship Id="rId74" Type="http://schemas.openxmlformats.org/officeDocument/2006/relationships/hyperlink" Target="https://cscportal.sharepoint.com/sites/idoPODTeamStructureAndToolsAndQueues/iDO%20Pod%20NIBs/noi-p2%20nib.xlsx?d=w7150ce08fd3542e3b13962238abca54e" TargetMode="External"/><Relationship Id="rId79" Type="http://schemas.openxmlformats.org/officeDocument/2006/relationships/hyperlink" Target="https://cscportal.sharepoint.com/sites/idoPODTeamStructureAndToolsAndQueues/iDO%20Pod%20NIBs/pdc-c1%20nib.xlsx?d=wdfc1bf4279fb4c51abe810ba1c6e4e68" TargetMode="External"/><Relationship Id="rId87" Type="http://schemas.openxmlformats.org/officeDocument/2006/relationships/hyperlink" Target="https://cscportal.sharepoint.com/sites/idoPodOperations/MQ%20Survey%20Results/USA-MF%20iDO%20MQ%20Survey%20Q3%202015.png" TargetMode="External"/><Relationship Id="rId5" Type="http://schemas.openxmlformats.org/officeDocument/2006/relationships/hyperlink" Target="mailto:bzimmerm@csc.com" TargetMode="External"/><Relationship Id="rId61" Type="http://schemas.openxmlformats.org/officeDocument/2006/relationships/hyperlink" Target="https://cscportal.sharepoint.com/sites/idoPODTeamStructureAndToolsAndQueues/iDO%20Pod%20NIBs/ast-c1%20nib.xlsx?d=wedbe7a1dfa284c0baf93499b222042e5" TargetMode="External"/><Relationship Id="rId82" Type="http://schemas.openxmlformats.org/officeDocument/2006/relationships/hyperlink" Target="https://cscportal.sharepoint.com/sites/idoPodOperations/MQ%20Survey%20Results/SWE-S1%20iDO%20MQ%20Survey%20Q3%202015.png" TargetMode="External"/><Relationship Id="rId90" Type="http://schemas.openxmlformats.org/officeDocument/2006/relationships/customProperty" Target="../customProperty1.bin"/><Relationship Id="rId19" Type="http://schemas.openxmlformats.org/officeDocument/2006/relationships/hyperlink" Target="mailto:mbhatia5@csc.com" TargetMode="External"/><Relationship Id="rId4" Type="http://schemas.openxmlformats.org/officeDocument/2006/relationships/hyperlink" Target="mailto:mhayes27@csc.com" TargetMode="External"/><Relationship Id="rId9" Type="http://schemas.openxmlformats.org/officeDocument/2006/relationships/hyperlink" Target="mailto:jmoch@csc.com" TargetMode="External"/><Relationship Id="rId14" Type="http://schemas.openxmlformats.org/officeDocument/2006/relationships/hyperlink" Target="mailto:mpatel24@csc.com" TargetMode="External"/><Relationship Id="rId22" Type="http://schemas.openxmlformats.org/officeDocument/2006/relationships/hyperlink" Target="mailto:tsarkar@csc.com" TargetMode="External"/><Relationship Id="rId27" Type="http://schemas.openxmlformats.org/officeDocument/2006/relationships/hyperlink" Target="https://docs.amer.csc.com/alfresco/n/browse/workspace/SpacesStore/87840be5-d4f2-4ce2-8e0b-c4ba85ceebf9" TargetMode="External"/><Relationship Id="rId30" Type="http://schemas.openxmlformats.org/officeDocument/2006/relationships/hyperlink" Target="https://www.google.com/maps/place/CSC+Computer+Sciences/@50.0489435,14.355696,17z/data=!3m1!4b1!4m2!3m1!1s0x470b95c37027807f:0xa49780f045b66724?hl=en" TargetMode="External"/><Relationship Id="rId35" Type="http://schemas.openxmlformats.org/officeDocument/2006/relationships/hyperlink" Target="https://weather.yahoo.com/luxembourg/luxembourg/luxembourg-23424881/" TargetMode="External"/><Relationship Id="rId43" Type="http://schemas.openxmlformats.org/officeDocument/2006/relationships/hyperlink" Target="mailto:cdaughe2@csc.com" TargetMode="External"/><Relationship Id="rId48" Type="http://schemas.openxmlformats.org/officeDocument/2006/relationships/hyperlink" Target="https://www.google.es/maps/place/1775+Tysons+Blvd,+Tysons,+VA+22102,+USA/@38.9233897,-77.2236468,17z/data=!3m1!4b1!4m2!3m1!1s0x89b64ae9606ae067:0x70e3e571b3ffc826?hl=en" TargetMode="External"/><Relationship Id="rId56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64" Type="http://schemas.openxmlformats.org/officeDocument/2006/relationships/hyperlink" Target="https://cscportal.sharepoint.com/sites/idoPODTeamStructureAndToolsAndQueues/iDO%20Pod%20NIBs/eht-c1%20nib.xlsx?d=w4fcb29c68f8c4c948952d2b77ca49fc3" TargetMode="External"/><Relationship Id="rId69" Type="http://schemas.openxmlformats.org/officeDocument/2006/relationships/hyperlink" Target="https://cscportal.sharepoint.com/sites/idoPODTeamStructureAndToolsAndQueues/iDO%20Pod%20NIBs/kua-c1%20nib.xlsx?d=we3a776ce281749cdbb920bf829294397" TargetMode="External"/><Relationship Id="rId77" Type="http://schemas.openxmlformats.org/officeDocument/2006/relationships/hyperlink" Target="https://cscportal.sharepoint.com/sites/idoPODTeamStructureAndToolsAndQueues/iDO%20Pod%20NIBs/noi-w2%20nib.xlsx?d=w8c275633c9ac4a2fac41cbface949afc" TargetMode="External"/><Relationship Id="rId8" Type="http://schemas.openxmlformats.org/officeDocument/2006/relationships/hyperlink" Target="mailto:jgemson@csc.com" TargetMode="External"/><Relationship Id="rId51" Type="http://schemas.openxmlformats.org/officeDocument/2006/relationships/hyperlink" Target="https://www.google.es/maps/place/CSC/@13.0234415,80.1736575,17z/data=!3m1!4b1!4m2!3m1!1s0x3a5260da9b4b0b67:0x29ceaac70f0a9a52?hl=en" TargetMode="External"/><Relationship Id="rId72" Type="http://schemas.openxmlformats.org/officeDocument/2006/relationships/hyperlink" Target="https://cscportal.sharepoint.com/sites/idoPODTeamStructureAndToolsAndQueues/iDO%20Pod%20NIBs/lux-r1%20nib.xlsx?d=w2347f1f64c9040e89ec1c9294b892473" TargetMode="External"/><Relationship Id="rId80" Type="http://schemas.openxmlformats.org/officeDocument/2006/relationships/hyperlink" Target="https://cscportal.sharepoint.com/sites/idoPODTeamStructureAndToolsAndQueues/iDO%20Pod%20NIBs/swe-s1%20nib.xlsx?d=w3581cab6952d4cc29e0586e136fae4e0" TargetMode="External"/><Relationship Id="rId85" Type="http://schemas.openxmlformats.org/officeDocument/2006/relationships/hyperlink" Target="https://cscportal.sharepoint.com/sites/idoPodOperations/MQ%20Survey%20Results/PDC-C1%20iDO%20MQ%20Survey%20Q3%202015.png" TargetMode="External"/><Relationship Id="rId3" Type="http://schemas.openxmlformats.org/officeDocument/2006/relationships/hyperlink" Target="mailto:tsarkar@csc.com" TargetMode="External"/><Relationship Id="rId12" Type="http://schemas.openxmlformats.org/officeDocument/2006/relationships/hyperlink" Target="mailto:moden@csc.com" TargetMode="External"/><Relationship Id="rId17" Type="http://schemas.openxmlformats.org/officeDocument/2006/relationships/hyperlink" Target="mailto:smannem@csc.com" TargetMode="External"/><Relationship Id="rId25" Type="http://schemas.openxmlformats.org/officeDocument/2006/relationships/hyperlink" Target="https://docs.amer.csc.com/alfresco/n/browse/workspace/SpacesStore/ca5923ab-5624-44f8-86cb-e40aa12b5197" TargetMode="External"/><Relationship Id="rId33" Type="http://schemas.openxmlformats.org/officeDocument/2006/relationships/hyperlink" Target="https://www.google.com/maps/place/Computer+Sciences+Corporation/@53.671802,-2.6573718,17z/data=!3m1!4b1!4m2!3m1!1s0x487b0d039d60147d:0x5fc81eb075ba81f6?hl=en" TargetMode="External"/><Relationship Id="rId38" Type="http://schemas.openxmlformats.org/officeDocument/2006/relationships/hyperlink" Target="https://www.google.com/maps/place/CSC+Baltic/@54.7174948,25.2837198,17z/data=!3m1!4b1!4m2!3m1!1s0x46dd94055529fabf:0x76fafe5b8b04ad60?hl=en" TargetMode="External"/><Relationship Id="rId46" Type="http://schemas.openxmlformats.org/officeDocument/2006/relationships/hyperlink" Target="https://www.google.es/maps/place/Computer+Sciences+Corporation/@41.7876418,-72.6700392,13z/data=!4m5!1m2!2m1!1sCSC+East+Hartford!3m1!1s0x89e653830486a3df:0xd1bc64d130ad873a?hl=en" TargetMode="External"/><Relationship Id="rId59" Type="http://schemas.openxmlformats.org/officeDocument/2006/relationships/hyperlink" Target="https://www.google.es/maps/place/CSC,+Block+A,+Industrial+Area,+Sector+62,+Noida,+Uttar+Pradesh+201309,+India/@28.6247822,77.3687274,17z/data=!3m1!4b1!4m2!3m1!1s0x390ce55a4197b759:0xf07cba9e86679cbe?hl=en" TargetMode="External"/><Relationship Id="rId67" Type="http://schemas.openxmlformats.org/officeDocument/2006/relationships/hyperlink" Target="https://cscportal.sharepoint.com/sites/idoPODTeamStructureAndToolsAndQueues/iDO%20Pod%20NIBs/hyd-p1%20nib.xlsx?d=w6a9f4f487e3f4b4da946e7be0c04e1da" TargetMode="External"/><Relationship Id="rId20" Type="http://schemas.openxmlformats.org/officeDocument/2006/relationships/hyperlink" Target="mailto:tsarkar@csc.com" TargetMode="External"/><Relationship Id="rId41" Type="http://schemas.openxmlformats.org/officeDocument/2006/relationships/hyperlink" Target="https://www.google.com/maps/place/CSC+Sverige+AB/@58.4008349,15.6543627,17z/data=!3m1!4b1!4m2!3m1!1s0x46596ec251cd3b07:0x91a2f49f80d30732?hl=en" TargetMode="External"/><Relationship Id="rId54" Type="http://schemas.openxmlformats.org/officeDocument/2006/relationships/hyperlink" Target="https://weather.yahoo.com/india/telangana/hyderabad-2295414/" TargetMode="External"/><Relationship Id="rId62" Type="http://schemas.openxmlformats.org/officeDocument/2006/relationships/hyperlink" Target="https://cscportal.sharepoint.com/sites/idoPODTeamStructureAndToolsAndQueues/iDO%20Pod%20NIBs/aus-s1%20nib.xlsx?d=wf20d98dae49843fbb3b0f1f7016ba5d8" TargetMode="External"/><Relationship Id="rId70" Type="http://schemas.openxmlformats.org/officeDocument/2006/relationships/hyperlink" Target="https://cscportal.sharepoint.com/sites/idoPODTeamStructureAndToolsAndQueues/iDO%20Pod%20NIBs/ltu-r1%20nib.xlsx?d=wdce8b514e6254debba4491d05b7a7498" TargetMode="External"/><Relationship Id="rId75" Type="http://schemas.openxmlformats.org/officeDocument/2006/relationships/hyperlink" Target="https://cscportal.sharepoint.com/sites/idoPODTeamStructureAndToolsAndQueues/iDO%20Pod%20NIBs/noi-p3%20nib.xlsx?d=wbf6e93c8e9cf484bb2a3ae9972b6d854" TargetMode="External"/><Relationship Id="rId83" Type="http://schemas.openxmlformats.org/officeDocument/2006/relationships/hyperlink" Target="https://cscportal.sharepoint.com/sites/idoPodOperations/MQ%20Survey%20Results/DNK-S1%20iDO%20MQ%20Survey%20Q3%202015.png" TargetMode="External"/><Relationship Id="rId88" Type="http://schemas.openxmlformats.org/officeDocument/2006/relationships/hyperlink" Target="mailto:rchulliparam@csc.com" TargetMode="External"/><Relationship Id="rId1" Type="http://schemas.openxmlformats.org/officeDocument/2006/relationships/hyperlink" Target="https://weather.yahoo.com/australia/new-south-wales/sydney-1105779/" TargetMode="External"/><Relationship Id="rId6" Type="http://schemas.openxmlformats.org/officeDocument/2006/relationships/hyperlink" Target="mailto:bzimmerm@csc.com" TargetMode="External"/><Relationship Id="rId15" Type="http://schemas.openxmlformats.org/officeDocument/2006/relationships/hyperlink" Target="mailto:jhardy6@csc.com" TargetMode="External"/><Relationship Id="rId23" Type="http://schemas.openxmlformats.org/officeDocument/2006/relationships/hyperlink" Target="https://docs.amer.csc.com/alfresco/n/browse/workspace/SpacesStore/ca5923ab-5624-44f8-86cb-e40aa12b5197" TargetMode="External"/><Relationship Id="rId28" Type="http://schemas.openxmlformats.org/officeDocument/2006/relationships/hyperlink" Target="https://weather.yahoo.com/malaysia/selangor/selangor-56035111/" TargetMode="External"/><Relationship Id="rId36" Type="http://schemas.openxmlformats.org/officeDocument/2006/relationships/hyperlink" Target="http://www.csc.com/lu" TargetMode="External"/><Relationship Id="rId49" Type="http://schemas.openxmlformats.org/officeDocument/2006/relationships/hyperlink" Target="http://www.wunderground.com/q/locid:USVA0974;loctype:1" TargetMode="External"/><Relationship Id="rId57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10" Type="http://schemas.openxmlformats.org/officeDocument/2006/relationships/hyperlink" Target="mailto:jmoch@csc.com" TargetMode="External"/><Relationship Id="rId31" Type="http://schemas.openxmlformats.org/officeDocument/2006/relationships/hyperlink" Target="https://weather.yahoo.com/united-kingdom/england/chesterfield-15835/" TargetMode="External"/><Relationship Id="rId44" Type="http://schemas.openxmlformats.org/officeDocument/2006/relationships/hyperlink" Target="https://weather.yahoo.com/united-states/pennsylvania/pittsburgh-2473224/" TargetMode="External"/><Relationship Id="rId52" Type="http://schemas.openxmlformats.org/officeDocument/2006/relationships/hyperlink" Target="https://weather.yahoo.com/india/telangana/hyderabad-2295414/" TargetMode="External"/><Relationship Id="rId60" Type="http://schemas.openxmlformats.org/officeDocument/2006/relationships/hyperlink" Target="https://cscportal.sharepoint.com/sites/idoPODTeamStructureAndToolsAndQueues/iDO%20Pod%20NIBs/ast-c1%20nib.xlsx?d=wedbe7a1dfa284c0baf93499b222042e5" TargetMode="External"/><Relationship Id="rId65" Type="http://schemas.openxmlformats.org/officeDocument/2006/relationships/hyperlink" Target="https://cscportal.sharepoint.com/sites/idoPODTeamStructureAndToolsAndQueues/iDO%20Pod%20NIBs/gbr-s1%20nib.xlsx?d=w6fc30c20bdb4475092b1d9e6af33886e" TargetMode="External"/><Relationship Id="rId73" Type="http://schemas.openxmlformats.org/officeDocument/2006/relationships/hyperlink" Target="https://cscportal.sharepoint.com/sites/idoPODTeamStructureAndToolsAndQueues/iDO%20Pod%20NIBs/noi-p1%20nib.xlsx?d=w3e81858c0a9a43b8bd686cf0a09efd16" TargetMode="External"/><Relationship Id="rId78" Type="http://schemas.openxmlformats.org/officeDocument/2006/relationships/hyperlink" Target="https://cscportal.sharepoint.com/sites/idoPODTeamStructureAndToolsAndQueues/iDO%20Pod%20NIBs/pdc-c1%20nib.xlsx?d=wdfc1bf4279fb4c51abe810ba1c6e4e68" TargetMode="External"/><Relationship Id="rId81" Type="http://schemas.openxmlformats.org/officeDocument/2006/relationships/hyperlink" Target="https://cscportal.sharepoint.com/sites/idoPODTeamStructureAndToolsAndQueues/iDO%20Pod%20NIBs/usa-mf%20nib.xlsx?d=wf92af925cdcf4dcdb66ddd54d3c61766" TargetMode="External"/><Relationship Id="rId86" Type="http://schemas.openxmlformats.org/officeDocument/2006/relationships/hyperlink" Target="https://cscportal.sharepoint.com/sites/idoPodOperations/MQ%20Survey%20Results/EHT-C1%20iDO%20MQ%20Survey%20Q3%202015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mer.csc.com/alfresco/webdav/Collaboration%20Home/Open/By%20name%20N/NGDM/Noida%20P1" TargetMode="External"/><Relationship Id="rId13" Type="http://schemas.openxmlformats.org/officeDocument/2006/relationships/hyperlink" Target="https://docs.amer.csc.com/alfresco/webdav/Collaboration%20Home/Open/By%20name%20N/NGDM/Operations" TargetMode="External"/><Relationship Id="rId18" Type="http://schemas.openxmlformats.org/officeDocument/2006/relationships/hyperlink" Target="https://docs.amer.csc.com/alfresco/webdav/Collaboration%20Home/Open/By%20name%20N/NGDM/North%20America%20MF1" TargetMode="External"/><Relationship Id="rId3" Type="http://schemas.openxmlformats.org/officeDocument/2006/relationships/hyperlink" Target="https://docs.amer.csc.com/alfresco/webdav/Collaboration%20Home/Open/By%20name%20N/NGDM/East%20Hartford%20WP1" TargetMode="External"/><Relationship Id="rId21" Type="http://schemas.openxmlformats.org/officeDocument/2006/relationships/hyperlink" Target="https://docs.amer.csc.com/alfresco/webdav/Collaboration%20Home/Open/By%20name%20N/NGDM/General" TargetMode="External"/><Relationship Id="rId7" Type="http://schemas.openxmlformats.org/officeDocument/2006/relationships/hyperlink" Target="https://docs.amer.csc.com/alfresco/webdav/Collaboration%20Home/Open/By%20name%20N/NGDM/Hyderabad%20P1" TargetMode="External"/><Relationship Id="rId12" Type="http://schemas.openxmlformats.org/officeDocument/2006/relationships/hyperlink" Target="https://docs.amer.csc.com/alfresco/webdav/Collaboration%20Home/Open/By%20name%20N/NGDM/Noida%20W2" TargetMode="External"/><Relationship Id="rId17" Type="http://schemas.openxmlformats.org/officeDocument/2006/relationships/hyperlink" Target="https://docs.amer.csc.com/alfresco/webdav/Collaboration%20Home/Open/By%20name%20N/NGDM/Sweden%20WP1" TargetMode="External"/><Relationship Id="rId2" Type="http://schemas.openxmlformats.org/officeDocument/2006/relationships/hyperlink" Target="https://docs.amer.csc.com/alfresco/webdav/Collaboration%20Home/Open/By%20name%20N/NGDM/Pittsburgh%20WP1" TargetMode="External"/><Relationship Id="rId16" Type="http://schemas.openxmlformats.org/officeDocument/2006/relationships/hyperlink" Target="https://docs.amer.csc.com/alfresco/webdav/Collaboration%20Home/Open/By%20name%20N/NGDM/Kuala%20Lumpur%20WP1" TargetMode="External"/><Relationship Id="rId20" Type="http://schemas.openxmlformats.org/officeDocument/2006/relationships/hyperlink" Target="https://docs.amer.csc.com/alfresco/webdav/Collaboration%20Home/Open/By%20name%20N/NGDM/Sydney%20MF" TargetMode="External"/><Relationship Id="rId1" Type="http://schemas.openxmlformats.org/officeDocument/2006/relationships/hyperlink" Target="https://docs.amer.csc.com/alfresco/webdav/Collaboration%20Home/Open/By%20name%20N/NGDM/Capabilities" TargetMode="External"/><Relationship Id="rId6" Type="http://schemas.openxmlformats.org/officeDocument/2006/relationships/hyperlink" Target="https://docs.amer.csc.com/alfresco/webdav/Collaboration%20Home/Open/By%20name%20N/NGDM/Hyderabad%20W1" TargetMode="External"/><Relationship Id="rId11" Type="http://schemas.openxmlformats.org/officeDocument/2006/relationships/hyperlink" Target="https://docs.amer.csc.com/alfresco/webdav/Collaboration%20Home/Open/By%20name%20N/NGDM/Noida%20W1" TargetMode="External"/><Relationship Id="rId5" Type="http://schemas.openxmlformats.org/officeDocument/2006/relationships/hyperlink" Target="https://docs.amer.csc.com/alfresco/webdav/Collaboration%20Home/Open/By%20name%20N/NGDM/Asturias-Prague%20WP1" TargetMode="External"/><Relationship Id="rId15" Type="http://schemas.openxmlformats.org/officeDocument/2006/relationships/hyperlink" Target="https://docs.amer.csc.com/alfresco/webdav/Collaboration%20Home/Open/By%20name%20N/NGDM/Sydney%20WP1" TargetMode="External"/><Relationship Id="rId10" Type="http://schemas.openxmlformats.org/officeDocument/2006/relationships/hyperlink" Target="https://docs.amer.csc.com/alfresco/webdav/Collaboration%20Home/Open/By%20name%20N/NGDM/Noida%20P3" TargetMode="External"/><Relationship Id="rId19" Type="http://schemas.openxmlformats.org/officeDocument/2006/relationships/hyperlink" Target="https://docs.amer.csc.com/alfresco/webdav/Collaboration%20Home/Open/By%20name%20N/NGDM/Luxembourg" TargetMode="External"/><Relationship Id="rId4" Type="http://schemas.openxmlformats.org/officeDocument/2006/relationships/hyperlink" Target="https://docs.amer.csc.com/alfresco/webdav/Collaboration%20Home/Open/By%20name%20N/NGDM/Chorley-Chesterfield%20WP1" TargetMode="External"/><Relationship Id="rId9" Type="http://schemas.openxmlformats.org/officeDocument/2006/relationships/hyperlink" Target="https://docs.amer.csc.com/alfresco/webdav/Collaboration%20Home/Open/By%20name%20N/NGDM/Noida%20P2" TargetMode="External"/><Relationship Id="rId14" Type="http://schemas.openxmlformats.org/officeDocument/2006/relationships/hyperlink" Target="https://docs.amer.csc.com/alfresco/webdav/Collaboration%20Home/Open/By%20name%20N/NGDM/Copenhagen%20WP1" TargetMode="External"/><Relationship Id="rId22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"/>
  <sheetViews>
    <sheetView tabSelected="1" zoomScale="80" zoomScaleNormal="80"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A30" sqref="A30"/>
    </sheetView>
  </sheetViews>
  <sheetFormatPr defaultRowHeight="15" x14ac:dyDescent="0.25"/>
  <cols>
    <col min="1" max="1" width="12" style="10" bestFit="1" customWidth="1"/>
    <col min="2" max="2" width="6.42578125" style="3" customWidth="1"/>
    <col min="3" max="3" width="13.140625" style="1" bestFit="1" customWidth="1"/>
    <col min="4" max="4" width="0.7109375" style="4" customWidth="1"/>
    <col min="5" max="5" width="9.140625" style="1"/>
    <col min="6" max="6" width="0.7109375" style="4" customWidth="1"/>
    <col min="7" max="7" width="9.140625" style="1"/>
    <col min="8" max="8" width="0.7109375" style="4" customWidth="1"/>
    <col min="9" max="9" width="9.140625" style="1"/>
    <col min="10" max="10" width="0.7109375" style="4" customWidth="1"/>
    <col min="11" max="11" width="2.5703125" style="5" customWidth="1"/>
    <col min="12" max="12" width="0.7109375" style="4" customWidth="1"/>
    <col min="13" max="13" width="2.5703125" style="5" customWidth="1"/>
    <col min="14" max="14" width="0.7109375" style="4" customWidth="1"/>
    <col min="15" max="15" width="23" style="6" customWidth="1"/>
    <col min="16" max="16" width="0.7109375" style="7" customWidth="1"/>
    <col min="17" max="17" width="11.5703125" style="8" bestFit="1" customWidth="1"/>
    <col min="18" max="18" width="0.7109375" style="9" customWidth="1"/>
    <col min="19" max="19" width="9.140625" style="8"/>
    <col min="20" max="20" width="0.7109375" style="9" customWidth="1"/>
    <col min="21" max="21" width="9.140625" style="6"/>
    <col min="22" max="22" width="0.7109375" style="9" customWidth="1"/>
    <col min="23" max="23" width="9.140625" style="6"/>
    <col min="24" max="24" width="0.7109375" style="4" customWidth="1"/>
    <col min="25" max="25" width="9.140625" style="8"/>
    <col min="26" max="26" width="0.7109375" style="4" customWidth="1"/>
    <col min="27" max="27" width="12.140625" style="6" bestFit="1" customWidth="1"/>
    <col min="28" max="28" width="1.28515625" style="4" customWidth="1"/>
    <col min="29" max="29" width="9.140625" style="6"/>
    <col min="30" max="30" width="1.28515625" style="4" customWidth="1"/>
    <col min="31" max="31" width="9.140625" style="6"/>
    <col min="32" max="32" width="1.28515625" style="4" customWidth="1"/>
    <col min="33" max="33" width="9.140625" style="6"/>
    <col min="34" max="34" width="1.28515625" style="4" customWidth="1"/>
    <col min="35" max="35" width="9.140625" style="6"/>
    <col min="36" max="36" width="1.28515625" style="4" customWidth="1"/>
    <col min="37" max="37" width="9.140625" style="6"/>
    <col min="38" max="38" width="1.28515625" style="4" customWidth="1"/>
    <col min="39" max="39" width="9.140625" style="6"/>
    <col min="40" max="40" width="1.28515625" style="4" customWidth="1"/>
    <col min="41" max="41" width="9.140625" style="6"/>
    <col min="42" max="42" width="0.7109375" style="4" customWidth="1"/>
    <col min="43" max="43" width="9.140625" style="6"/>
    <col min="44" max="44" width="0.7109375" style="4" customWidth="1"/>
    <col min="45" max="45" width="9.140625" style="6"/>
    <col min="46" max="46" width="0.7109375" style="4" customWidth="1"/>
    <col min="47" max="47" width="9.140625" style="6"/>
    <col min="48" max="48" width="0.7109375" style="4" customWidth="1"/>
    <col min="49" max="49" width="9.140625" style="6"/>
    <col min="50" max="50" width="0.7109375" style="4" customWidth="1"/>
    <col min="51" max="51" width="11.5703125" style="6" customWidth="1"/>
    <col min="52" max="52" width="0.7109375" style="4" customWidth="1"/>
    <col min="53" max="53" width="11.5703125" style="6" customWidth="1"/>
    <col min="54" max="54" width="0.7109375" style="4" customWidth="1"/>
    <col min="55" max="55" width="9.140625" style="6"/>
    <col min="56" max="56" width="0.7109375" style="4" customWidth="1"/>
    <col min="57" max="57" width="10.85546875" style="6" customWidth="1"/>
    <col min="58" max="58" width="1.28515625" style="5" customWidth="1"/>
    <col min="59" max="59" width="1.28515625" style="4" customWidth="1"/>
    <col min="60" max="60" width="9.140625" style="6"/>
    <col min="61" max="61" width="0.7109375" style="4" customWidth="1"/>
    <col min="62" max="62" width="9.140625" style="6"/>
    <col min="63" max="63" width="0.7109375" style="4" customWidth="1"/>
    <col min="64" max="64" width="9.140625" style="6"/>
    <col min="65" max="65" width="0.7109375" style="4" customWidth="1"/>
    <col min="66" max="66" width="9.140625" style="6"/>
    <col min="67" max="67" width="0.7109375" style="4" customWidth="1"/>
    <col min="68" max="68" width="9.140625" style="6"/>
    <col min="69" max="69" width="0.7109375" style="4" customWidth="1"/>
    <col min="70" max="70" width="9.140625" style="6"/>
    <col min="71" max="71" width="0.7109375" style="4" customWidth="1"/>
    <col min="72" max="72" width="11.5703125" style="5" bestFit="1" customWidth="1"/>
    <col min="73" max="73" width="0.7109375" style="4" customWidth="1"/>
    <col min="74" max="74" width="9.85546875" style="12" customWidth="1"/>
    <col min="75" max="75" width="0.7109375" style="4" customWidth="1"/>
    <col min="76" max="76" width="9.85546875" style="12" customWidth="1"/>
    <col min="77" max="77" width="6.42578125" style="3" customWidth="1"/>
    <col min="78" max="16384" width="9.140625" style="2"/>
  </cols>
  <sheetData>
    <row r="1" spans="1:77" s="27" customFormat="1" x14ac:dyDescent="0.25">
      <c r="A1" s="17" t="s">
        <v>132</v>
      </c>
      <c r="B1" s="18" t="s">
        <v>133</v>
      </c>
      <c r="C1" s="19" t="s">
        <v>134</v>
      </c>
      <c r="D1" s="20" t="s">
        <v>135</v>
      </c>
      <c r="E1" s="19" t="s">
        <v>136</v>
      </c>
      <c r="F1" s="20" t="s">
        <v>137</v>
      </c>
      <c r="G1" s="19" t="s">
        <v>138</v>
      </c>
      <c r="H1" s="20" t="s">
        <v>139</v>
      </c>
      <c r="I1" s="19" t="s">
        <v>140</v>
      </c>
      <c r="J1" s="20" t="s">
        <v>142</v>
      </c>
      <c r="K1" s="21" t="s">
        <v>143</v>
      </c>
      <c r="L1" s="20" t="s">
        <v>144</v>
      </c>
      <c r="M1" s="21" t="s">
        <v>145</v>
      </c>
      <c r="N1" s="20" t="s">
        <v>146</v>
      </c>
      <c r="O1" s="22" t="s">
        <v>147</v>
      </c>
      <c r="P1" s="23" t="s">
        <v>148</v>
      </c>
      <c r="Q1" s="24" t="s">
        <v>149</v>
      </c>
      <c r="R1" s="25" t="s">
        <v>150</v>
      </c>
      <c r="S1" s="24" t="s">
        <v>151</v>
      </c>
      <c r="T1" s="25" t="s">
        <v>152</v>
      </c>
      <c r="U1" s="22" t="s">
        <v>434</v>
      </c>
      <c r="V1" s="25" t="s">
        <v>152</v>
      </c>
      <c r="W1" s="22" t="s">
        <v>415</v>
      </c>
      <c r="X1" s="20" t="s">
        <v>153</v>
      </c>
      <c r="Y1" s="24" t="s">
        <v>221</v>
      </c>
      <c r="Z1" s="20" t="s">
        <v>154</v>
      </c>
      <c r="AA1" s="22" t="s">
        <v>222</v>
      </c>
      <c r="AB1" s="20" t="s">
        <v>171</v>
      </c>
      <c r="AC1" s="22" t="s">
        <v>223</v>
      </c>
      <c r="AD1" s="20" t="s">
        <v>171</v>
      </c>
      <c r="AE1" s="22" t="s">
        <v>224</v>
      </c>
      <c r="AF1" s="20" t="s">
        <v>171</v>
      </c>
      <c r="AG1" s="22" t="s">
        <v>225</v>
      </c>
      <c r="AH1" s="20" t="s">
        <v>171</v>
      </c>
      <c r="AI1" s="22" t="s">
        <v>237</v>
      </c>
      <c r="AJ1" s="20" t="s">
        <v>171</v>
      </c>
      <c r="AK1" s="22" t="s">
        <v>242</v>
      </c>
      <c r="AL1" s="20" t="s">
        <v>171</v>
      </c>
      <c r="AM1" s="22" t="s">
        <v>454</v>
      </c>
      <c r="AN1" s="20" t="s">
        <v>155</v>
      </c>
      <c r="AO1" s="22" t="s">
        <v>284</v>
      </c>
      <c r="AP1" s="20" t="s">
        <v>156</v>
      </c>
      <c r="AQ1" s="22" t="s">
        <v>22</v>
      </c>
      <c r="AR1" s="20" t="s">
        <v>157</v>
      </c>
      <c r="AS1" s="22" t="s">
        <v>226</v>
      </c>
      <c r="AT1" s="20" t="s">
        <v>157</v>
      </c>
      <c r="AU1" s="22" t="s">
        <v>227</v>
      </c>
      <c r="AV1" s="20"/>
      <c r="AW1" s="22" t="s">
        <v>228</v>
      </c>
      <c r="AX1" s="20" t="s">
        <v>157</v>
      </c>
      <c r="AY1" s="22" t="s">
        <v>229</v>
      </c>
      <c r="AZ1" s="20" t="s">
        <v>301</v>
      </c>
      <c r="BA1" s="22" t="s">
        <v>230</v>
      </c>
      <c r="BB1" s="20" t="s">
        <v>157</v>
      </c>
      <c r="BC1" s="22" t="s">
        <v>231</v>
      </c>
      <c r="BD1" s="20" t="s">
        <v>182</v>
      </c>
      <c r="BE1" s="22" t="s">
        <v>181</v>
      </c>
      <c r="BF1" s="21" t="s">
        <v>232</v>
      </c>
      <c r="BG1" s="20" t="s">
        <v>218</v>
      </c>
      <c r="BH1" s="22" t="s">
        <v>216</v>
      </c>
      <c r="BI1" s="20" t="s">
        <v>157</v>
      </c>
      <c r="BJ1" s="22" t="s">
        <v>158</v>
      </c>
      <c r="BK1" s="20" t="s">
        <v>157</v>
      </c>
      <c r="BL1" s="22" t="s">
        <v>159</v>
      </c>
      <c r="BM1" s="20" t="s">
        <v>157</v>
      </c>
      <c r="BN1" s="22" t="s">
        <v>160</v>
      </c>
      <c r="BO1" s="20" t="s">
        <v>157</v>
      </c>
      <c r="BP1" s="22" t="s">
        <v>161</v>
      </c>
      <c r="BQ1" s="20" t="s">
        <v>157</v>
      </c>
      <c r="BR1" s="22" t="s">
        <v>180</v>
      </c>
      <c r="BS1" s="20" t="s">
        <v>157</v>
      </c>
      <c r="BT1" s="21" t="s">
        <v>163</v>
      </c>
      <c r="BU1" s="20" t="s">
        <v>162</v>
      </c>
      <c r="BV1" s="26" t="s">
        <v>164</v>
      </c>
      <c r="BW1" s="20" t="s">
        <v>166</v>
      </c>
      <c r="BX1" s="26" t="s">
        <v>165</v>
      </c>
      <c r="BY1" s="18" t="s">
        <v>156</v>
      </c>
    </row>
    <row r="2" spans="1:77" x14ac:dyDescent="0.25">
      <c r="A2" s="32" t="s">
        <v>128</v>
      </c>
      <c r="B2" s="3" t="s">
        <v>7</v>
      </c>
      <c r="C2" s="1" t="s">
        <v>105</v>
      </c>
      <c r="D2" s="4" t="s">
        <v>8</v>
      </c>
      <c r="E2" s="1" t="s">
        <v>9</v>
      </c>
      <c r="F2" s="4" t="s">
        <v>125</v>
      </c>
      <c r="G2" s="1" t="s">
        <v>10</v>
      </c>
      <c r="H2" s="4" t="s">
        <v>11</v>
      </c>
      <c r="I2" s="1" t="s">
        <v>12</v>
      </c>
      <c r="J2" s="13" t="str">
        <f>""" title="""&amp;O2&amp;"""&gt;&amp;nbsp;&lt;/a&gt;&lt;div class="&amp;"""popup"</f>
        <v>" title="AUS-S1 Sydney, Australia"&gt;&amp;nbsp;&lt;/a&gt;&lt;div class="popup</v>
      </c>
      <c r="K2" s="5" t="str">
        <f>E2</f>
        <v>cyan</v>
      </c>
      <c r="L2" s="4" t="s">
        <v>126</v>
      </c>
      <c r="M2" s="11" t="str">
        <f>LEFT(C2,7)&amp;"-box"&amp;""""</f>
        <v>"AUS-S1-box"</v>
      </c>
      <c r="N2" s="4" t="s">
        <v>13</v>
      </c>
      <c r="O2" s="6" t="s">
        <v>14</v>
      </c>
      <c r="P2" s="7" t="s">
        <v>15</v>
      </c>
      <c r="Q2" s="8" t="s">
        <v>16</v>
      </c>
      <c r="R2" s="9" t="s">
        <v>17</v>
      </c>
      <c r="S2" s="8" t="s">
        <v>18</v>
      </c>
      <c r="T2" s="9" t="s">
        <v>435</v>
      </c>
      <c r="U2" s="14" t="s">
        <v>437</v>
      </c>
      <c r="V2" s="9" t="s">
        <v>436</v>
      </c>
      <c r="W2" s="14" t="s">
        <v>416</v>
      </c>
      <c r="X2" s="4" t="s">
        <v>220</v>
      </c>
      <c r="Y2" s="8" t="s">
        <v>19</v>
      </c>
      <c r="Z2" s="4" t="s">
        <v>170</v>
      </c>
      <c r="AA2" s="6" t="s">
        <v>20</v>
      </c>
      <c r="AB2" s="4" t="s">
        <v>172</v>
      </c>
      <c r="AD2" s="4" t="s">
        <v>174</v>
      </c>
      <c r="AE2" s="14" t="s">
        <v>173</v>
      </c>
      <c r="AF2" s="4" t="s">
        <v>175</v>
      </c>
      <c r="AG2" s="14" t="s">
        <v>176</v>
      </c>
      <c r="AH2" s="4" t="s">
        <v>235</v>
      </c>
      <c r="AI2" s="14" t="s">
        <v>236</v>
      </c>
      <c r="AJ2" s="4" t="s">
        <v>238</v>
      </c>
      <c r="AK2" s="14" t="s">
        <v>239</v>
      </c>
      <c r="AL2" s="4" t="s">
        <v>455</v>
      </c>
      <c r="AM2" s="14" t="s">
        <v>239</v>
      </c>
      <c r="AN2" s="4" t="s">
        <v>285</v>
      </c>
      <c r="AO2" s="6" t="s">
        <v>24</v>
      </c>
      <c r="AP2" s="4" t="s">
        <v>21</v>
      </c>
      <c r="AQ2" s="6" t="s">
        <v>234</v>
      </c>
      <c r="AR2" s="4" t="s">
        <v>23</v>
      </c>
      <c r="AS2" s="6" t="s">
        <v>178</v>
      </c>
      <c r="AT2" s="4" t="s">
        <v>23</v>
      </c>
      <c r="AU2" s="6" t="s">
        <v>233</v>
      </c>
      <c r="AV2" s="4" t="s">
        <v>23</v>
      </c>
      <c r="AW2" s="6" t="s">
        <v>177</v>
      </c>
      <c r="AX2" s="4" t="s">
        <v>23</v>
      </c>
      <c r="AY2" s="6" t="s">
        <v>24</v>
      </c>
      <c r="AZ2" s="13" t="str">
        <f>IF(TRIM(AY2)="","&lt;br /&gt;","&lt;br /&gt;&lt;br /&gt;")</f>
        <v>&lt;br /&gt;</v>
      </c>
      <c r="BA2" s="6" t="s">
        <v>179</v>
      </c>
      <c r="BB2" s="4" t="s">
        <v>240</v>
      </c>
      <c r="BC2" s="6" t="s">
        <v>25</v>
      </c>
      <c r="BD2" s="4" t="s">
        <v>241</v>
      </c>
      <c r="BE2" s="6" t="s">
        <v>183</v>
      </c>
      <c r="BF2" s="5" t="str">
        <f>"&lt;br /&gt;&lt;i&gt;&lt;a href="&amp;"""mailto:"&amp;BH2&amp;""""</f>
        <v>&lt;br /&gt;&lt;i&gt;&lt;a href="mailto:ntolman@csc.com"</v>
      </c>
      <c r="BG2" s="13" t="s">
        <v>219</v>
      </c>
      <c r="BH2" s="14" t="s">
        <v>185</v>
      </c>
      <c r="BI2" s="4" t="s">
        <v>217</v>
      </c>
      <c r="BJ2" s="6" t="s">
        <v>24</v>
      </c>
      <c r="BK2" s="4" t="s">
        <v>23</v>
      </c>
      <c r="BL2" s="6" t="s">
        <v>24</v>
      </c>
      <c r="BM2" s="4" t="s">
        <v>23</v>
      </c>
      <c r="BN2" s="6" t="s">
        <v>24</v>
      </c>
      <c r="BO2" s="4" t="s">
        <v>23</v>
      </c>
      <c r="BP2" s="6" t="s">
        <v>24</v>
      </c>
      <c r="BQ2" s="4" t="s">
        <v>23</v>
      </c>
      <c r="BR2" s="6" t="s">
        <v>24</v>
      </c>
      <c r="BS2" s="4" t="s">
        <v>26</v>
      </c>
      <c r="BT2" s="5" t="s">
        <v>27</v>
      </c>
      <c r="BU2" s="4" t="s">
        <v>127</v>
      </c>
      <c r="BW2" s="4" t="s">
        <v>414</v>
      </c>
      <c r="BX2" s="12" t="s">
        <v>6</v>
      </c>
      <c r="BY2" s="3" t="s">
        <v>167</v>
      </c>
    </row>
    <row r="3" spans="1:77" x14ac:dyDescent="0.25">
      <c r="A3" s="33" t="s">
        <v>128</v>
      </c>
      <c r="B3" s="3" t="s">
        <v>7</v>
      </c>
      <c r="C3" s="1" t="s">
        <v>106</v>
      </c>
      <c r="D3" s="4" t="s">
        <v>8</v>
      </c>
      <c r="E3" s="1" t="s">
        <v>28</v>
      </c>
      <c r="F3" s="4" t="s">
        <v>125</v>
      </c>
      <c r="G3" s="1" t="s">
        <v>29</v>
      </c>
      <c r="H3" s="4" t="s">
        <v>11</v>
      </c>
      <c r="I3" s="1" t="s">
        <v>30</v>
      </c>
      <c r="J3" s="13" t="str">
        <f t="shared" ref="J3:J25" si="0">""" title="""&amp;O3&amp;"""&gt;&amp;nbsp;&lt;/a&gt;&lt;div class="&amp;"""popup"</f>
        <v>" title="KUA-C1 Kuala Lumpur, MY"&gt;&amp;nbsp;&lt;/a&gt;&lt;div class="popup</v>
      </c>
      <c r="K3" s="5" t="str">
        <f t="shared" ref="K3:K25" si="1">E3</f>
        <v>blue</v>
      </c>
      <c r="L3" s="4" t="s">
        <v>126</v>
      </c>
      <c r="M3" s="11" t="str">
        <f t="shared" ref="M3:M25" si="2">LEFT(C3,7)&amp;"-box"&amp;""""</f>
        <v>"KUA-C1-box"</v>
      </c>
      <c r="N3" s="4" t="s">
        <v>13</v>
      </c>
      <c r="O3" s="6" t="s">
        <v>31</v>
      </c>
      <c r="P3" s="7" t="s">
        <v>15</v>
      </c>
      <c r="Q3" s="8" t="s">
        <v>16</v>
      </c>
      <c r="R3" s="9" t="s">
        <v>17</v>
      </c>
      <c r="S3" s="8" t="s">
        <v>18</v>
      </c>
      <c r="T3" s="9" t="s">
        <v>435</v>
      </c>
      <c r="U3" s="14" t="s">
        <v>446</v>
      </c>
      <c r="V3" s="9" t="s">
        <v>436</v>
      </c>
      <c r="W3" s="14" t="s">
        <v>422</v>
      </c>
      <c r="X3" s="4" t="s">
        <v>220</v>
      </c>
      <c r="Y3" s="8" t="s">
        <v>19</v>
      </c>
      <c r="Z3" s="4" t="s">
        <v>170</v>
      </c>
      <c r="AA3" s="6" t="s">
        <v>20</v>
      </c>
      <c r="AB3" s="4" t="s">
        <v>172</v>
      </c>
      <c r="AD3" s="4" t="s">
        <v>174</v>
      </c>
      <c r="AE3" s="14" t="s">
        <v>322</v>
      </c>
      <c r="AF3" s="4" t="s">
        <v>175</v>
      </c>
      <c r="AG3" s="14" t="s">
        <v>321</v>
      </c>
      <c r="AH3" s="4" t="s">
        <v>235</v>
      </c>
      <c r="AI3" s="14" t="s">
        <v>302</v>
      </c>
      <c r="AJ3" s="4" t="s">
        <v>238</v>
      </c>
      <c r="AK3" s="14" t="s">
        <v>239</v>
      </c>
      <c r="AL3" s="4" t="s">
        <v>455</v>
      </c>
      <c r="AM3" s="14" t="s">
        <v>239</v>
      </c>
      <c r="AN3" s="4" t="s">
        <v>285</v>
      </c>
      <c r="AO3" s="6" t="s">
        <v>24</v>
      </c>
      <c r="AP3" s="4" t="s">
        <v>21</v>
      </c>
      <c r="AQ3" s="6" t="s">
        <v>286</v>
      </c>
      <c r="AR3" s="4" t="s">
        <v>23</v>
      </c>
      <c r="AS3" s="6" t="s">
        <v>297</v>
      </c>
      <c r="AT3" s="4" t="s">
        <v>23</v>
      </c>
      <c r="AU3" s="6" t="s">
        <v>298</v>
      </c>
      <c r="AV3" s="4" t="s">
        <v>23</v>
      </c>
      <c r="AW3" s="6" t="s">
        <v>300</v>
      </c>
      <c r="AX3" s="4" t="s">
        <v>23</v>
      </c>
      <c r="AY3" s="6" t="s">
        <v>299</v>
      </c>
      <c r="AZ3" s="13" t="str">
        <f t="shared" ref="AZ3:AZ25" si="3">IF(TRIM(AY3)="","&lt;br /&gt;","&lt;br /&gt;&lt;br /&gt;")</f>
        <v>&lt;br /&gt;&lt;br /&gt;</v>
      </c>
      <c r="BA3" s="6" t="s">
        <v>179</v>
      </c>
      <c r="BB3" s="4" t="s">
        <v>240</v>
      </c>
      <c r="BC3" s="6" t="s">
        <v>194</v>
      </c>
      <c r="BD3" s="4" t="s">
        <v>241</v>
      </c>
      <c r="BE3" s="6" t="s">
        <v>213</v>
      </c>
      <c r="BF3" s="5" t="str">
        <f t="shared" ref="BF3:BF25" si="4">"&lt;br /&gt;&lt;i&gt;&lt;a href="&amp;"""mailto:"&amp;BH3&amp;""""</f>
        <v>&lt;br /&gt;&lt;i&gt;&lt;a href="mailto:tsarkar@csc.com"</v>
      </c>
      <c r="BG3" s="13" t="s">
        <v>219</v>
      </c>
      <c r="BH3" s="14" t="s">
        <v>215</v>
      </c>
      <c r="BI3" s="4" t="s">
        <v>217</v>
      </c>
      <c r="BJ3" s="6" t="s">
        <v>24</v>
      </c>
      <c r="BK3" s="4" t="s">
        <v>23</v>
      </c>
      <c r="BL3" s="6" t="s">
        <v>24</v>
      </c>
      <c r="BM3" s="4" t="s">
        <v>23</v>
      </c>
      <c r="BN3" s="6" t="s">
        <v>24</v>
      </c>
      <c r="BO3" s="4" t="s">
        <v>23</v>
      </c>
      <c r="BP3" s="6" t="s">
        <v>24</v>
      </c>
      <c r="BQ3" s="4" t="s">
        <v>23</v>
      </c>
      <c r="BR3" s="6" t="s">
        <v>24</v>
      </c>
      <c r="BS3" s="4" t="s">
        <v>26</v>
      </c>
      <c r="BT3" s="5" t="s">
        <v>27</v>
      </c>
      <c r="BU3" s="4" t="s">
        <v>127</v>
      </c>
      <c r="BW3" s="4" t="s">
        <v>414</v>
      </c>
      <c r="BX3" s="12" t="s">
        <v>6</v>
      </c>
      <c r="BY3" s="3" t="s">
        <v>167</v>
      </c>
    </row>
    <row r="4" spans="1:77" x14ac:dyDescent="0.25">
      <c r="A4" s="29" t="s">
        <v>129</v>
      </c>
      <c r="B4" s="3" t="s">
        <v>7</v>
      </c>
      <c r="C4" s="1" t="s">
        <v>107</v>
      </c>
      <c r="D4" s="4" t="s">
        <v>8</v>
      </c>
      <c r="E4" s="1" t="s">
        <v>28</v>
      </c>
      <c r="F4" s="4" t="s">
        <v>125</v>
      </c>
      <c r="G4" s="1" t="s">
        <v>32</v>
      </c>
      <c r="H4" s="4" t="s">
        <v>11</v>
      </c>
      <c r="I4" s="1" t="s">
        <v>33</v>
      </c>
      <c r="J4" s="13" t="str">
        <f t="shared" si="0"/>
        <v>" title="AST-C1 Asturias-Prague"&gt;&amp;nbsp;&lt;/a&gt;&lt;div class="popup</v>
      </c>
      <c r="K4" s="5" t="str">
        <f t="shared" si="1"/>
        <v>blue</v>
      </c>
      <c r="L4" s="4" t="s">
        <v>126</v>
      </c>
      <c r="M4" s="11" t="str">
        <f t="shared" si="2"/>
        <v>"AST-C1-box"</v>
      </c>
      <c r="N4" s="4" t="s">
        <v>13</v>
      </c>
      <c r="O4" s="6" t="s">
        <v>34</v>
      </c>
      <c r="P4" s="7" t="s">
        <v>15</v>
      </c>
      <c r="Q4" s="8" t="s">
        <v>16</v>
      </c>
      <c r="R4" s="9" t="s">
        <v>17</v>
      </c>
      <c r="S4" s="8" t="s">
        <v>18</v>
      </c>
      <c r="T4" s="9" t="s">
        <v>435</v>
      </c>
      <c r="U4" s="14" t="s">
        <v>438</v>
      </c>
      <c r="V4" s="9" t="s">
        <v>436</v>
      </c>
      <c r="W4" s="14" t="s">
        <v>35</v>
      </c>
      <c r="X4" s="4" t="s">
        <v>220</v>
      </c>
      <c r="Y4" s="8" t="s">
        <v>19</v>
      </c>
      <c r="Z4" s="4" t="s">
        <v>170</v>
      </c>
      <c r="AA4" s="6" t="s">
        <v>20</v>
      </c>
      <c r="AB4" s="4" t="s">
        <v>172</v>
      </c>
      <c r="AD4" s="4" t="s">
        <v>174</v>
      </c>
      <c r="AE4" s="14" t="s">
        <v>323</v>
      </c>
      <c r="AF4" s="4" t="s">
        <v>175</v>
      </c>
      <c r="AG4" s="14" t="s">
        <v>324</v>
      </c>
      <c r="AH4" s="4" t="s">
        <v>235</v>
      </c>
      <c r="AI4" s="14" t="s">
        <v>303</v>
      </c>
      <c r="AJ4" s="4" t="s">
        <v>238</v>
      </c>
      <c r="AK4" s="14" t="s">
        <v>239</v>
      </c>
      <c r="AL4" s="4" t="s">
        <v>455</v>
      </c>
      <c r="AM4" s="14" t="s">
        <v>239</v>
      </c>
      <c r="AN4" s="4" t="s">
        <v>285</v>
      </c>
      <c r="AO4" s="6" t="s">
        <v>24</v>
      </c>
      <c r="AP4" s="4" t="s">
        <v>21</v>
      </c>
      <c r="AQ4" s="6" t="s">
        <v>287</v>
      </c>
      <c r="AR4" s="4" t="s">
        <v>23</v>
      </c>
      <c r="AS4" s="6" t="s">
        <v>325</v>
      </c>
      <c r="AT4" s="4" t="s">
        <v>23</v>
      </c>
      <c r="AU4" s="6" t="s">
        <v>411</v>
      </c>
      <c r="AV4" s="4" t="s">
        <v>23</v>
      </c>
      <c r="AW4" s="6" t="s">
        <v>326</v>
      </c>
      <c r="AX4" s="4" t="s">
        <v>23</v>
      </c>
      <c r="AY4" s="6" t="s">
        <v>24</v>
      </c>
      <c r="AZ4" s="13" t="str">
        <f t="shared" si="3"/>
        <v>&lt;br /&gt;</v>
      </c>
      <c r="BA4" s="6" t="s">
        <v>179</v>
      </c>
      <c r="BB4" s="4" t="s">
        <v>240</v>
      </c>
      <c r="BC4" s="6" t="s">
        <v>36</v>
      </c>
      <c r="BD4" s="4" t="s">
        <v>241</v>
      </c>
      <c r="BE4" s="6" t="s">
        <v>186</v>
      </c>
      <c r="BF4" s="5" t="str">
        <f t="shared" si="4"/>
        <v>&lt;br /&gt;&lt;i&gt;&lt;a href="mailto:bzimmerm@csc.com"</v>
      </c>
      <c r="BG4" s="13" t="s">
        <v>219</v>
      </c>
      <c r="BH4" s="14" t="s">
        <v>189</v>
      </c>
      <c r="BI4" s="4" t="s">
        <v>217</v>
      </c>
      <c r="BJ4" s="6" t="s">
        <v>24</v>
      </c>
      <c r="BK4" s="4" t="s">
        <v>23</v>
      </c>
      <c r="BL4" s="6" t="s">
        <v>24</v>
      </c>
      <c r="BM4" s="4" t="s">
        <v>23</v>
      </c>
      <c r="BN4" s="6" t="s">
        <v>24</v>
      </c>
      <c r="BO4" s="4" t="s">
        <v>23</v>
      </c>
      <c r="BP4" s="6" t="s">
        <v>24</v>
      </c>
      <c r="BQ4" s="4" t="s">
        <v>23</v>
      </c>
      <c r="BR4" s="6" t="s">
        <v>24</v>
      </c>
      <c r="BS4" s="4" t="s">
        <v>26</v>
      </c>
      <c r="BT4" s="5" t="s">
        <v>27</v>
      </c>
      <c r="BU4" s="4" t="s">
        <v>127</v>
      </c>
      <c r="BW4" s="4" t="s">
        <v>414</v>
      </c>
      <c r="BX4" s="12" t="s">
        <v>1</v>
      </c>
      <c r="BY4" s="3" t="s">
        <v>167</v>
      </c>
    </row>
    <row r="5" spans="1:77" x14ac:dyDescent="0.25">
      <c r="A5" s="29" t="s">
        <v>129</v>
      </c>
      <c r="B5" s="3" t="s">
        <v>7</v>
      </c>
      <c r="C5" s="1" t="s">
        <v>412</v>
      </c>
      <c r="D5" s="4" t="s">
        <v>8</v>
      </c>
      <c r="E5" s="1" t="s">
        <v>28</v>
      </c>
      <c r="F5" s="4" t="s">
        <v>125</v>
      </c>
      <c r="G5" s="1" t="s">
        <v>37</v>
      </c>
      <c r="H5" s="4" t="s">
        <v>11</v>
      </c>
      <c r="I5" s="1" t="s">
        <v>38</v>
      </c>
      <c r="J5" s="13" t="str">
        <f t="shared" si="0"/>
        <v>" title="AST-C1 Asturias-Prague"&gt;&amp;nbsp;&lt;/a&gt;&lt;div class="popup</v>
      </c>
      <c r="K5" s="5" t="str">
        <f t="shared" si="1"/>
        <v>blue</v>
      </c>
      <c r="L5" s="4" t="s">
        <v>126</v>
      </c>
      <c r="M5" s="11" t="str">
        <f t="shared" si="2"/>
        <v>"AST-C2-box"</v>
      </c>
      <c r="N5" s="4" t="s">
        <v>13</v>
      </c>
      <c r="O5" s="6" t="s">
        <v>34</v>
      </c>
      <c r="P5" s="7" t="s">
        <v>15</v>
      </c>
      <c r="Q5" s="8" t="s">
        <v>16</v>
      </c>
      <c r="R5" s="9" t="s">
        <v>17</v>
      </c>
      <c r="S5" s="8" t="s">
        <v>18</v>
      </c>
      <c r="T5" s="9" t="s">
        <v>435</v>
      </c>
      <c r="U5" s="14" t="s">
        <v>438</v>
      </c>
      <c r="V5" s="9" t="s">
        <v>436</v>
      </c>
      <c r="W5" s="14" t="s">
        <v>35</v>
      </c>
      <c r="X5" s="4" t="s">
        <v>220</v>
      </c>
      <c r="Y5" s="8" t="s">
        <v>19</v>
      </c>
      <c r="Z5" s="4" t="s">
        <v>170</v>
      </c>
      <c r="AA5" s="6" t="s">
        <v>20</v>
      </c>
      <c r="AB5" s="4" t="s">
        <v>172</v>
      </c>
      <c r="AD5" s="4" t="s">
        <v>174</v>
      </c>
      <c r="AE5" s="14" t="s">
        <v>328</v>
      </c>
      <c r="AF5" s="4" t="s">
        <v>175</v>
      </c>
      <c r="AG5" s="14" t="s">
        <v>327</v>
      </c>
      <c r="AH5" s="4" t="s">
        <v>235</v>
      </c>
      <c r="AI5" s="14" t="s">
        <v>303</v>
      </c>
      <c r="AJ5" s="4" t="s">
        <v>238</v>
      </c>
      <c r="AK5" s="14" t="s">
        <v>239</v>
      </c>
      <c r="AL5" s="4" t="s">
        <v>455</v>
      </c>
      <c r="AM5" s="14" t="s">
        <v>239</v>
      </c>
      <c r="AN5" s="4" t="s">
        <v>285</v>
      </c>
      <c r="AO5" s="6" t="s">
        <v>24</v>
      </c>
      <c r="AP5" s="4" t="s">
        <v>21</v>
      </c>
      <c r="AQ5" s="6" t="s">
        <v>288</v>
      </c>
      <c r="AR5" s="4" t="s">
        <v>23</v>
      </c>
      <c r="AS5" s="6" t="s">
        <v>329</v>
      </c>
      <c r="AT5" s="4" t="s">
        <v>23</v>
      </c>
      <c r="AU5" s="6" t="s">
        <v>330</v>
      </c>
      <c r="AV5" s="4" t="s">
        <v>23</v>
      </c>
      <c r="AW5" s="6" t="s">
        <v>331</v>
      </c>
      <c r="AX5" s="4" t="s">
        <v>23</v>
      </c>
      <c r="AY5" s="6" t="s">
        <v>24</v>
      </c>
      <c r="AZ5" s="13" t="str">
        <f t="shared" si="3"/>
        <v>&lt;br /&gt;</v>
      </c>
      <c r="BA5" s="6" t="s">
        <v>179</v>
      </c>
      <c r="BB5" s="4" t="s">
        <v>240</v>
      </c>
      <c r="BC5" s="6" t="s">
        <v>36</v>
      </c>
      <c r="BD5" s="4" t="s">
        <v>241</v>
      </c>
      <c r="BE5" s="6" t="s">
        <v>186</v>
      </c>
      <c r="BF5" s="5" t="str">
        <f t="shared" si="4"/>
        <v>&lt;br /&gt;&lt;i&gt;&lt;a href="mailto:bzimmerm@csc.com"</v>
      </c>
      <c r="BG5" s="13" t="s">
        <v>219</v>
      </c>
      <c r="BH5" s="14" t="s">
        <v>189</v>
      </c>
      <c r="BI5" s="4" t="s">
        <v>217</v>
      </c>
      <c r="BJ5" s="6" t="s">
        <v>24</v>
      </c>
      <c r="BK5" s="4" t="s">
        <v>23</v>
      </c>
      <c r="BL5" s="6" t="s">
        <v>24</v>
      </c>
      <c r="BM5" s="4" t="s">
        <v>23</v>
      </c>
      <c r="BN5" s="6" t="s">
        <v>24</v>
      </c>
      <c r="BO5" s="4" t="s">
        <v>23</v>
      </c>
      <c r="BP5" s="6" t="s">
        <v>24</v>
      </c>
      <c r="BQ5" s="4" t="s">
        <v>23</v>
      </c>
      <c r="BR5" s="6" t="s">
        <v>24</v>
      </c>
      <c r="BS5" s="4" t="s">
        <v>26</v>
      </c>
      <c r="BT5" s="5" t="s">
        <v>27</v>
      </c>
      <c r="BU5" s="4" t="s">
        <v>127</v>
      </c>
      <c r="BW5" s="4" t="s">
        <v>414</v>
      </c>
      <c r="BX5" s="12" t="s">
        <v>1</v>
      </c>
      <c r="BY5" s="3" t="s">
        <v>167</v>
      </c>
    </row>
    <row r="6" spans="1:77" x14ac:dyDescent="0.25">
      <c r="A6" s="29" t="s">
        <v>129</v>
      </c>
      <c r="B6" s="3" t="s">
        <v>7</v>
      </c>
      <c r="C6" s="1" t="s">
        <v>108</v>
      </c>
      <c r="D6" s="4" t="s">
        <v>8</v>
      </c>
      <c r="E6" s="1" t="s">
        <v>9</v>
      </c>
      <c r="F6" s="4" t="s">
        <v>125</v>
      </c>
      <c r="G6" s="1" t="s">
        <v>39</v>
      </c>
      <c r="H6" s="4" t="s">
        <v>11</v>
      </c>
      <c r="I6" s="1" t="s">
        <v>40</v>
      </c>
      <c r="J6" s="13" t="str">
        <f t="shared" si="0"/>
        <v>" title="GBR-S1 Chorley-Chesterfield"&gt;&amp;nbsp;&lt;/a&gt;&lt;div class="popup</v>
      </c>
      <c r="K6" s="5" t="str">
        <f t="shared" si="1"/>
        <v>cyan</v>
      </c>
      <c r="L6" s="4" t="s">
        <v>126</v>
      </c>
      <c r="M6" s="11" t="str">
        <f t="shared" si="2"/>
        <v>"GBR-S1-box"</v>
      </c>
      <c r="N6" s="4" t="s">
        <v>13</v>
      </c>
      <c r="O6" s="6" t="s">
        <v>41</v>
      </c>
      <c r="P6" s="7" t="s">
        <v>15</v>
      </c>
      <c r="Q6" s="8" t="s">
        <v>16</v>
      </c>
      <c r="R6" s="9" t="s">
        <v>17</v>
      </c>
      <c r="S6" s="8" t="s">
        <v>18</v>
      </c>
      <c r="T6" s="9" t="s">
        <v>435</v>
      </c>
      <c r="U6" s="14" t="s">
        <v>447</v>
      </c>
      <c r="V6" s="9" t="s">
        <v>436</v>
      </c>
      <c r="W6" s="14" t="s">
        <v>419</v>
      </c>
      <c r="X6" s="4" t="s">
        <v>220</v>
      </c>
      <c r="Y6" s="8" t="s">
        <v>19</v>
      </c>
      <c r="Z6" s="4" t="s">
        <v>170</v>
      </c>
      <c r="AA6" s="6" t="s">
        <v>20</v>
      </c>
      <c r="AB6" s="4" t="s">
        <v>172</v>
      </c>
      <c r="AD6" s="4" t="s">
        <v>174</v>
      </c>
      <c r="AE6" s="14" t="s">
        <v>332</v>
      </c>
      <c r="AF6" s="4" t="s">
        <v>175</v>
      </c>
      <c r="AG6" s="14" t="s">
        <v>333</v>
      </c>
      <c r="AH6" s="4" t="s">
        <v>235</v>
      </c>
      <c r="AI6" s="14" t="s">
        <v>304</v>
      </c>
      <c r="AJ6" s="4" t="s">
        <v>238</v>
      </c>
      <c r="AK6" s="14" t="s">
        <v>239</v>
      </c>
      <c r="AL6" s="4" t="s">
        <v>455</v>
      </c>
      <c r="AM6" s="14" t="s">
        <v>239</v>
      </c>
      <c r="AN6" s="4" t="s">
        <v>285</v>
      </c>
      <c r="AO6" s="6" t="s">
        <v>24</v>
      </c>
      <c r="AP6" s="4" t="s">
        <v>21</v>
      </c>
      <c r="AQ6" s="6" t="s">
        <v>289</v>
      </c>
      <c r="AR6" s="4" t="s">
        <v>23</v>
      </c>
      <c r="AS6" s="6" t="s">
        <v>334</v>
      </c>
      <c r="AT6" s="4" t="s">
        <v>23</v>
      </c>
      <c r="AU6" s="6" t="s">
        <v>335</v>
      </c>
      <c r="AV6" s="4" t="s">
        <v>23</v>
      </c>
      <c r="AW6" s="6" t="s">
        <v>336</v>
      </c>
      <c r="AX6" s="4" t="s">
        <v>23</v>
      </c>
      <c r="AY6" s="6" t="s">
        <v>337</v>
      </c>
      <c r="AZ6" s="13" t="str">
        <f t="shared" si="3"/>
        <v>&lt;br /&gt;&lt;br /&gt;</v>
      </c>
      <c r="BA6" s="6" t="s">
        <v>179</v>
      </c>
      <c r="BB6" s="4" t="s">
        <v>240</v>
      </c>
      <c r="BC6" s="6" t="s">
        <v>42</v>
      </c>
      <c r="BD6" s="4" t="s">
        <v>241</v>
      </c>
      <c r="BE6" s="6" t="s">
        <v>187</v>
      </c>
      <c r="BF6" s="5" t="str">
        <f t="shared" si="4"/>
        <v>&lt;br /&gt;&lt;i&gt;&lt;a href="mailto:mhayes27@csc.com"</v>
      </c>
      <c r="BG6" s="13" t="s">
        <v>219</v>
      </c>
      <c r="BH6" s="14" t="s">
        <v>188</v>
      </c>
      <c r="BI6" s="4" t="s">
        <v>217</v>
      </c>
      <c r="BJ6" s="6" t="s">
        <v>24</v>
      </c>
      <c r="BK6" s="4" t="s">
        <v>23</v>
      </c>
      <c r="BL6" s="6" t="s">
        <v>24</v>
      </c>
      <c r="BM6" s="4" t="s">
        <v>23</v>
      </c>
      <c r="BN6" s="6" t="s">
        <v>24</v>
      </c>
      <c r="BO6" s="4" t="s">
        <v>23</v>
      </c>
      <c r="BP6" s="6" t="s">
        <v>24</v>
      </c>
      <c r="BQ6" s="4" t="s">
        <v>23</v>
      </c>
      <c r="BR6" s="6" t="s">
        <v>24</v>
      </c>
      <c r="BS6" s="4" t="s">
        <v>26</v>
      </c>
      <c r="BT6" s="5" t="s">
        <v>27</v>
      </c>
      <c r="BU6" s="4" t="s">
        <v>127</v>
      </c>
      <c r="BW6" s="4" t="s">
        <v>414</v>
      </c>
      <c r="BX6" s="12" t="s">
        <v>1</v>
      </c>
      <c r="BY6" s="3" t="s">
        <v>167</v>
      </c>
    </row>
    <row r="7" spans="1:77" x14ac:dyDescent="0.25">
      <c r="A7" s="29" t="s">
        <v>129</v>
      </c>
      <c r="B7" s="3" t="s">
        <v>7</v>
      </c>
      <c r="C7" s="1" t="s">
        <v>413</v>
      </c>
      <c r="D7" s="4" t="s">
        <v>8</v>
      </c>
      <c r="E7" s="1" t="s">
        <v>9</v>
      </c>
      <c r="F7" s="4" t="s">
        <v>125</v>
      </c>
      <c r="G7" s="1" t="s">
        <v>43</v>
      </c>
      <c r="H7" s="4" t="s">
        <v>11</v>
      </c>
      <c r="I7" s="1" t="s">
        <v>44</v>
      </c>
      <c r="J7" s="13" t="str">
        <f t="shared" si="0"/>
        <v>" title="GBR-S1 Chorley-Chesterfield"&gt;&amp;nbsp;&lt;/a&gt;&lt;div class="popup</v>
      </c>
      <c r="K7" s="5" t="str">
        <f t="shared" si="1"/>
        <v>cyan</v>
      </c>
      <c r="L7" s="4" t="s">
        <v>126</v>
      </c>
      <c r="M7" s="11" t="str">
        <f t="shared" si="2"/>
        <v>"GBR-S2-box"</v>
      </c>
      <c r="N7" s="4" t="s">
        <v>13</v>
      </c>
      <c r="O7" s="6" t="s">
        <v>41</v>
      </c>
      <c r="P7" s="7" t="s">
        <v>15</v>
      </c>
      <c r="Q7" s="8" t="s">
        <v>16</v>
      </c>
      <c r="R7" s="9" t="s">
        <v>17</v>
      </c>
      <c r="S7" s="8" t="s">
        <v>18</v>
      </c>
      <c r="T7" s="9" t="s">
        <v>435</v>
      </c>
      <c r="U7" s="14" t="s">
        <v>447</v>
      </c>
      <c r="V7" s="9" t="s">
        <v>436</v>
      </c>
      <c r="W7" s="14" t="s">
        <v>419</v>
      </c>
      <c r="X7" s="4" t="s">
        <v>220</v>
      </c>
      <c r="Y7" s="8" t="s">
        <v>19</v>
      </c>
      <c r="Z7" s="4" t="s">
        <v>170</v>
      </c>
      <c r="AA7" s="6" t="s">
        <v>20</v>
      </c>
      <c r="AB7" s="4" t="s">
        <v>172</v>
      </c>
      <c r="AD7" s="4" t="s">
        <v>174</v>
      </c>
      <c r="AE7" s="14" t="s">
        <v>339</v>
      </c>
      <c r="AF7" s="4" t="s">
        <v>175</v>
      </c>
      <c r="AG7" s="14" t="s">
        <v>338</v>
      </c>
      <c r="AH7" s="4" t="s">
        <v>235</v>
      </c>
      <c r="AI7" s="14" t="s">
        <v>304</v>
      </c>
      <c r="AJ7" s="4" t="s">
        <v>238</v>
      </c>
      <c r="AK7" s="14" t="s">
        <v>239</v>
      </c>
      <c r="AL7" s="4" t="s">
        <v>455</v>
      </c>
      <c r="AM7" s="14" t="s">
        <v>239</v>
      </c>
      <c r="AN7" s="4" t="s">
        <v>285</v>
      </c>
      <c r="AO7" s="6" t="s">
        <v>24</v>
      </c>
      <c r="AP7" s="4" t="s">
        <v>21</v>
      </c>
      <c r="AQ7" s="6" t="s">
        <v>289</v>
      </c>
      <c r="AR7" s="4" t="s">
        <v>23</v>
      </c>
      <c r="AS7" s="6" t="s">
        <v>340</v>
      </c>
      <c r="AT7" s="4" t="s">
        <v>23</v>
      </c>
      <c r="AU7" s="6" t="s">
        <v>341</v>
      </c>
      <c r="AV7" s="4" t="s">
        <v>23</v>
      </c>
      <c r="AW7" s="6" t="s">
        <v>342</v>
      </c>
      <c r="AX7" s="4" t="s">
        <v>23</v>
      </c>
      <c r="AY7" s="6" t="s">
        <v>24</v>
      </c>
      <c r="AZ7" s="13" t="str">
        <f t="shared" si="3"/>
        <v>&lt;br /&gt;</v>
      </c>
      <c r="BA7" s="6" t="s">
        <v>179</v>
      </c>
      <c r="BB7" s="4" t="s">
        <v>240</v>
      </c>
      <c r="BC7" s="6" t="s">
        <v>42</v>
      </c>
      <c r="BD7" s="4" t="s">
        <v>241</v>
      </c>
      <c r="BE7" s="6" t="s">
        <v>187</v>
      </c>
      <c r="BF7" s="5" t="str">
        <f t="shared" si="4"/>
        <v>&lt;br /&gt;&lt;i&gt;&lt;a href="mailto:mhayes27@csc.com"</v>
      </c>
      <c r="BG7" s="13" t="s">
        <v>219</v>
      </c>
      <c r="BH7" s="14" t="s">
        <v>188</v>
      </c>
      <c r="BI7" s="4" t="s">
        <v>217</v>
      </c>
      <c r="BJ7" s="6" t="s">
        <v>24</v>
      </c>
      <c r="BK7" s="4" t="s">
        <v>23</v>
      </c>
      <c r="BL7" s="6" t="s">
        <v>24</v>
      </c>
      <c r="BM7" s="4" t="s">
        <v>23</v>
      </c>
      <c r="BN7" s="6" t="s">
        <v>24</v>
      </c>
      <c r="BO7" s="4" t="s">
        <v>23</v>
      </c>
      <c r="BP7" s="6" t="s">
        <v>24</v>
      </c>
      <c r="BQ7" s="4" t="s">
        <v>23</v>
      </c>
      <c r="BR7" s="6" t="s">
        <v>24</v>
      </c>
      <c r="BS7" s="4" t="s">
        <v>26</v>
      </c>
      <c r="BT7" s="5" t="s">
        <v>27</v>
      </c>
      <c r="BU7" s="4" t="s">
        <v>127</v>
      </c>
      <c r="BW7" s="4" t="s">
        <v>414</v>
      </c>
      <c r="BX7" s="12" t="s">
        <v>1</v>
      </c>
      <c r="BY7" s="3" t="s">
        <v>167</v>
      </c>
    </row>
    <row r="8" spans="1:77" x14ac:dyDescent="0.25">
      <c r="A8" s="29" t="s">
        <v>129</v>
      </c>
      <c r="B8" s="3" t="s">
        <v>7</v>
      </c>
      <c r="C8" s="1" t="s">
        <v>109</v>
      </c>
      <c r="D8" s="4" t="s">
        <v>8</v>
      </c>
      <c r="E8" s="1" t="s">
        <v>45</v>
      </c>
      <c r="F8" s="4" t="s">
        <v>125</v>
      </c>
      <c r="G8" s="1" t="s">
        <v>46</v>
      </c>
      <c r="H8" s="4" t="s">
        <v>11</v>
      </c>
      <c r="I8" s="1" t="s">
        <v>47</v>
      </c>
      <c r="J8" s="13" t="str">
        <f t="shared" si="0"/>
        <v>" title="LUX-R1 Luxembourg"&gt;&amp;nbsp;&lt;/a&gt;&lt;div class="popup</v>
      </c>
      <c r="K8" s="5" t="str">
        <f t="shared" si="1"/>
        <v>green</v>
      </c>
      <c r="L8" s="4" t="s">
        <v>126</v>
      </c>
      <c r="M8" s="11" t="str">
        <f t="shared" si="2"/>
        <v>"LUX-R1-box"</v>
      </c>
      <c r="N8" s="4" t="s">
        <v>13</v>
      </c>
      <c r="O8" s="6" t="s">
        <v>48</v>
      </c>
      <c r="P8" s="7" t="s">
        <v>15</v>
      </c>
      <c r="Q8" s="8" t="s">
        <v>16</v>
      </c>
      <c r="R8" s="9" t="s">
        <v>17</v>
      </c>
      <c r="S8" s="8" t="s">
        <v>18</v>
      </c>
      <c r="T8" s="9" t="s">
        <v>435</v>
      </c>
      <c r="U8" s="6" t="s">
        <v>24</v>
      </c>
      <c r="V8" s="9" t="s">
        <v>436</v>
      </c>
      <c r="W8" s="14" t="s">
        <v>424</v>
      </c>
      <c r="X8" s="4" t="s">
        <v>220</v>
      </c>
      <c r="Y8" s="8" t="s">
        <v>19</v>
      </c>
      <c r="Z8" s="4" t="s">
        <v>170</v>
      </c>
      <c r="AA8" s="6" t="s">
        <v>20</v>
      </c>
      <c r="AB8" s="4" t="s">
        <v>172</v>
      </c>
      <c r="AD8" s="4" t="s">
        <v>174</v>
      </c>
      <c r="AE8" s="14" t="s">
        <v>343</v>
      </c>
      <c r="AF8" s="4" t="s">
        <v>175</v>
      </c>
      <c r="AG8" s="14" t="s">
        <v>344</v>
      </c>
      <c r="AH8" s="4" t="s">
        <v>235</v>
      </c>
      <c r="AI8" s="14" t="s">
        <v>305</v>
      </c>
      <c r="AJ8" s="4" t="s">
        <v>238</v>
      </c>
      <c r="AK8" s="14" t="s">
        <v>239</v>
      </c>
      <c r="AL8" s="4" t="s">
        <v>455</v>
      </c>
      <c r="AM8" s="14" t="s">
        <v>239</v>
      </c>
      <c r="AN8" s="4" t="s">
        <v>285</v>
      </c>
      <c r="AO8" s="6" t="s">
        <v>24</v>
      </c>
      <c r="AP8" s="4" t="s">
        <v>21</v>
      </c>
      <c r="AQ8" s="6" t="s">
        <v>290</v>
      </c>
      <c r="AR8" s="4" t="s">
        <v>23</v>
      </c>
      <c r="AS8" s="6" t="s">
        <v>345</v>
      </c>
      <c r="AT8" s="4" t="s">
        <v>23</v>
      </c>
      <c r="AU8" s="6" t="s">
        <v>281</v>
      </c>
      <c r="AV8" s="4" t="s">
        <v>23</v>
      </c>
      <c r="AW8" s="6" t="s">
        <v>24</v>
      </c>
      <c r="AX8" s="4" t="s">
        <v>23</v>
      </c>
      <c r="AY8" s="6" t="s">
        <v>24</v>
      </c>
      <c r="AZ8" s="13" t="str">
        <f t="shared" si="3"/>
        <v>&lt;br /&gt;</v>
      </c>
      <c r="BA8" s="6" t="s">
        <v>179</v>
      </c>
      <c r="BB8" s="4" t="s">
        <v>240</v>
      </c>
      <c r="BC8" s="6" t="s">
        <v>49</v>
      </c>
      <c r="BD8" s="4" t="s">
        <v>241</v>
      </c>
      <c r="BE8" s="6" t="s">
        <v>190</v>
      </c>
      <c r="BF8" s="5" t="str">
        <f t="shared" si="4"/>
        <v>&lt;br /&gt;&lt;i&gt;&lt;a href="mailto:jgemson@csc.com"</v>
      </c>
      <c r="BG8" s="13" t="s">
        <v>219</v>
      </c>
      <c r="BH8" s="14" t="s">
        <v>191</v>
      </c>
      <c r="BI8" s="4" t="s">
        <v>217</v>
      </c>
      <c r="BJ8" s="6" t="s">
        <v>24</v>
      </c>
      <c r="BK8" s="4" t="s">
        <v>23</v>
      </c>
      <c r="BL8" s="6" t="s">
        <v>24</v>
      </c>
      <c r="BM8" s="4" t="s">
        <v>23</v>
      </c>
      <c r="BN8" s="6" t="s">
        <v>24</v>
      </c>
      <c r="BO8" s="4" t="s">
        <v>23</v>
      </c>
      <c r="BP8" s="6" t="s">
        <v>24</v>
      </c>
      <c r="BQ8" s="4" t="s">
        <v>23</v>
      </c>
      <c r="BR8" s="6" t="s">
        <v>24</v>
      </c>
      <c r="BS8" s="4" t="s">
        <v>26</v>
      </c>
      <c r="BT8" s="5" t="s">
        <v>27</v>
      </c>
      <c r="BU8" s="4" t="s">
        <v>127</v>
      </c>
      <c r="BW8" s="4" t="s">
        <v>414</v>
      </c>
      <c r="BX8" s="12" t="s">
        <v>4</v>
      </c>
      <c r="BY8" s="3" t="s">
        <v>167</v>
      </c>
    </row>
    <row r="9" spans="1:77" x14ac:dyDescent="0.25">
      <c r="A9" s="29" t="s">
        <v>129</v>
      </c>
      <c r="B9" s="3" t="s">
        <v>7</v>
      </c>
      <c r="C9" s="1" t="s">
        <v>110</v>
      </c>
      <c r="D9" s="4" t="s">
        <v>8</v>
      </c>
      <c r="E9" s="1" t="s">
        <v>45</v>
      </c>
      <c r="F9" s="4" t="s">
        <v>125</v>
      </c>
      <c r="G9" s="1" t="s">
        <v>169</v>
      </c>
      <c r="H9" s="4" t="s">
        <v>11</v>
      </c>
      <c r="I9" s="1" t="s">
        <v>168</v>
      </c>
      <c r="J9" s="13" t="str">
        <f t="shared" si="0"/>
        <v>" title="LTU-R1 Elbl&amp;#261;g-Vilnius"&gt;&amp;nbsp;&lt;/a&gt;&lt;div class="popup</v>
      </c>
      <c r="K9" s="5" t="str">
        <f t="shared" si="1"/>
        <v>green</v>
      </c>
      <c r="L9" s="4" t="s">
        <v>126</v>
      </c>
      <c r="M9" s="11" t="str">
        <f t="shared" si="2"/>
        <v>"LTU-R1-box"</v>
      </c>
      <c r="N9" s="4" t="s">
        <v>13</v>
      </c>
      <c r="O9" s="6" t="s">
        <v>50</v>
      </c>
      <c r="P9" s="7" t="s">
        <v>15</v>
      </c>
      <c r="Q9" s="8" t="s">
        <v>16</v>
      </c>
      <c r="R9" s="9" t="s">
        <v>17</v>
      </c>
      <c r="S9" s="8" t="s">
        <v>18</v>
      </c>
      <c r="T9" s="9" t="s">
        <v>435</v>
      </c>
      <c r="U9" s="6" t="s">
        <v>24</v>
      </c>
      <c r="V9" s="9" t="s">
        <v>436</v>
      </c>
      <c r="W9" s="14" t="s">
        <v>423</v>
      </c>
      <c r="X9" s="4" t="s">
        <v>220</v>
      </c>
      <c r="Y9" s="8" t="s">
        <v>19</v>
      </c>
      <c r="Z9" s="4" t="s">
        <v>170</v>
      </c>
      <c r="AA9" s="6" t="s">
        <v>20</v>
      </c>
      <c r="AB9" s="4" t="s">
        <v>172</v>
      </c>
      <c r="AD9" s="4" t="s">
        <v>174</v>
      </c>
      <c r="AE9" s="14" t="s">
        <v>346</v>
      </c>
      <c r="AF9" s="4" t="s">
        <v>175</v>
      </c>
      <c r="AG9" s="14" t="s">
        <v>347</v>
      </c>
      <c r="AH9" s="4" t="s">
        <v>235</v>
      </c>
      <c r="AI9" s="14" t="s">
        <v>306</v>
      </c>
      <c r="AJ9" s="4" t="s">
        <v>238</v>
      </c>
      <c r="AK9" s="14" t="s">
        <v>239</v>
      </c>
      <c r="AL9" s="4" t="s">
        <v>455</v>
      </c>
      <c r="AM9" s="14" t="s">
        <v>239</v>
      </c>
      <c r="AN9" s="4" t="s">
        <v>285</v>
      </c>
      <c r="AO9" s="6" t="s">
        <v>24</v>
      </c>
      <c r="AP9" s="4" t="s">
        <v>21</v>
      </c>
      <c r="AQ9" s="6" t="s">
        <v>291</v>
      </c>
      <c r="AR9" s="4" t="s">
        <v>23</v>
      </c>
      <c r="AS9" s="6" t="s">
        <v>410</v>
      </c>
      <c r="AT9" s="4" t="s">
        <v>23</v>
      </c>
      <c r="AU9" s="6" t="s">
        <v>348</v>
      </c>
      <c r="AV9" s="4" t="s">
        <v>23</v>
      </c>
      <c r="AW9" s="6" t="s">
        <v>349</v>
      </c>
      <c r="AX9" s="4" t="s">
        <v>23</v>
      </c>
      <c r="AY9" s="6" t="s">
        <v>24</v>
      </c>
      <c r="AZ9" s="13" t="str">
        <f t="shared" si="3"/>
        <v>&lt;br /&gt;</v>
      </c>
      <c r="BA9" s="6" t="s">
        <v>179</v>
      </c>
      <c r="BB9" s="4" t="s">
        <v>240</v>
      </c>
      <c r="BC9" s="6" t="s">
        <v>51</v>
      </c>
      <c r="BD9" s="4" t="s">
        <v>241</v>
      </c>
      <c r="BE9" s="6" t="s">
        <v>192</v>
      </c>
      <c r="BF9" s="5" t="str">
        <f t="shared" si="4"/>
        <v>&lt;br /&gt;&lt;i&gt;&lt;a href="mailto:jmoch@csc.com"</v>
      </c>
      <c r="BG9" s="13" t="s">
        <v>219</v>
      </c>
      <c r="BH9" s="14" t="s">
        <v>193</v>
      </c>
      <c r="BI9" s="4" t="s">
        <v>217</v>
      </c>
      <c r="BJ9" s="6" t="s">
        <v>24</v>
      </c>
      <c r="BK9" s="4" t="s">
        <v>23</v>
      </c>
      <c r="BL9" s="6" t="s">
        <v>24</v>
      </c>
      <c r="BM9" s="4" t="s">
        <v>23</v>
      </c>
      <c r="BN9" s="6" t="s">
        <v>24</v>
      </c>
      <c r="BO9" s="4" t="s">
        <v>23</v>
      </c>
      <c r="BP9" s="6" t="s">
        <v>24</v>
      </c>
      <c r="BQ9" s="4" t="s">
        <v>23</v>
      </c>
      <c r="BR9" s="6" t="s">
        <v>24</v>
      </c>
      <c r="BS9" s="4" t="s">
        <v>26</v>
      </c>
      <c r="BT9" s="5" t="s">
        <v>27</v>
      </c>
      <c r="BU9" s="4" t="s">
        <v>127</v>
      </c>
      <c r="BW9" s="4" t="s">
        <v>414</v>
      </c>
      <c r="BX9" s="12" t="s">
        <v>3</v>
      </c>
      <c r="BY9" s="3" t="s">
        <v>167</v>
      </c>
    </row>
    <row r="10" spans="1:77" x14ac:dyDescent="0.25">
      <c r="A10" s="29" t="s">
        <v>129</v>
      </c>
      <c r="B10" s="3" t="s">
        <v>7</v>
      </c>
      <c r="C10" s="1" t="s">
        <v>141</v>
      </c>
      <c r="D10" s="4" t="s">
        <v>8</v>
      </c>
      <c r="E10" s="1" t="s">
        <v>45</v>
      </c>
      <c r="F10" s="4" t="s">
        <v>125</v>
      </c>
      <c r="G10" s="1" t="s">
        <v>52</v>
      </c>
      <c r="H10" s="4" t="s">
        <v>11</v>
      </c>
      <c r="I10" s="1" t="s">
        <v>53</v>
      </c>
      <c r="J10" s="13" t="str">
        <f t="shared" si="0"/>
        <v>" title="LTU-R1 Elbl&amp;#261;g-Vilnius"&gt;&amp;nbsp;&lt;/a&gt;&lt;div class="popup</v>
      </c>
      <c r="K10" s="5" t="str">
        <f t="shared" si="1"/>
        <v>green</v>
      </c>
      <c r="L10" s="4" t="s">
        <v>126</v>
      </c>
      <c r="M10" s="11" t="str">
        <f t="shared" si="2"/>
        <v>"LTU-R2-box"</v>
      </c>
      <c r="N10" s="4" t="s">
        <v>13</v>
      </c>
      <c r="O10" s="6" t="s">
        <v>50</v>
      </c>
      <c r="P10" s="7" t="s">
        <v>15</v>
      </c>
      <c r="Q10" s="8" t="s">
        <v>16</v>
      </c>
      <c r="R10" s="9" t="s">
        <v>17</v>
      </c>
      <c r="S10" s="8" t="s">
        <v>18</v>
      </c>
      <c r="T10" s="9" t="s">
        <v>435</v>
      </c>
      <c r="U10" s="6" t="s">
        <v>24</v>
      </c>
      <c r="V10" s="9" t="s">
        <v>436</v>
      </c>
      <c r="W10" s="14" t="s">
        <v>423</v>
      </c>
      <c r="X10" s="4" t="s">
        <v>220</v>
      </c>
      <c r="Y10" s="8" t="s">
        <v>19</v>
      </c>
      <c r="Z10" s="4" t="s">
        <v>170</v>
      </c>
      <c r="AA10" s="6" t="s">
        <v>20</v>
      </c>
      <c r="AB10" s="4" t="s">
        <v>172</v>
      </c>
      <c r="AD10" s="4" t="s">
        <v>174</v>
      </c>
      <c r="AE10" s="14" t="s">
        <v>351</v>
      </c>
      <c r="AF10" s="4" t="s">
        <v>175</v>
      </c>
      <c r="AG10" s="14" t="s">
        <v>350</v>
      </c>
      <c r="AH10" s="4" t="s">
        <v>235</v>
      </c>
      <c r="AI10" s="14" t="s">
        <v>306</v>
      </c>
      <c r="AJ10" s="4" t="s">
        <v>238</v>
      </c>
      <c r="AK10" s="14" t="s">
        <v>239</v>
      </c>
      <c r="AL10" s="4" t="s">
        <v>455</v>
      </c>
      <c r="AM10" s="14" t="s">
        <v>239</v>
      </c>
      <c r="AN10" s="4" t="s">
        <v>285</v>
      </c>
      <c r="AO10" s="6" t="s">
        <v>24</v>
      </c>
      <c r="AP10" s="4" t="s">
        <v>21</v>
      </c>
      <c r="AQ10" s="6" t="s">
        <v>292</v>
      </c>
      <c r="AR10" s="4" t="s">
        <v>23</v>
      </c>
      <c r="AS10" s="6" t="s">
        <v>433</v>
      </c>
      <c r="AT10" s="4" t="s">
        <v>23</v>
      </c>
      <c r="AU10" s="6" t="s">
        <v>352</v>
      </c>
      <c r="AV10" s="4" t="s">
        <v>23</v>
      </c>
      <c r="AW10" s="6" t="s">
        <v>353</v>
      </c>
      <c r="AX10" s="4" t="s">
        <v>23</v>
      </c>
      <c r="AY10" s="6" t="s">
        <v>24</v>
      </c>
      <c r="AZ10" s="13" t="str">
        <f t="shared" si="3"/>
        <v>&lt;br /&gt;</v>
      </c>
      <c r="BA10" s="6" t="s">
        <v>179</v>
      </c>
      <c r="BB10" s="4" t="s">
        <v>240</v>
      </c>
      <c r="BC10" s="6" t="s">
        <v>51</v>
      </c>
      <c r="BD10" s="4" t="s">
        <v>241</v>
      </c>
      <c r="BE10" s="6" t="s">
        <v>192</v>
      </c>
      <c r="BF10" s="5" t="str">
        <f t="shared" si="4"/>
        <v>&lt;br /&gt;&lt;i&gt;&lt;a href="mailto:jmoch@csc.com"</v>
      </c>
      <c r="BG10" s="13" t="s">
        <v>219</v>
      </c>
      <c r="BH10" s="14" t="s">
        <v>193</v>
      </c>
      <c r="BI10" s="4" t="s">
        <v>217</v>
      </c>
      <c r="BJ10" s="6" t="s">
        <v>24</v>
      </c>
      <c r="BK10" s="4" t="s">
        <v>23</v>
      </c>
      <c r="BL10" s="6" t="s">
        <v>24</v>
      </c>
      <c r="BM10" s="4" t="s">
        <v>23</v>
      </c>
      <c r="BN10" s="6" t="s">
        <v>24</v>
      </c>
      <c r="BO10" s="4" t="s">
        <v>23</v>
      </c>
      <c r="BP10" s="6" t="s">
        <v>24</v>
      </c>
      <c r="BQ10" s="4" t="s">
        <v>23</v>
      </c>
      <c r="BR10" s="6" t="s">
        <v>24</v>
      </c>
      <c r="BS10" s="4" t="s">
        <v>26</v>
      </c>
      <c r="BT10" s="5" t="s">
        <v>27</v>
      </c>
      <c r="BU10" s="4" t="s">
        <v>127</v>
      </c>
      <c r="BW10" s="4" t="s">
        <v>414</v>
      </c>
      <c r="BX10" s="12" t="s">
        <v>3</v>
      </c>
      <c r="BY10" s="3" t="s">
        <v>167</v>
      </c>
    </row>
    <row r="11" spans="1:77" x14ac:dyDescent="0.25">
      <c r="A11" s="29" t="s">
        <v>129</v>
      </c>
      <c r="B11" s="3" t="s">
        <v>7</v>
      </c>
      <c r="C11" s="1" t="s">
        <v>111</v>
      </c>
      <c r="D11" s="4" t="s">
        <v>8</v>
      </c>
      <c r="E11" s="1" t="s">
        <v>9</v>
      </c>
      <c r="F11" s="4" t="s">
        <v>125</v>
      </c>
      <c r="G11" s="1" t="s">
        <v>54</v>
      </c>
      <c r="H11" s="4" t="s">
        <v>11</v>
      </c>
      <c r="I11" s="1" t="s">
        <v>55</v>
      </c>
      <c r="J11" s="13" t="str">
        <f t="shared" si="0"/>
        <v>" title="SWE-S1 Link&amp;ouml;ping, Sweden"&gt;&amp;nbsp;&lt;/a&gt;&lt;div class="popup</v>
      </c>
      <c r="K11" s="5" t="str">
        <f t="shared" si="1"/>
        <v>cyan</v>
      </c>
      <c r="L11" s="4" t="s">
        <v>126</v>
      </c>
      <c r="M11" s="11" t="str">
        <f t="shared" si="2"/>
        <v>"SWE-S1-box"</v>
      </c>
      <c r="N11" s="4" t="s">
        <v>13</v>
      </c>
      <c r="O11" s="6" t="s">
        <v>56</v>
      </c>
      <c r="P11" s="7" t="s">
        <v>15</v>
      </c>
      <c r="Q11" s="8" t="s">
        <v>16</v>
      </c>
      <c r="R11" s="9" t="s">
        <v>17</v>
      </c>
      <c r="S11" s="8" t="s">
        <v>18</v>
      </c>
      <c r="T11" s="9" t="s">
        <v>435</v>
      </c>
      <c r="U11" s="14" t="s">
        <v>448</v>
      </c>
      <c r="V11" s="9" t="s">
        <v>436</v>
      </c>
      <c r="W11" s="14" t="s">
        <v>431</v>
      </c>
      <c r="X11" s="4" t="s">
        <v>220</v>
      </c>
      <c r="Y11" s="8" t="s">
        <v>19</v>
      </c>
      <c r="Z11" s="4" t="s">
        <v>170</v>
      </c>
      <c r="AA11" s="6" t="s">
        <v>20</v>
      </c>
      <c r="AB11" s="4" t="s">
        <v>172</v>
      </c>
      <c r="AD11" s="4" t="s">
        <v>174</v>
      </c>
      <c r="AE11" s="14" t="s">
        <v>354</v>
      </c>
      <c r="AF11" s="4" t="s">
        <v>175</v>
      </c>
      <c r="AG11" s="14" t="s">
        <v>355</v>
      </c>
      <c r="AH11" s="4" t="s">
        <v>235</v>
      </c>
      <c r="AI11" s="14" t="s">
        <v>307</v>
      </c>
      <c r="AJ11" s="4" t="s">
        <v>238</v>
      </c>
      <c r="AK11" s="14" t="s">
        <v>239</v>
      </c>
      <c r="AL11" s="4" t="s">
        <v>455</v>
      </c>
      <c r="AM11" s="14" t="s">
        <v>239</v>
      </c>
      <c r="AN11" s="4" t="s">
        <v>285</v>
      </c>
      <c r="AO11" s="6" t="s">
        <v>24</v>
      </c>
      <c r="AP11" s="4" t="s">
        <v>21</v>
      </c>
      <c r="AQ11" s="6" t="s">
        <v>356</v>
      </c>
      <c r="AR11" s="4" t="s">
        <v>23</v>
      </c>
      <c r="AS11" s="6" t="s">
        <v>357</v>
      </c>
      <c r="AT11" s="4" t="s">
        <v>23</v>
      </c>
      <c r="AU11" s="6" t="s">
        <v>359</v>
      </c>
      <c r="AV11" s="4" t="s">
        <v>23</v>
      </c>
      <c r="AW11" s="6" t="s">
        <v>358</v>
      </c>
      <c r="AX11" s="4" t="s">
        <v>23</v>
      </c>
      <c r="AY11" s="6" t="s">
        <v>24</v>
      </c>
      <c r="AZ11" s="13" t="str">
        <f t="shared" si="3"/>
        <v>&lt;br /&gt;</v>
      </c>
      <c r="BA11" s="6" t="s">
        <v>179</v>
      </c>
      <c r="BB11" s="4" t="s">
        <v>240</v>
      </c>
      <c r="BC11" s="6" t="s">
        <v>57</v>
      </c>
      <c r="BD11" s="4" t="s">
        <v>241</v>
      </c>
      <c r="BE11" s="6" t="s">
        <v>464</v>
      </c>
      <c r="BF11" s="5" t="str">
        <f t="shared" si="4"/>
        <v>&lt;br /&gt;&lt;i&gt;&lt;a href="mailto:moden@csc.com"</v>
      </c>
      <c r="BG11" s="13" t="s">
        <v>219</v>
      </c>
      <c r="BH11" s="14" t="s">
        <v>465</v>
      </c>
      <c r="BI11" s="4" t="s">
        <v>217</v>
      </c>
      <c r="BJ11" s="6" t="s">
        <v>24</v>
      </c>
      <c r="BK11" s="4" t="s">
        <v>23</v>
      </c>
      <c r="BL11" s="6" t="s">
        <v>24</v>
      </c>
      <c r="BM11" s="4" t="s">
        <v>23</v>
      </c>
      <c r="BN11" s="6" t="s">
        <v>24</v>
      </c>
      <c r="BO11" s="4" t="s">
        <v>23</v>
      </c>
      <c r="BP11" s="6" t="s">
        <v>24</v>
      </c>
      <c r="BQ11" s="4" t="s">
        <v>23</v>
      </c>
      <c r="BR11" s="6" t="s">
        <v>24</v>
      </c>
      <c r="BS11" s="4" t="s">
        <v>26</v>
      </c>
      <c r="BT11" s="5" t="s">
        <v>27</v>
      </c>
      <c r="BU11" s="4" t="s">
        <v>127</v>
      </c>
      <c r="BW11" s="4" t="s">
        <v>414</v>
      </c>
      <c r="BX11" s="12" t="s">
        <v>3</v>
      </c>
      <c r="BY11" s="3" t="s">
        <v>167</v>
      </c>
    </row>
    <row r="12" spans="1:77" x14ac:dyDescent="0.25">
      <c r="A12" s="29" t="s">
        <v>129</v>
      </c>
      <c r="B12" s="3" t="s">
        <v>7</v>
      </c>
      <c r="C12" s="1" t="s">
        <v>112</v>
      </c>
      <c r="D12" s="4" t="s">
        <v>8</v>
      </c>
      <c r="E12" s="1" t="s">
        <v>9</v>
      </c>
      <c r="F12" s="4" t="s">
        <v>125</v>
      </c>
      <c r="G12" s="1" t="s">
        <v>58</v>
      </c>
      <c r="H12" s="4" t="s">
        <v>11</v>
      </c>
      <c r="I12" s="1" t="s">
        <v>59</v>
      </c>
      <c r="J12" s="13" t="str">
        <f t="shared" si="0"/>
        <v>" title="DNK-S1 Copenhagen, Denmark"&gt;&amp;nbsp;&lt;/a&gt;&lt;div class="popup</v>
      </c>
      <c r="K12" s="5" t="str">
        <f t="shared" si="1"/>
        <v>cyan</v>
      </c>
      <c r="L12" s="4" t="s">
        <v>126</v>
      </c>
      <c r="M12" s="11" t="str">
        <f t="shared" si="2"/>
        <v>"DNK-S1-box"</v>
      </c>
      <c r="N12" s="4" t="s">
        <v>13</v>
      </c>
      <c r="O12" s="6" t="s">
        <v>60</v>
      </c>
      <c r="P12" s="7" t="s">
        <v>15</v>
      </c>
      <c r="Q12" s="8" t="s">
        <v>16</v>
      </c>
      <c r="R12" s="9" t="s">
        <v>17</v>
      </c>
      <c r="S12" s="8" t="s">
        <v>18</v>
      </c>
      <c r="T12" s="9" t="s">
        <v>435</v>
      </c>
      <c r="U12" s="14" t="s">
        <v>449</v>
      </c>
      <c r="V12" s="9" t="s">
        <v>436</v>
      </c>
      <c r="W12" s="14" t="s">
        <v>417</v>
      </c>
      <c r="X12" s="4" t="s">
        <v>220</v>
      </c>
      <c r="Y12" s="8" t="s">
        <v>19</v>
      </c>
      <c r="Z12" s="4" t="s">
        <v>170</v>
      </c>
      <c r="AA12" s="6" t="s">
        <v>20</v>
      </c>
      <c r="AB12" s="4" t="s">
        <v>172</v>
      </c>
      <c r="AD12" s="4" t="s">
        <v>174</v>
      </c>
      <c r="AE12" s="14" t="s">
        <v>361</v>
      </c>
      <c r="AF12" s="4" t="s">
        <v>175</v>
      </c>
      <c r="AG12" s="14" t="s">
        <v>360</v>
      </c>
      <c r="AH12" s="4" t="s">
        <v>235</v>
      </c>
      <c r="AI12" s="14" t="s">
        <v>308</v>
      </c>
      <c r="AJ12" s="4" t="s">
        <v>238</v>
      </c>
      <c r="AK12" s="14" t="s">
        <v>239</v>
      </c>
      <c r="AL12" s="4" t="s">
        <v>455</v>
      </c>
      <c r="AM12" s="14" t="s">
        <v>239</v>
      </c>
      <c r="AN12" s="4" t="s">
        <v>285</v>
      </c>
      <c r="AO12" s="6" t="s">
        <v>24</v>
      </c>
      <c r="AP12" s="4" t="s">
        <v>21</v>
      </c>
      <c r="AQ12" s="6" t="s">
        <v>293</v>
      </c>
      <c r="AR12" s="4" t="s">
        <v>23</v>
      </c>
      <c r="AS12" s="6" t="s">
        <v>362</v>
      </c>
      <c r="AT12" s="4" t="s">
        <v>23</v>
      </c>
      <c r="AU12" s="6" t="s">
        <v>363</v>
      </c>
      <c r="AV12" s="4" t="s">
        <v>23</v>
      </c>
      <c r="AW12" s="6" t="s">
        <v>364</v>
      </c>
      <c r="AX12" s="4" t="s">
        <v>23</v>
      </c>
      <c r="AY12" s="6" t="s">
        <v>24</v>
      </c>
      <c r="AZ12" s="13" t="str">
        <f t="shared" si="3"/>
        <v>&lt;br /&gt;</v>
      </c>
      <c r="BA12" s="6" t="s">
        <v>179</v>
      </c>
      <c r="BB12" s="4" t="s">
        <v>240</v>
      </c>
      <c r="BC12" s="6" t="s">
        <v>459</v>
      </c>
      <c r="BD12" s="4" t="s">
        <v>241</v>
      </c>
      <c r="BE12" s="6" t="s">
        <v>464</v>
      </c>
      <c r="BF12" s="5" t="str">
        <f t="shared" si="4"/>
        <v>&lt;br /&gt;&lt;i&gt;&lt;a href="mailto:moden@csc.com"</v>
      </c>
      <c r="BG12" s="13" t="s">
        <v>219</v>
      </c>
      <c r="BH12" s="14" t="s">
        <v>465</v>
      </c>
      <c r="BI12" s="4" t="s">
        <v>217</v>
      </c>
      <c r="BJ12" s="6" t="s">
        <v>24</v>
      </c>
      <c r="BK12" s="4" t="s">
        <v>23</v>
      </c>
      <c r="BL12" s="6" t="s">
        <v>24</v>
      </c>
      <c r="BM12" s="4" t="s">
        <v>23</v>
      </c>
      <c r="BN12" s="6" t="s">
        <v>24</v>
      </c>
      <c r="BO12" s="4" t="s">
        <v>23</v>
      </c>
      <c r="BP12" s="6" t="s">
        <v>24</v>
      </c>
      <c r="BQ12" s="4" t="s">
        <v>23</v>
      </c>
      <c r="BR12" s="6" t="s">
        <v>24</v>
      </c>
      <c r="BS12" s="4" t="s">
        <v>26</v>
      </c>
      <c r="BT12" s="5" t="s">
        <v>27</v>
      </c>
      <c r="BU12" s="4" t="s">
        <v>127</v>
      </c>
      <c r="BW12" s="4" t="s">
        <v>414</v>
      </c>
      <c r="BX12" s="12" t="s">
        <v>4</v>
      </c>
      <c r="BY12" s="3" t="s">
        <v>167</v>
      </c>
    </row>
    <row r="13" spans="1:77" x14ac:dyDescent="0.25">
      <c r="A13" s="30" t="s">
        <v>130</v>
      </c>
      <c r="B13" s="3" t="s">
        <v>7</v>
      </c>
      <c r="C13" s="1" t="s">
        <v>113</v>
      </c>
      <c r="D13" s="4" t="s">
        <v>8</v>
      </c>
      <c r="E13" s="1" t="s">
        <v>45</v>
      </c>
      <c r="F13" s="4" t="s">
        <v>125</v>
      </c>
      <c r="G13" s="1" t="s">
        <v>61</v>
      </c>
      <c r="H13" s="4" t="s">
        <v>11</v>
      </c>
      <c r="I13" s="1" t="s">
        <v>62</v>
      </c>
      <c r="J13" s="13" t="str">
        <f t="shared" si="0"/>
        <v>" title="PDC-R1 Pittsburgh-Coppell"&gt;&amp;nbsp;&lt;/a&gt;&lt;div class="popup</v>
      </c>
      <c r="K13" s="5" t="str">
        <f t="shared" si="1"/>
        <v>green</v>
      </c>
      <c r="L13" s="4" t="s">
        <v>126</v>
      </c>
      <c r="M13" s="11" t="str">
        <f t="shared" si="2"/>
        <v>"PDC-R1-box"</v>
      </c>
      <c r="N13" s="4" t="s">
        <v>13</v>
      </c>
      <c r="O13" s="6" t="s">
        <v>63</v>
      </c>
      <c r="P13" s="7" t="s">
        <v>15</v>
      </c>
      <c r="Q13" s="8" t="s">
        <v>16</v>
      </c>
      <c r="R13" s="9" t="s">
        <v>17</v>
      </c>
      <c r="S13" s="8" t="s">
        <v>18</v>
      </c>
      <c r="T13" s="9" t="s">
        <v>435</v>
      </c>
      <c r="U13" s="14" t="s">
        <v>450</v>
      </c>
      <c r="V13" s="9" t="s">
        <v>436</v>
      </c>
      <c r="W13" s="14" t="s">
        <v>430</v>
      </c>
      <c r="X13" s="4" t="s">
        <v>220</v>
      </c>
      <c r="Y13" s="8" t="s">
        <v>19</v>
      </c>
      <c r="Z13" s="4" t="s">
        <v>170</v>
      </c>
      <c r="AA13" s="6" t="s">
        <v>20</v>
      </c>
      <c r="AB13" s="4" t="s">
        <v>172</v>
      </c>
      <c r="AD13" s="4" t="s">
        <v>174</v>
      </c>
      <c r="AE13" s="14" t="s">
        <v>371</v>
      </c>
      <c r="AF13" s="4" t="s">
        <v>175</v>
      </c>
      <c r="AG13" s="14" t="s">
        <v>372</v>
      </c>
      <c r="AH13" s="4" t="s">
        <v>235</v>
      </c>
      <c r="AI13" s="14" t="s">
        <v>309</v>
      </c>
      <c r="AJ13" s="4" t="s">
        <v>238</v>
      </c>
      <c r="AK13" s="14" t="s">
        <v>239</v>
      </c>
      <c r="AL13" s="4" t="s">
        <v>455</v>
      </c>
      <c r="AM13" s="14" t="s">
        <v>239</v>
      </c>
      <c r="AN13" s="4" t="s">
        <v>285</v>
      </c>
      <c r="AO13" s="6" t="s">
        <v>24</v>
      </c>
      <c r="AP13" s="4" t="s">
        <v>21</v>
      </c>
      <c r="AQ13" s="6" t="s">
        <v>294</v>
      </c>
      <c r="AR13" s="4" t="s">
        <v>23</v>
      </c>
      <c r="AS13" s="6" t="s">
        <v>453</v>
      </c>
      <c r="AT13" s="4" t="s">
        <v>23</v>
      </c>
      <c r="AU13" s="6" t="s">
        <v>373</v>
      </c>
      <c r="AV13" s="4" t="s">
        <v>23</v>
      </c>
      <c r="AW13" s="6" t="s">
        <v>374</v>
      </c>
      <c r="AX13" s="4" t="s">
        <v>23</v>
      </c>
      <c r="AY13" s="6" t="s">
        <v>370</v>
      </c>
      <c r="AZ13" s="13" t="str">
        <f t="shared" si="3"/>
        <v>&lt;br /&gt;&lt;br /&gt;</v>
      </c>
      <c r="BA13" s="6" t="s">
        <v>179</v>
      </c>
      <c r="BB13" s="4" t="s">
        <v>240</v>
      </c>
      <c r="BC13" s="6" t="s">
        <v>64</v>
      </c>
      <c r="BD13" s="4" t="s">
        <v>241</v>
      </c>
      <c r="BE13" s="6" t="s">
        <v>195</v>
      </c>
      <c r="BF13" s="5" t="str">
        <f t="shared" si="4"/>
        <v>&lt;br /&gt;&lt;i&gt;&lt;a href="mailto:cdaughe2@csc.com"</v>
      </c>
      <c r="BG13" s="13" t="s">
        <v>219</v>
      </c>
      <c r="BH13" s="14" t="s">
        <v>196</v>
      </c>
      <c r="BI13" s="4" t="s">
        <v>217</v>
      </c>
      <c r="BJ13" s="6" t="s">
        <v>24</v>
      </c>
      <c r="BK13" s="4" t="s">
        <v>23</v>
      </c>
      <c r="BL13" s="6" t="s">
        <v>24</v>
      </c>
      <c r="BM13" s="4" t="s">
        <v>23</v>
      </c>
      <c r="BN13" s="6" t="s">
        <v>24</v>
      </c>
      <c r="BO13" s="4" t="s">
        <v>23</v>
      </c>
      <c r="BP13" s="6" t="s">
        <v>24</v>
      </c>
      <c r="BQ13" s="4" t="s">
        <v>23</v>
      </c>
      <c r="BR13" s="6" t="s">
        <v>24</v>
      </c>
      <c r="BS13" s="4" t="s">
        <v>26</v>
      </c>
      <c r="BT13" s="5" t="s">
        <v>27</v>
      </c>
      <c r="BU13" s="4" t="s">
        <v>127</v>
      </c>
      <c r="BW13" s="4" t="s">
        <v>414</v>
      </c>
      <c r="BX13" s="12" t="s">
        <v>5</v>
      </c>
      <c r="BY13" s="3" t="s">
        <v>167</v>
      </c>
    </row>
    <row r="14" spans="1:77" x14ac:dyDescent="0.25">
      <c r="A14" s="30" t="s">
        <v>130</v>
      </c>
      <c r="B14" s="3" t="s">
        <v>7</v>
      </c>
      <c r="C14" s="1" t="s">
        <v>113</v>
      </c>
      <c r="D14" s="4" t="s">
        <v>8</v>
      </c>
      <c r="E14" s="1" t="s">
        <v>45</v>
      </c>
      <c r="F14" s="4" t="s">
        <v>125</v>
      </c>
      <c r="G14" s="1" t="s">
        <v>65</v>
      </c>
      <c r="H14" s="4" t="s">
        <v>11</v>
      </c>
      <c r="I14" s="1" t="s">
        <v>66</v>
      </c>
      <c r="J14" s="13" t="str">
        <f t="shared" si="0"/>
        <v>" title="PDC-R1 Pittsburgh-Coppell"&gt;&amp;nbsp;&lt;/a&gt;&lt;div class="popup</v>
      </c>
      <c r="K14" s="5" t="str">
        <f t="shared" si="1"/>
        <v>green</v>
      </c>
      <c r="L14" s="4" t="s">
        <v>126</v>
      </c>
      <c r="M14" s="11" t="str">
        <f t="shared" si="2"/>
        <v>"PDC-R1-box"</v>
      </c>
      <c r="N14" s="4" t="s">
        <v>13</v>
      </c>
      <c r="O14" s="6" t="s">
        <v>63</v>
      </c>
      <c r="P14" s="7" t="s">
        <v>15</v>
      </c>
      <c r="Q14" s="8" t="s">
        <v>16</v>
      </c>
      <c r="R14" s="9" t="s">
        <v>17</v>
      </c>
      <c r="S14" s="8" t="s">
        <v>18</v>
      </c>
      <c r="T14" s="9" t="s">
        <v>435</v>
      </c>
      <c r="U14" s="14" t="s">
        <v>450</v>
      </c>
      <c r="V14" s="9" t="s">
        <v>436</v>
      </c>
      <c r="W14" s="14" t="s">
        <v>430</v>
      </c>
      <c r="X14" s="4" t="s">
        <v>220</v>
      </c>
      <c r="Y14" s="8" t="s">
        <v>19</v>
      </c>
      <c r="Z14" s="4" t="s">
        <v>170</v>
      </c>
      <c r="AA14" s="6" t="s">
        <v>20</v>
      </c>
      <c r="AB14" s="4" t="s">
        <v>172</v>
      </c>
      <c r="AD14" s="4" t="s">
        <v>174</v>
      </c>
      <c r="AE14" s="14" t="s">
        <v>365</v>
      </c>
      <c r="AF14" s="4" t="s">
        <v>175</v>
      </c>
      <c r="AG14" s="14" t="s">
        <v>366</v>
      </c>
      <c r="AH14" s="4" t="s">
        <v>235</v>
      </c>
      <c r="AI14" s="14" t="s">
        <v>309</v>
      </c>
      <c r="AJ14" s="4" t="s">
        <v>238</v>
      </c>
      <c r="AK14" s="14" t="s">
        <v>239</v>
      </c>
      <c r="AL14" s="4" t="s">
        <v>455</v>
      </c>
      <c r="AM14" s="14" t="s">
        <v>239</v>
      </c>
      <c r="AN14" s="4" t="s">
        <v>285</v>
      </c>
      <c r="AO14" s="6" t="s">
        <v>24</v>
      </c>
      <c r="AP14" s="4" t="s">
        <v>21</v>
      </c>
      <c r="AQ14" s="6" t="s">
        <v>294</v>
      </c>
      <c r="AR14" s="4" t="s">
        <v>23</v>
      </c>
      <c r="AS14" s="6" t="s">
        <v>367</v>
      </c>
      <c r="AT14" s="4" t="s">
        <v>23</v>
      </c>
      <c r="AU14" s="6" t="s">
        <v>368</v>
      </c>
      <c r="AV14" s="4" t="s">
        <v>23</v>
      </c>
      <c r="AW14" s="6" t="s">
        <v>369</v>
      </c>
      <c r="AX14" s="4" t="s">
        <v>23</v>
      </c>
      <c r="AY14" s="6" t="s">
        <v>370</v>
      </c>
      <c r="AZ14" s="13" t="str">
        <f t="shared" ref="AZ14" si="5">IF(TRIM(AY14)="","&lt;br /&gt;","&lt;br /&gt;&lt;br /&gt;")</f>
        <v>&lt;br /&gt;&lt;br /&gt;</v>
      </c>
      <c r="BA14" s="6" t="s">
        <v>179</v>
      </c>
      <c r="BB14" s="4" t="s">
        <v>240</v>
      </c>
      <c r="BC14" s="6" t="s">
        <v>64</v>
      </c>
      <c r="BD14" s="4" t="s">
        <v>241</v>
      </c>
      <c r="BE14" s="6" t="s">
        <v>195</v>
      </c>
      <c r="BF14" s="5" t="str">
        <f t="shared" ref="BF14" si="6">"&lt;br /&gt;&lt;i&gt;&lt;a href="&amp;"""mailto:"&amp;BH14&amp;""""</f>
        <v>&lt;br /&gt;&lt;i&gt;&lt;a href="mailto:cdaughe2@csc.com"</v>
      </c>
      <c r="BG14" s="13" t="s">
        <v>219</v>
      </c>
      <c r="BH14" s="14" t="s">
        <v>196</v>
      </c>
      <c r="BI14" s="4" t="s">
        <v>217</v>
      </c>
      <c r="BJ14" s="6" t="s">
        <v>24</v>
      </c>
      <c r="BK14" s="4" t="s">
        <v>23</v>
      </c>
      <c r="BL14" s="6" t="s">
        <v>24</v>
      </c>
      <c r="BM14" s="4" t="s">
        <v>23</v>
      </c>
      <c r="BN14" s="6" t="s">
        <v>24</v>
      </c>
      <c r="BO14" s="4" t="s">
        <v>23</v>
      </c>
      <c r="BP14" s="6" t="s">
        <v>24</v>
      </c>
      <c r="BQ14" s="4" t="s">
        <v>23</v>
      </c>
      <c r="BR14" s="6" t="s">
        <v>24</v>
      </c>
      <c r="BS14" s="4" t="s">
        <v>26</v>
      </c>
      <c r="BT14" s="5" t="s">
        <v>27</v>
      </c>
      <c r="BU14" s="4" t="s">
        <v>127</v>
      </c>
      <c r="BW14" s="4" t="s">
        <v>414</v>
      </c>
      <c r="BX14" s="12" t="s">
        <v>5</v>
      </c>
      <c r="BY14" s="3" t="s">
        <v>167</v>
      </c>
    </row>
    <row r="15" spans="1:77" x14ac:dyDescent="0.25">
      <c r="A15" s="30" t="s">
        <v>130</v>
      </c>
      <c r="B15" s="3" t="s">
        <v>7</v>
      </c>
      <c r="C15" s="1" t="s">
        <v>114</v>
      </c>
      <c r="D15" s="4" t="s">
        <v>8</v>
      </c>
      <c r="E15" s="1" t="s">
        <v>45</v>
      </c>
      <c r="F15" s="4" t="s">
        <v>125</v>
      </c>
      <c r="G15" s="1" t="s">
        <v>67</v>
      </c>
      <c r="H15" s="4" t="s">
        <v>11</v>
      </c>
      <c r="I15" s="1" t="s">
        <v>68</v>
      </c>
      <c r="J15" s="13" t="str">
        <f t="shared" si="0"/>
        <v>" title="EHT-R1 East Hartford, CT"&gt;&amp;nbsp;&lt;/a&gt;&lt;div class="popup</v>
      </c>
      <c r="K15" s="5" t="str">
        <f t="shared" si="1"/>
        <v>green</v>
      </c>
      <c r="L15" s="4" t="s">
        <v>126</v>
      </c>
      <c r="M15" s="11" t="str">
        <f t="shared" si="2"/>
        <v>"EHT-R1-box"</v>
      </c>
      <c r="N15" s="4" t="s">
        <v>13</v>
      </c>
      <c r="O15" s="6" t="s">
        <v>69</v>
      </c>
      <c r="P15" s="7" t="s">
        <v>15</v>
      </c>
      <c r="Q15" s="8" t="s">
        <v>16</v>
      </c>
      <c r="R15" s="9" t="s">
        <v>17</v>
      </c>
      <c r="S15" s="8" t="s">
        <v>18</v>
      </c>
      <c r="T15" s="9" t="s">
        <v>435</v>
      </c>
      <c r="U15" s="14" t="s">
        <v>451</v>
      </c>
      <c r="V15" s="9" t="s">
        <v>436</v>
      </c>
      <c r="W15" s="14" t="s">
        <v>418</v>
      </c>
      <c r="X15" s="4" t="s">
        <v>220</v>
      </c>
      <c r="Y15" s="8" t="s">
        <v>19</v>
      </c>
      <c r="Z15" s="4" t="s">
        <v>170</v>
      </c>
      <c r="AA15" s="6" t="s">
        <v>20</v>
      </c>
      <c r="AB15" s="4" t="s">
        <v>172</v>
      </c>
      <c r="AD15" s="4" t="s">
        <v>174</v>
      </c>
      <c r="AE15" s="14" t="s">
        <v>376</v>
      </c>
      <c r="AF15" s="4" t="s">
        <v>175</v>
      </c>
      <c r="AG15" s="14" t="s">
        <v>375</v>
      </c>
      <c r="AH15" s="4" t="s">
        <v>235</v>
      </c>
      <c r="AI15" s="14" t="s">
        <v>310</v>
      </c>
      <c r="AJ15" s="4" t="s">
        <v>238</v>
      </c>
      <c r="AK15" s="14" t="s">
        <v>239</v>
      </c>
      <c r="AL15" s="4" t="s">
        <v>455</v>
      </c>
      <c r="AM15" s="14" t="s">
        <v>239</v>
      </c>
      <c r="AN15" s="4" t="s">
        <v>285</v>
      </c>
      <c r="AO15" s="6" t="s">
        <v>24</v>
      </c>
      <c r="AP15" s="4" t="s">
        <v>21</v>
      </c>
      <c r="AQ15" s="6" t="s">
        <v>295</v>
      </c>
      <c r="AR15" s="4" t="s">
        <v>23</v>
      </c>
      <c r="AS15" s="6" t="s">
        <v>382</v>
      </c>
      <c r="AT15" s="4" t="s">
        <v>23</v>
      </c>
      <c r="AU15" s="6" t="s">
        <v>383</v>
      </c>
      <c r="AV15" s="4" t="s">
        <v>23</v>
      </c>
      <c r="AW15" s="6" t="s">
        <v>384</v>
      </c>
      <c r="AX15" s="4" t="s">
        <v>23</v>
      </c>
      <c r="AY15" s="6" t="s">
        <v>370</v>
      </c>
      <c r="AZ15" s="13" t="str">
        <f t="shared" si="3"/>
        <v>&lt;br /&gt;&lt;br /&gt;</v>
      </c>
      <c r="BA15" s="6" t="s">
        <v>179</v>
      </c>
      <c r="BB15" s="4" t="s">
        <v>240</v>
      </c>
      <c r="BC15" s="6" t="s">
        <v>460</v>
      </c>
      <c r="BD15" s="4" t="s">
        <v>241</v>
      </c>
      <c r="BE15" s="6" t="s">
        <v>197</v>
      </c>
      <c r="BF15" s="5" t="str">
        <f t="shared" si="4"/>
        <v>&lt;br /&gt;&lt;i&gt;&lt;a href="mailto:mpatel24@csc.com"</v>
      </c>
      <c r="BG15" s="13" t="s">
        <v>219</v>
      </c>
      <c r="BH15" s="14" t="s">
        <v>198</v>
      </c>
      <c r="BI15" s="4" t="s">
        <v>217</v>
      </c>
      <c r="BJ15" s="6" t="s">
        <v>24</v>
      </c>
      <c r="BK15" s="4" t="s">
        <v>23</v>
      </c>
      <c r="BL15" s="6" t="s">
        <v>24</v>
      </c>
      <c r="BM15" s="4" t="s">
        <v>23</v>
      </c>
      <c r="BN15" s="6" t="s">
        <v>24</v>
      </c>
      <c r="BO15" s="4" t="s">
        <v>23</v>
      </c>
      <c r="BP15" s="6" t="s">
        <v>24</v>
      </c>
      <c r="BQ15" s="4" t="s">
        <v>23</v>
      </c>
      <c r="BR15" s="6" t="s">
        <v>24</v>
      </c>
      <c r="BS15" s="4" t="s">
        <v>26</v>
      </c>
      <c r="BT15" s="5" t="s">
        <v>27</v>
      </c>
      <c r="BU15" s="4" t="s">
        <v>127</v>
      </c>
      <c r="BW15" s="4" t="s">
        <v>414</v>
      </c>
      <c r="BX15" s="12" t="s">
        <v>5</v>
      </c>
      <c r="BY15" s="3" t="s">
        <v>167</v>
      </c>
    </row>
    <row r="16" spans="1:77" x14ac:dyDescent="0.25">
      <c r="A16" s="30" t="s">
        <v>130</v>
      </c>
      <c r="B16" s="3" t="s">
        <v>7</v>
      </c>
      <c r="C16" s="1" t="s">
        <v>115</v>
      </c>
      <c r="D16" s="4" t="s">
        <v>8</v>
      </c>
      <c r="E16" s="1" t="s">
        <v>70</v>
      </c>
      <c r="F16" s="4" t="s">
        <v>125</v>
      </c>
      <c r="G16" s="1" t="s">
        <v>71</v>
      </c>
      <c r="H16" s="4" t="s">
        <v>11</v>
      </c>
      <c r="I16" s="1" t="s">
        <v>72</v>
      </c>
      <c r="J16" s="13" t="str">
        <f t="shared" si="0"/>
        <v>" title="USA-MF Falls Church, VA"&gt;&amp;nbsp;&lt;/a&gt;&lt;div class="popup</v>
      </c>
      <c r="K16" s="5" t="str">
        <f t="shared" si="1"/>
        <v>red</v>
      </c>
      <c r="L16" s="4" t="s">
        <v>126</v>
      </c>
      <c r="M16" s="11" t="str">
        <f t="shared" si="2"/>
        <v>"USA-MF-box"</v>
      </c>
      <c r="N16" s="4" t="s">
        <v>13</v>
      </c>
      <c r="O16" s="6" t="s">
        <v>73</v>
      </c>
      <c r="P16" s="7" t="s">
        <v>15</v>
      </c>
      <c r="Q16" s="8" t="s">
        <v>16</v>
      </c>
      <c r="R16" s="9" t="s">
        <v>17</v>
      </c>
      <c r="S16" s="8" t="s">
        <v>18</v>
      </c>
      <c r="T16" s="9" t="s">
        <v>435</v>
      </c>
      <c r="U16" s="14" t="s">
        <v>452</v>
      </c>
      <c r="V16" s="9" t="s">
        <v>436</v>
      </c>
      <c r="W16" s="14" t="s">
        <v>432</v>
      </c>
      <c r="X16" s="4" t="s">
        <v>220</v>
      </c>
      <c r="Y16" s="8" t="s">
        <v>19</v>
      </c>
      <c r="Z16" s="4" t="s">
        <v>170</v>
      </c>
      <c r="AA16" s="6" t="s">
        <v>20</v>
      </c>
      <c r="AB16" s="4" t="s">
        <v>172</v>
      </c>
      <c r="AD16" s="4" t="s">
        <v>174</v>
      </c>
      <c r="AE16" s="14" t="s">
        <v>378</v>
      </c>
      <c r="AF16" s="4" t="s">
        <v>175</v>
      </c>
      <c r="AG16" s="14" t="s">
        <v>377</v>
      </c>
      <c r="AH16" s="4" t="s">
        <v>235</v>
      </c>
      <c r="AI16" s="14" t="s">
        <v>311</v>
      </c>
      <c r="AJ16" s="4" t="s">
        <v>238</v>
      </c>
      <c r="AK16" s="14" t="s">
        <v>239</v>
      </c>
      <c r="AL16" s="4" t="s">
        <v>455</v>
      </c>
      <c r="AM16" s="14" t="s">
        <v>239</v>
      </c>
      <c r="AN16" s="4" t="s">
        <v>285</v>
      </c>
      <c r="AO16" s="6" t="s">
        <v>24</v>
      </c>
      <c r="AP16" s="4" t="s">
        <v>21</v>
      </c>
      <c r="AQ16" s="6" t="s">
        <v>295</v>
      </c>
      <c r="AR16" s="4" t="s">
        <v>23</v>
      </c>
      <c r="AS16" s="6" t="s">
        <v>379</v>
      </c>
      <c r="AT16" s="4" t="s">
        <v>23</v>
      </c>
      <c r="AU16" s="6" t="s">
        <v>380</v>
      </c>
      <c r="AV16" s="4" t="s">
        <v>23</v>
      </c>
      <c r="AW16" s="6" t="s">
        <v>381</v>
      </c>
      <c r="AX16" s="4" t="s">
        <v>23</v>
      </c>
      <c r="AY16" s="6" t="s">
        <v>370</v>
      </c>
      <c r="AZ16" s="13" t="str">
        <f t="shared" si="3"/>
        <v>&lt;br /&gt;&lt;br /&gt;</v>
      </c>
      <c r="BA16" s="6" t="s">
        <v>179</v>
      </c>
      <c r="BB16" s="4" t="s">
        <v>240</v>
      </c>
      <c r="BC16" s="6" t="s">
        <v>199</v>
      </c>
      <c r="BD16" s="4" t="s">
        <v>241</v>
      </c>
      <c r="BE16" s="6" t="s">
        <v>200</v>
      </c>
      <c r="BF16" s="5" t="str">
        <f t="shared" si="4"/>
        <v>&lt;br /&gt;&lt;i&gt;&lt;a href="mailto:jhardy6@csc.com"</v>
      </c>
      <c r="BG16" s="13" t="s">
        <v>219</v>
      </c>
      <c r="BH16" s="14" t="s">
        <v>201</v>
      </c>
      <c r="BI16" s="4" t="s">
        <v>217</v>
      </c>
      <c r="BJ16" s="6" t="s">
        <v>24</v>
      </c>
      <c r="BK16" s="4" t="s">
        <v>23</v>
      </c>
      <c r="BL16" s="6" t="s">
        <v>24</v>
      </c>
      <c r="BM16" s="4" t="s">
        <v>23</v>
      </c>
      <c r="BN16" s="6" t="s">
        <v>24</v>
      </c>
      <c r="BO16" s="4" t="s">
        <v>23</v>
      </c>
      <c r="BP16" s="6" t="s">
        <v>24</v>
      </c>
      <c r="BQ16" s="4" t="s">
        <v>23</v>
      </c>
      <c r="BR16" s="6" t="s">
        <v>24</v>
      </c>
      <c r="BS16" s="4" t="s">
        <v>26</v>
      </c>
      <c r="BT16" s="5" t="s">
        <v>27</v>
      </c>
      <c r="BU16" s="4" t="s">
        <v>127</v>
      </c>
      <c r="BW16" s="4" t="s">
        <v>414</v>
      </c>
      <c r="BY16" s="3" t="s">
        <v>167</v>
      </c>
    </row>
    <row r="17" spans="1:77" x14ac:dyDescent="0.25">
      <c r="A17" s="31" t="s">
        <v>131</v>
      </c>
      <c r="B17" s="3" t="s">
        <v>7</v>
      </c>
      <c r="C17" s="1" t="s">
        <v>116</v>
      </c>
      <c r="D17" s="4" t="s">
        <v>8</v>
      </c>
      <c r="E17" s="1" t="s">
        <v>70</v>
      </c>
      <c r="F17" s="4" t="s">
        <v>125</v>
      </c>
      <c r="G17" s="1" t="s">
        <v>75</v>
      </c>
      <c r="H17" s="4" t="s">
        <v>11</v>
      </c>
      <c r="I17" s="1" t="s">
        <v>76</v>
      </c>
      <c r="J17" s="13" t="str">
        <f t="shared" si="0"/>
        <v>" title="CHE-MF Chennai, India"&gt;&amp;nbsp;&lt;/a&gt;&lt;div class="popup</v>
      </c>
      <c r="K17" s="5" t="str">
        <f t="shared" si="1"/>
        <v>red</v>
      </c>
      <c r="L17" s="4" t="s">
        <v>126</v>
      </c>
      <c r="M17" s="11" t="str">
        <f t="shared" si="2"/>
        <v>"CHE-MF-box"</v>
      </c>
      <c r="N17" s="4" t="s">
        <v>13</v>
      </c>
      <c r="O17" s="6" t="s">
        <v>77</v>
      </c>
      <c r="P17" s="7" t="s">
        <v>15</v>
      </c>
      <c r="Q17" s="8" t="s">
        <v>16</v>
      </c>
      <c r="R17" s="9" t="s">
        <v>17</v>
      </c>
      <c r="S17" s="8" t="s">
        <v>18</v>
      </c>
      <c r="T17" s="9" t="s">
        <v>435</v>
      </c>
      <c r="U17" s="6" t="s">
        <v>24</v>
      </c>
      <c r="V17" s="9" t="s">
        <v>436</v>
      </c>
      <c r="W17" s="6" t="s">
        <v>24</v>
      </c>
      <c r="X17" s="4" t="s">
        <v>220</v>
      </c>
      <c r="Y17" s="8" t="s">
        <v>19</v>
      </c>
      <c r="Z17" s="4" t="s">
        <v>170</v>
      </c>
      <c r="AA17" s="6" t="s">
        <v>20</v>
      </c>
      <c r="AB17" s="4" t="s">
        <v>172</v>
      </c>
      <c r="AD17" s="4" t="s">
        <v>174</v>
      </c>
      <c r="AE17" s="14" t="s">
        <v>385</v>
      </c>
      <c r="AF17" s="4" t="s">
        <v>175</v>
      </c>
      <c r="AG17" s="14" t="s">
        <v>386</v>
      </c>
      <c r="AH17" s="4" t="s">
        <v>235</v>
      </c>
      <c r="AI17" s="14" t="s">
        <v>312</v>
      </c>
      <c r="AJ17" s="4" t="s">
        <v>238</v>
      </c>
      <c r="AK17" s="14" t="s">
        <v>239</v>
      </c>
      <c r="AL17" s="4" t="s">
        <v>455</v>
      </c>
      <c r="AM17" s="14" t="s">
        <v>239</v>
      </c>
      <c r="AN17" s="4" t="s">
        <v>285</v>
      </c>
      <c r="AO17" s="6" t="s">
        <v>24</v>
      </c>
      <c r="AP17" s="4" t="s">
        <v>21</v>
      </c>
      <c r="AQ17" s="6" t="s">
        <v>296</v>
      </c>
      <c r="AR17" s="4" t="s">
        <v>23</v>
      </c>
      <c r="AS17" s="6" t="s">
        <v>387</v>
      </c>
      <c r="AT17" s="4" t="s">
        <v>23</v>
      </c>
      <c r="AU17" s="6" t="s">
        <v>388</v>
      </c>
      <c r="AV17" s="4" t="s">
        <v>23</v>
      </c>
      <c r="AW17" s="6" t="s">
        <v>389</v>
      </c>
      <c r="AX17" s="4" t="s">
        <v>23</v>
      </c>
      <c r="AY17" s="6" t="s">
        <v>78</v>
      </c>
      <c r="AZ17" s="13" t="str">
        <f t="shared" si="3"/>
        <v>&lt;br /&gt;&lt;br /&gt;</v>
      </c>
      <c r="BA17" s="6" t="s">
        <v>179</v>
      </c>
      <c r="BB17" s="4" t="s">
        <v>240</v>
      </c>
      <c r="BC17" s="6" t="s">
        <v>461</v>
      </c>
      <c r="BD17" s="4" t="s">
        <v>241</v>
      </c>
      <c r="BE17" s="6" t="s">
        <v>74</v>
      </c>
      <c r="BF17" s="5" t="str">
        <f t="shared" si="4"/>
        <v>&lt;br /&gt;&lt;i&gt;&lt;a href="mailto: "</v>
      </c>
      <c r="BG17" s="13" t="s">
        <v>219</v>
      </c>
      <c r="BH17" s="6" t="s">
        <v>24</v>
      </c>
      <c r="BI17" s="4" t="s">
        <v>217</v>
      </c>
      <c r="BJ17" s="6" t="s">
        <v>24</v>
      </c>
      <c r="BK17" s="4" t="s">
        <v>23</v>
      </c>
      <c r="BL17" s="6" t="s">
        <v>24</v>
      </c>
      <c r="BM17" s="4" t="s">
        <v>23</v>
      </c>
      <c r="BN17" s="6" t="s">
        <v>24</v>
      </c>
      <c r="BO17" s="4" t="s">
        <v>23</v>
      </c>
      <c r="BP17" s="6" t="s">
        <v>24</v>
      </c>
      <c r="BQ17" s="4" t="s">
        <v>23</v>
      </c>
      <c r="BR17" s="6" t="s">
        <v>24</v>
      </c>
      <c r="BS17" s="4" t="s">
        <v>26</v>
      </c>
      <c r="BT17" s="5" t="s">
        <v>27</v>
      </c>
      <c r="BU17" s="4" t="s">
        <v>127</v>
      </c>
      <c r="BW17" s="4" t="s">
        <v>414</v>
      </c>
      <c r="BY17" s="3" t="s">
        <v>167</v>
      </c>
    </row>
    <row r="18" spans="1:77" x14ac:dyDescent="0.25">
      <c r="A18" s="31" t="s">
        <v>131</v>
      </c>
      <c r="B18" s="3" t="s">
        <v>7</v>
      </c>
      <c r="C18" s="1" t="s">
        <v>117</v>
      </c>
      <c r="D18" s="4" t="s">
        <v>8</v>
      </c>
      <c r="E18" s="1" t="s">
        <v>79</v>
      </c>
      <c r="F18" s="4" t="s">
        <v>125</v>
      </c>
      <c r="G18" s="1" t="s">
        <v>80</v>
      </c>
      <c r="H18" s="4" t="s">
        <v>11</v>
      </c>
      <c r="I18" s="1" t="s">
        <v>38</v>
      </c>
      <c r="J18" s="13" t="str">
        <f t="shared" si="0"/>
        <v>" title="HYD-P1 Hyderabad, India"&gt;&amp;nbsp;&lt;/a&gt;&lt;div class="popup</v>
      </c>
      <c r="K18" s="5" t="str">
        <f t="shared" si="1"/>
        <v>purple</v>
      </c>
      <c r="L18" s="4" t="s">
        <v>126</v>
      </c>
      <c r="M18" s="11" t="str">
        <f t="shared" si="2"/>
        <v>"HYD-P1-box"</v>
      </c>
      <c r="N18" s="4" t="s">
        <v>13</v>
      </c>
      <c r="O18" s="6" t="s">
        <v>81</v>
      </c>
      <c r="P18" s="7" t="s">
        <v>15</v>
      </c>
      <c r="Q18" s="8" t="s">
        <v>16</v>
      </c>
      <c r="R18" s="9" t="s">
        <v>17</v>
      </c>
      <c r="S18" s="8" t="s">
        <v>18</v>
      </c>
      <c r="T18" s="9" t="s">
        <v>435</v>
      </c>
      <c r="U18" s="14" t="s">
        <v>439</v>
      </c>
      <c r="V18" s="9" t="s">
        <v>436</v>
      </c>
      <c r="W18" s="14" t="s">
        <v>420</v>
      </c>
      <c r="X18" s="4" t="s">
        <v>220</v>
      </c>
      <c r="Y18" s="8" t="s">
        <v>19</v>
      </c>
      <c r="Z18" s="4" t="s">
        <v>170</v>
      </c>
      <c r="AA18" s="6" t="s">
        <v>20</v>
      </c>
      <c r="AB18" s="4" t="s">
        <v>172</v>
      </c>
      <c r="AD18" s="4" t="s">
        <v>174</v>
      </c>
      <c r="AE18" s="14" t="s">
        <v>390</v>
      </c>
      <c r="AF18" s="4" t="s">
        <v>175</v>
      </c>
      <c r="AG18" s="14" t="s">
        <v>391</v>
      </c>
      <c r="AH18" s="4" t="s">
        <v>235</v>
      </c>
      <c r="AI18" s="14" t="s">
        <v>315</v>
      </c>
      <c r="AJ18" s="4" t="s">
        <v>238</v>
      </c>
      <c r="AK18" s="14" t="s">
        <v>239</v>
      </c>
      <c r="AL18" s="4" t="s">
        <v>455</v>
      </c>
      <c r="AM18" s="14" t="s">
        <v>239</v>
      </c>
      <c r="AN18" s="4" t="s">
        <v>285</v>
      </c>
      <c r="AO18" s="6" t="s">
        <v>24</v>
      </c>
      <c r="AP18" s="4" t="s">
        <v>21</v>
      </c>
      <c r="AQ18" s="6" t="s">
        <v>296</v>
      </c>
      <c r="AR18" s="4" t="s">
        <v>23</v>
      </c>
      <c r="AS18" s="6" t="s">
        <v>392</v>
      </c>
      <c r="AT18" s="4" t="s">
        <v>23</v>
      </c>
      <c r="AU18" s="28" t="s">
        <v>393</v>
      </c>
      <c r="AV18" s="4" t="s">
        <v>23</v>
      </c>
      <c r="AW18" s="6" t="s">
        <v>394</v>
      </c>
      <c r="AX18" s="4" t="s">
        <v>23</v>
      </c>
      <c r="AY18" s="6" t="s">
        <v>78</v>
      </c>
      <c r="AZ18" s="13" t="str">
        <f t="shared" si="3"/>
        <v>&lt;br /&gt;&lt;br /&gt;</v>
      </c>
      <c r="BA18" s="6" t="s">
        <v>179</v>
      </c>
      <c r="BB18" s="4" t="s">
        <v>240</v>
      </c>
      <c r="BC18" s="6" t="s">
        <v>462</v>
      </c>
      <c r="BD18" s="4" t="s">
        <v>241</v>
      </c>
      <c r="BE18" s="6" t="s">
        <v>202</v>
      </c>
      <c r="BF18" s="5" t="str">
        <f t="shared" si="4"/>
        <v>&lt;br /&gt;&lt;i&gt;&lt;a href="mailto:rchulliparam@csc.com"</v>
      </c>
      <c r="BG18" s="13" t="s">
        <v>219</v>
      </c>
      <c r="BH18" s="14" t="s">
        <v>203</v>
      </c>
      <c r="BI18" s="4" t="s">
        <v>217</v>
      </c>
      <c r="BJ18" s="6" t="s">
        <v>24</v>
      </c>
      <c r="BK18" s="4" t="s">
        <v>23</v>
      </c>
      <c r="BL18" s="6" t="s">
        <v>24</v>
      </c>
      <c r="BM18" s="4" t="s">
        <v>23</v>
      </c>
      <c r="BN18" s="6" t="s">
        <v>24</v>
      </c>
      <c r="BO18" s="4" t="s">
        <v>23</v>
      </c>
      <c r="BP18" s="6" t="s">
        <v>24</v>
      </c>
      <c r="BQ18" s="4" t="s">
        <v>23</v>
      </c>
      <c r="BR18" s="6" t="s">
        <v>24</v>
      </c>
      <c r="BS18" s="4" t="s">
        <v>26</v>
      </c>
      <c r="BT18" s="5" t="s">
        <v>27</v>
      </c>
      <c r="BU18" s="4" t="s">
        <v>127</v>
      </c>
      <c r="BW18" s="4" t="s">
        <v>414</v>
      </c>
      <c r="BX18" s="12" t="s">
        <v>0</v>
      </c>
      <c r="BY18" s="3" t="s">
        <v>167</v>
      </c>
    </row>
    <row r="19" spans="1:77" x14ac:dyDescent="0.25">
      <c r="A19" s="31" t="s">
        <v>131</v>
      </c>
      <c r="B19" s="3" t="s">
        <v>7</v>
      </c>
      <c r="C19" s="1" t="s">
        <v>118</v>
      </c>
      <c r="D19" s="4" t="s">
        <v>8</v>
      </c>
      <c r="E19" s="1" t="s">
        <v>82</v>
      </c>
      <c r="F19" s="4" t="s">
        <v>125</v>
      </c>
      <c r="G19" s="1" t="s">
        <v>83</v>
      </c>
      <c r="H19" s="4" t="s">
        <v>11</v>
      </c>
      <c r="I19" s="1" t="s">
        <v>84</v>
      </c>
      <c r="J19" s="13" t="str">
        <f t="shared" si="0"/>
        <v>" title="HYD-W1 Hyderabad, India"&gt;&amp;nbsp;&lt;/a&gt;&lt;div class="popup</v>
      </c>
      <c r="K19" s="5" t="str">
        <f t="shared" si="1"/>
        <v>yellow</v>
      </c>
      <c r="L19" s="4" t="s">
        <v>126</v>
      </c>
      <c r="M19" s="11" t="str">
        <f t="shared" si="2"/>
        <v>"HYD-W1-box"</v>
      </c>
      <c r="N19" s="4" t="s">
        <v>13</v>
      </c>
      <c r="O19" s="6" t="s">
        <v>85</v>
      </c>
      <c r="P19" s="7" t="s">
        <v>15</v>
      </c>
      <c r="Q19" s="8" t="s">
        <v>16</v>
      </c>
      <c r="R19" s="9" t="s">
        <v>17</v>
      </c>
      <c r="S19" s="8" t="s">
        <v>18</v>
      </c>
      <c r="T19" s="9" t="s">
        <v>435</v>
      </c>
      <c r="U19" s="14" t="s">
        <v>440</v>
      </c>
      <c r="V19" s="9" t="s">
        <v>436</v>
      </c>
      <c r="W19" s="14" t="s">
        <v>421</v>
      </c>
      <c r="X19" s="4" t="s">
        <v>220</v>
      </c>
      <c r="Y19" s="8" t="s">
        <v>19</v>
      </c>
      <c r="Z19" s="4" t="s">
        <v>170</v>
      </c>
      <c r="AA19" s="6" t="s">
        <v>20</v>
      </c>
      <c r="AB19" s="4" t="s">
        <v>172</v>
      </c>
      <c r="AD19" s="4" t="s">
        <v>174</v>
      </c>
      <c r="AE19" s="14" t="s">
        <v>390</v>
      </c>
      <c r="AF19" s="4" t="s">
        <v>175</v>
      </c>
      <c r="AG19" s="14" t="s">
        <v>391</v>
      </c>
      <c r="AH19" s="4" t="s">
        <v>235</v>
      </c>
      <c r="AI19" s="14" t="s">
        <v>314</v>
      </c>
      <c r="AJ19" s="4" t="s">
        <v>238</v>
      </c>
      <c r="AK19" s="14" t="s">
        <v>239</v>
      </c>
      <c r="AL19" s="4" t="s">
        <v>455</v>
      </c>
      <c r="AM19" s="14" t="s">
        <v>239</v>
      </c>
      <c r="AN19" s="4" t="s">
        <v>285</v>
      </c>
      <c r="AO19" s="6" t="s">
        <v>24</v>
      </c>
      <c r="AP19" s="4" t="s">
        <v>21</v>
      </c>
      <c r="AQ19" s="6" t="s">
        <v>296</v>
      </c>
      <c r="AR19" s="4" t="s">
        <v>23</v>
      </c>
      <c r="AS19" s="6" t="s">
        <v>392</v>
      </c>
      <c r="AT19" s="4" t="s">
        <v>23</v>
      </c>
      <c r="AU19" s="28" t="s">
        <v>393</v>
      </c>
      <c r="AV19" s="4" t="s">
        <v>23</v>
      </c>
      <c r="AW19" s="6" t="s">
        <v>395</v>
      </c>
      <c r="AX19" s="4" t="s">
        <v>23</v>
      </c>
      <c r="AY19" s="6" t="s">
        <v>78</v>
      </c>
      <c r="AZ19" s="13" t="str">
        <f t="shared" si="3"/>
        <v>&lt;br /&gt;&lt;br /&gt;</v>
      </c>
      <c r="BA19" s="6" t="s">
        <v>179</v>
      </c>
      <c r="BB19" s="4" t="s">
        <v>240</v>
      </c>
      <c r="BC19" s="6" t="s">
        <v>204</v>
      </c>
      <c r="BD19" s="4" t="s">
        <v>241</v>
      </c>
      <c r="BE19" s="6" t="s">
        <v>205</v>
      </c>
      <c r="BF19" s="5" t="str">
        <f t="shared" si="4"/>
        <v>&lt;br /&gt;&lt;i&gt;&lt;a href="mailto:smannem@csc.com"</v>
      </c>
      <c r="BG19" s="13" t="s">
        <v>219</v>
      </c>
      <c r="BH19" s="14" t="s">
        <v>206</v>
      </c>
      <c r="BI19" s="4" t="s">
        <v>217</v>
      </c>
      <c r="BJ19" s="6" t="s">
        <v>24</v>
      </c>
      <c r="BK19" s="4" t="s">
        <v>23</v>
      </c>
      <c r="BL19" s="6" t="s">
        <v>24</v>
      </c>
      <c r="BM19" s="4" t="s">
        <v>23</v>
      </c>
      <c r="BN19" s="6" t="s">
        <v>24</v>
      </c>
      <c r="BO19" s="4" t="s">
        <v>23</v>
      </c>
      <c r="BP19" s="6" t="s">
        <v>24</v>
      </c>
      <c r="BQ19" s="4" t="s">
        <v>23</v>
      </c>
      <c r="BR19" s="6" t="s">
        <v>24</v>
      </c>
      <c r="BS19" s="4" t="s">
        <v>26</v>
      </c>
      <c r="BT19" s="5" t="s">
        <v>27</v>
      </c>
      <c r="BU19" s="4" t="s">
        <v>127</v>
      </c>
      <c r="BW19" s="4" t="s">
        <v>414</v>
      </c>
      <c r="BX19" s="12" t="s">
        <v>2</v>
      </c>
      <c r="BY19" s="3" t="s">
        <v>167</v>
      </c>
    </row>
    <row r="20" spans="1:77" x14ac:dyDescent="0.25">
      <c r="A20" s="31" t="s">
        <v>131</v>
      </c>
      <c r="B20" s="3" t="s">
        <v>7</v>
      </c>
      <c r="C20" s="1" t="s">
        <v>119</v>
      </c>
      <c r="D20" s="4" t="s">
        <v>8</v>
      </c>
      <c r="E20" s="1" t="s">
        <v>86</v>
      </c>
      <c r="F20" s="4" t="s">
        <v>125</v>
      </c>
      <c r="G20" s="1" t="s">
        <v>87</v>
      </c>
      <c r="H20" s="4" t="s">
        <v>11</v>
      </c>
      <c r="I20" s="1" t="s">
        <v>88</v>
      </c>
      <c r="J20" s="13" t="str">
        <f t="shared" si="0"/>
        <v>" title="HYD-CL Hyderabad, India"&gt;&amp;nbsp;&lt;/a&gt;&lt;div class="popup</v>
      </c>
      <c r="K20" s="5" t="str">
        <f t="shared" si="1"/>
        <v>silver</v>
      </c>
      <c r="L20" s="4" t="s">
        <v>126</v>
      </c>
      <c r="M20" s="11" t="str">
        <f t="shared" si="2"/>
        <v>"HYD-CL-box"</v>
      </c>
      <c r="N20" s="4" t="s">
        <v>13</v>
      </c>
      <c r="O20" s="6" t="s">
        <v>89</v>
      </c>
      <c r="P20" s="7" t="s">
        <v>15</v>
      </c>
      <c r="Q20" s="8" t="s">
        <v>16</v>
      </c>
      <c r="R20" s="9" t="s">
        <v>17</v>
      </c>
      <c r="S20" s="8" t="s">
        <v>18</v>
      </c>
      <c r="T20" s="9" t="s">
        <v>435</v>
      </c>
      <c r="U20" s="6" t="s">
        <v>24</v>
      </c>
      <c r="V20" s="9" t="s">
        <v>436</v>
      </c>
      <c r="W20" s="6" t="s">
        <v>24</v>
      </c>
      <c r="X20" s="4" t="s">
        <v>220</v>
      </c>
      <c r="Y20" s="8" t="s">
        <v>19</v>
      </c>
      <c r="Z20" s="4" t="s">
        <v>170</v>
      </c>
      <c r="AA20" s="6" t="s">
        <v>20</v>
      </c>
      <c r="AB20" s="4" t="s">
        <v>172</v>
      </c>
      <c r="AD20" s="4" t="s">
        <v>174</v>
      </c>
      <c r="AE20" s="14" t="s">
        <v>390</v>
      </c>
      <c r="AF20" s="4" t="s">
        <v>175</v>
      </c>
      <c r="AG20" s="14" t="s">
        <v>391</v>
      </c>
      <c r="AH20" s="4" t="s">
        <v>235</v>
      </c>
      <c r="AI20" s="14" t="s">
        <v>313</v>
      </c>
      <c r="AJ20" s="4" t="s">
        <v>238</v>
      </c>
      <c r="AK20" s="14" t="s">
        <v>239</v>
      </c>
      <c r="AL20" s="4" t="s">
        <v>455</v>
      </c>
      <c r="AM20" s="14" t="s">
        <v>239</v>
      </c>
      <c r="AN20" s="4" t="s">
        <v>285</v>
      </c>
      <c r="AO20" s="6" t="s">
        <v>24</v>
      </c>
      <c r="AP20" s="4" t="s">
        <v>21</v>
      </c>
      <c r="AQ20" s="6" t="s">
        <v>296</v>
      </c>
      <c r="AR20" s="4" t="s">
        <v>23</v>
      </c>
      <c r="AS20" s="6" t="s">
        <v>392</v>
      </c>
      <c r="AT20" s="4" t="s">
        <v>23</v>
      </c>
      <c r="AU20" s="28" t="s">
        <v>393</v>
      </c>
      <c r="AV20" s="4" t="s">
        <v>23</v>
      </c>
      <c r="AW20" s="6" t="s">
        <v>396</v>
      </c>
      <c r="AX20" s="4" t="s">
        <v>23</v>
      </c>
      <c r="AY20" s="6" t="s">
        <v>78</v>
      </c>
      <c r="AZ20" s="13" t="str">
        <f t="shared" si="3"/>
        <v>&lt;br /&gt;&lt;br /&gt;</v>
      </c>
      <c r="BA20" s="6" t="s">
        <v>179</v>
      </c>
      <c r="BB20" s="4" t="s">
        <v>240</v>
      </c>
      <c r="BC20" s="6" t="s">
        <v>463</v>
      </c>
      <c r="BD20" s="4" t="s">
        <v>241</v>
      </c>
      <c r="BE20" s="6" t="s">
        <v>202</v>
      </c>
      <c r="BF20" s="5" t="str">
        <f t="shared" si="4"/>
        <v>&lt;br /&gt;&lt;i&gt;&lt;a href="mailto:rchulliparam@csc.com"</v>
      </c>
      <c r="BG20" s="13" t="s">
        <v>219</v>
      </c>
      <c r="BH20" s="14" t="s">
        <v>203</v>
      </c>
      <c r="BI20" s="4" t="s">
        <v>217</v>
      </c>
      <c r="BJ20" s="6" t="s">
        <v>24</v>
      </c>
      <c r="BK20" s="4" t="s">
        <v>23</v>
      </c>
      <c r="BL20" s="6" t="s">
        <v>24</v>
      </c>
      <c r="BM20" s="4" t="s">
        <v>23</v>
      </c>
      <c r="BN20" s="6" t="s">
        <v>24</v>
      </c>
      <c r="BO20" s="4" t="s">
        <v>23</v>
      </c>
      <c r="BP20" s="6" t="s">
        <v>24</v>
      </c>
      <c r="BQ20" s="4" t="s">
        <v>23</v>
      </c>
      <c r="BR20" s="6" t="s">
        <v>24</v>
      </c>
      <c r="BS20" s="4" t="s">
        <v>26</v>
      </c>
      <c r="BT20" s="5" t="s">
        <v>27</v>
      </c>
      <c r="BU20" s="4" t="s">
        <v>127</v>
      </c>
      <c r="BW20" s="4" t="s">
        <v>414</v>
      </c>
      <c r="BY20" s="3" t="s">
        <v>167</v>
      </c>
    </row>
    <row r="21" spans="1:77" x14ac:dyDescent="0.25">
      <c r="A21" s="31" t="s">
        <v>131</v>
      </c>
      <c r="B21" s="3" t="s">
        <v>7</v>
      </c>
      <c r="C21" s="1" t="s">
        <v>120</v>
      </c>
      <c r="D21" s="4" t="s">
        <v>8</v>
      </c>
      <c r="E21" s="1" t="s">
        <v>79</v>
      </c>
      <c r="F21" s="4" t="s">
        <v>125</v>
      </c>
      <c r="G21" s="1" t="s">
        <v>90</v>
      </c>
      <c r="H21" s="4" t="s">
        <v>11</v>
      </c>
      <c r="I21" s="1" t="s">
        <v>91</v>
      </c>
      <c r="J21" s="13" t="str">
        <f t="shared" si="0"/>
        <v>" title="NOI-P1 Noida, India"&gt;&amp;nbsp;&lt;/a&gt;&lt;div class="popup</v>
      </c>
      <c r="K21" s="5" t="str">
        <f t="shared" si="1"/>
        <v>purple</v>
      </c>
      <c r="L21" s="4" t="s">
        <v>126</v>
      </c>
      <c r="M21" s="11" t="str">
        <f t="shared" si="2"/>
        <v>"NOI-P1-box"</v>
      </c>
      <c r="N21" s="4" t="s">
        <v>13</v>
      </c>
      <c r="O21" s="6" t="s">
        <v>92</v>
      </c>
      <c r="P21" s="7" t="s">
        <v>15</v>
      </c>
      <c r="Q21" s="8" t="s">
        <v>16</v>
      </c>
      <c r="R21" s="9" t="s">
        <v>17</v>
      </c>
      <c r="S21" s="8" t="s">
        <v>18</v>
      </c>
      <c r="T21" s="9" t="s">
        <v>435</v>
      </c>
      <c r="U21" s="14" t="s">
        <v>441</v>
      </c>
      <c r="V21" s="9" t="s">
        <v>436</v>
      </c>
      <c r="W21" s="14" t="s">
        <v>425</v>
      </c>
      <c r="X21" s="4" t="s">
        <v>220</v>
      </c>
      <c r="Y21" s="8" t="s">
        <v>19</v>
      </c>
      <c r="Z21" s="4" t="s">
        <v>170</v>
      </c>
      <c r="AA21" s="6" t="s">
        <v>20</v>
      </c>
      <c r="AB21" s="4" t="s">
        <v>172</v>
      </c>
      <c r="AD21" s="4" t="s">
        <v>174</v>
      </c>
      <c r="AE21" s="14" t="s">
        <v>398</v>
      </c>
      <c r="AF21" s="4" t="s">
        <v>175</v>
      </c>
      <c r="AG21" s="14" t="s">
        <v>397</v>
      </c>
      <c r="AH21" s="4" t="s">
        <v>235</v>
      </c>
      <c r="AI21" s="14" t="s">
        <v>316</v>
      </c>
      <c r="AJ21" s="4" t="s">
        <v>238</v>
      </c>
      <c r="AK21" s="14" t="s">
        <v>239</v>
      </c>
      <c r="AL21" s="4" t="s">
        <v>455</v>
      </c>
      <c r="AM21" s="14" t="s">
        <v>239</v>
      </c>
      <c r="AN21" s="4" t="s">
        <v>285</v>
      </c>
      <c r="AO21" s="6" t="s">
        <v>24</v>
      </c>
      <c r="AP21" s="4" t="s">
        <v>21</v>
      </c>
      <c r="AQ21" s="6" t="s">
        <v>296</v>
      </c>
      <c r="AR21" s="4" t="s">
        <v>23</v>
      </c>
      <c r="AS21" s="6" t="s">
        <v>399</v>
      </c>
      <c r="AT21" s="4" t="s">
        <v>23</v>
      </c>
      <c r="AU21" s="6" t="s">
        <v>400</v>
      </c>
      <c r="AV21" s="4" t="s">
        <v>23</v>
      </c>
      <c r="AW21" s="6" t="s">
        <v>401</v>
      </c>
      <c r="AX21" s="4" t="s">
        <v>23</v>
      </c>
      <c r="AY21" s="6" t="s">
        <v>78</v>
      </c>
      <c r="AZ21" s="13" t="str">
        <f t="shared" si="3"/>
        <v>&lt;br /&gt;&lt;br /&gt;</v>
      </c>
      <c r="BA21" s="6" t="s">
        <v>179</v>
      </c>
      <c r="BB21" s="4" t="s">
        <v>240</v>
      </c>
      <c r="BC21" s="6" t="s">
        <v>93</v>
      </c>
      <c r="BD21" s="4" t="s">
        <v>241</v>
      </c>
      <c r="BE21" s="6" t="s">
        <v>207</v>
      </c>
      <c r="BF21" s="5" t="str">
        <f t="shared" si="4"/>
        <v>&lt;br /&gt;&lt;i&gt;&lt;a href="mailto:asehgal@csc.com"</v>
      </c>
      <c r="BG21" s="13" t="s">
        <v>219</v>
      </c>
      <c r="BH21" s="14" t="s">
        <v>208</v>
      </c>
      <c r="BI21" s="4" t="s">
        <v>217</v>
      </c>
      <c r="BJ21" s="6" t="s">
        <v>24</v>
      </c>
      <c r="BK21" s="4" t="s">
        <v>23</v>
      </c>
      <c r="BL21" s="6" t="s">
        <v>24</v>
      </c>
      <c r="BM21" s="4" t="s">
        <v>23</v>
      </c>
      <c r="BN21" s="6" t="s">
        <v>24</v>
      </c>
      <c r="BO21" s="4" t="s">
        <v>23</v>
      </c>
      <c r="BP21" s="6" t="s">
        <v>24</v>
      </c>
      <c r="BQ21" s="4" t="s">
        <v>23</v>
      </c>
      <c r="BR21" s="6" t="s">
        <v>24</v>
      </c>
      <c r="BS21" s="4" t="s">
        <v>26</v>
      </c>
      <c r="BT21" s="5" t="s">
        <v>27</v>
      </c>
      <c r="BU21" s="4" t="s">
        <v>127</v>
      </c>
      <c r="BW21" s="4" t="s">
        <v>414</v>
      </c>
      <c r="BX21" s="12" t="s">
        <v>0</v>
      </c>
      <c r="BY21" s="3" t="s">
        <v>167</v>
      </c>
    </row>
    <row r="22" spans="1:77" x14ac:dyDescent="0.25">
      <c r="A22" s="31" t="s">
        <v>131</v>
      </c>
      <c r="B22" s="3" t="s">
        <v>7</v>
      </c>
      <c r="C22" s="1" t="s">
        <v>121</v>
      </c>
      <c r="D22" s="4" t="s">
        <v>8</v>
      </c>
      <c r="E22" s="1" t="s">
        <v>79</v>
      </c>
      <c r="F22" s="4" t="s">
        <v>125</v>
      </c>
      <c r="G22" s="1" t="s">
        <v>94</v>
      </c>
      <c r="H22" s="4" t="s">
        <v>11</v>
      </c>
      <c r="I22" s="1" t="s">
        <v>95</v>
      </c>
      <c r="J22" s="13" t="str">
        <f t="shared" si="0"/>
        <v>" title="NOI-P2 Noida, India"&gt;&amp;nbsp;&lt;/a&gt;&lt;div class="popup</v>
      </c>
      <c r="K22" s="5" t="str">
        <f t="shared" si="1"/>
        <v>purple</v>
      </c>
      <c r="L22" s="4" t="s">
        <v>126</v>
      </c>
      <c r="M22" s="11" t="str">
        <f t="shared" si="2"/>
        <v>"NOI-P2-box"</v>
      </c>
      <c r="N22" s="4" t="s">
        <v>13</v>
      </c>
      <c r="O22" s="6" t="s">
        <v>96</v>
      </c>
      <c r="P22" s="7" t="s">
        <v>15</v>
      </c>
      <c r="Q22" s="8" t="s">
        <v>16</v>
      </c>
      <c r="R22" s="9" t="s">
        <v>17</v>
      </c>
      <c r="S22" s="8" t="s">
        <v>18</v>
      </c>
      <c r="T22" s="9" t="s">
        <v>435</v>
      </c>
      <c r="U22" s="14" t="s">
        <v>442</v>
      </c>
      <c r="V22" s="9" t="s">
        <v>436</v>
      </c>
      <c r="W22" s="14" t="s">
        <v>426</v>
      </c>
      <c r="X22" s="4" t="s">
        <v>220</v>
      </c>
      <c r="Y22" s="8" t="s">
        <v>19</v>
      </c>
      <c r="Z22" s="4" t="s">
        <v>170</v>
      </c>
      <c r="AA22" s="6" t="s">
        <v>20</v>
      </c>
      <c r="AB22" s="4" t="s">
        <v>172</v>
      </c>
      <c r="AD22" s="4" t="s">
        <v>174</v>
      </c>
      <c r="AE22" s="14" t="s">
        <v>398</v>
      </c>
      <c r="AF22" s="4" t="s">
        <v>175</v>
      </c>
      <c r="AG22" s="14" t="s">
        <v>397</v>
      </c>
      <c r="AH22" s="4" t="s">
        <v>235</v>
      </c>
      <c r="AI22" s="14" t="s">
        <v>317</v>
      </c>
      <c r="AJ22" s="4" t="s">
        <v>238</v>
      </c>
      <c r="AK22" s="14" t="s">
        <v>239</v>
      </c>
      <c r="AL22" s="4" t="s">
        <v>455</v>
      </c>
      <c r="AM22" s="14" t="s">
        <v>239</v>
      </c>
      <c r="AN22" s="4" t="s">
        <v>285</v>
      </c>
      <c r="AO22" s="6" t="s">
        <v>24</v>
      </c>
      <c r="AP22" s="4" t="s">
        <v>21</v>
      </c>
      <c r="AQ22" s="6" t="s">
        <v>296</v>
      </c>
      <c r="AR22" s="4" t="s">
        <v>23</v>
      </c>
      <c r="AS22" s="6" t="s">
        <v>399</v>
      </c>
      <c r="AT22" s="4" t="s">
        <v>23</v>
      </c>
      <c r="AU22" s="6" t="s">
        <v>402</v>
      </c>
      <c r="AV22" s="4" t="s">
        <v>23</v>
      </c>
      <c r="AW22" s="6" t="s">
        <v>406</v>
      </c>
      <c r="AX22" s="4" t="s">
        <v>23</v>
      </c>
      <c r="AY22" s="6" t="s">
        <v>78</v>
      </c>
      <c r="AZ22" s="13" t="str">
        <f t="shared" si="3"/>
        <v>&lt;br /&gt;&lt;br /&gt;</v>
      </c>
      <c r="BA22" s="6" t="s">
        <v>179</v>
      </c>
      <c r="BB22" s="4" t="s">
        <v>240</v>
      </c>
      <c r="BC22" s="6" t="s">
        <v>209</v>
      </c>
      <c r="BD22" s="4" t="s">
        <v>241</v>
      </c>
      <c r="BE22" s="6" t="s">
        <v>210</v>
      </c>
      <c r="BF22" s="5" t="str">
        <f t="shared" si="4"/>
        <v>&lt;br /&gt;&lt;i&gt;&lt;a href="mailto:mbhatia5@csc.com"</v>
      </c>
      <c r="BG22" s="13" t="s">
        <v>219</v>
      </c>
      <c r="BH22" s="14" t="s">
        <v>211</v>
      </c>
      <c r="BI22" s="4" t="s">
        <v>217</v>
      </c>
      <c r="BJ22" s="6" t="s">
        <v>24</v>
      </c>
      <c r="BK22" s="4" t="s">
        <v>23</v>
      </c>
      <c r="BL22" s="6" t="s">
        <v>24</v>
      </c>
      <c r="BM22" s="4" t="s">
        <v>23</v>
      </c>
      <c r="BN22" s="6" t="s">
        <v>24</v>
      </c>
      <c r="BO22" s="4" t="s">
        <v>23</v>
      </c>
      <c r="BP22" s="6" t="s">
        <v>24</v>
      </c>
      <c r="BQ22" s="4" t="s">
        <v>23</v>
      </c>
      <c r="BR22" s="6" t="s">
        <v>24</v>
      </c>
      <c r="BS22" s="4" t="s">
        <v>26</v>
      </c>
      <c r="BT22" s="5" t="s">
        <v>27</v>
      </c>
      <c r="BU22" s="4" t="s">
        <v>127</v>
      </c>
      <c r="BW22" s="4" t="s">
        <v>414</v>
      </c>
      <c r="BX22" s="12" t="s">
        <v>0</v>
      </c>
      <c r="BY22" s="3" t="s">
        <v>167</v>
      </c>
    </row>
    <row r="23" spans="1:77" x14ac:dyDescent="0.25">
      <c r="A23" s="31" t="s">
        <v>131</v>
      </c>
      <c r="B23" s="3" t="s">
        <v>7</v>
      </c>
      <c r="C23" s="1" t="s">
        <v>122</v>
      </c>
      <c r="D23" s="4" t="s">
        <v>8</v>
      </c>
      <c r="E23" s="1" t="s">
        <v>79</v>
      </c>
      <c r="F23" s="4" t="s">
        <v>125</v>
      </c>
      <c r="G23" s="1" t="s">
        <v>97</v>
      </c>
      <c r="H23" s="4" t="s">
        <v>11</v>
      </c>
      <c r="I23" s="1" t="s">
        <v>98</v>
      </c>
      <c r="J23" s="13" t="str">
        <f t="shared" si="0"/>
        <v>" title="NOI-P3 Noida, India"&gt;&amp;nbsp;&lt;/a&gt;&lt;div class="popup</v>
      </c>
      <c r="K23" s="5" t="str">
        <f t="shared" si="1"/>
        <v>purple</v>
      </c>
      <c r="L23" s="4" t="s">
        <v>126</v>
      </c>
      <c r="M23" s="11" t="str">
        <f t="shared" si="2"/>
        <v>"NOI-P3-box"</v>
      </c>
      <c r="N23" s="4" t="s">
        <v>13</v>
      </c>
      <c r="O23" s="6" t="s">
        <v>99</v>
      </c>
      <c r="P23" s="7" t="s">
        <v>15</v>
      </c>
      <c r="Q23" s="8" t="s">
        <v>16</v>
      </c>
      <c r="R23" s="9" t="s">
        <v>17</v>
      </c>
      <c r="S23" s="8" t="s">
        <v>18</v>
      </c>
      <c r="T23" s="9" t="s">
        <v>435</v>
      </c>
      <c r="U23" s="14" t="s">
        <v>443</v>
      </c>
      <c r="V23" s="9" t="s">
        <v>436</v>
      </c>
      <c r="W23" s="14" t="s">
        <v>427</v>
      </c>
      <c r="X23" s="4" t="s">
        <v>220</v>
      </c>
      <c r="Y23" s="8" t="s">
        <v>19</v>
      </c>
      <c r="Z23" s="4" t="s">
        <v>170</v>
      </c>
      <c r="AA23" s="6" t="s">
        <v>20</v>
      </c>
      <c r="AB23" s="4" t="s">
        <v>172</v>
      </c>
      <c r="AD23" s="4" t="s">
        <v>174</v>
      </c>
      <c r="AE23" s="14" t="s">
        <v>398</v>
      </c>
      <c r="AF23" s="4" t="s">
        <v>175</v>
      </c>
      <c r="AG23" s="14" t="s">
        <v>397</v>
      </c>
      <c r="AH23" s="4" t="s">
        <v>235</v>
      </c>
      <c r="AI23" s="14" t="s">
        <v>318</v>
      </c>
      <c r="AJ23" s="4" t="s">
        <v>238</v>
      </c>
      <c r="AK23" s="14" t="s">
        <v>239</v>
      </c>
      <c r="AL23" s="4" t="s">
        <v>455</v>
      </c>
      <c r="AM23" s="14" t="s">
        <v>239</v>
      </c>
      <c r="AN23" s="4" t="s">
        <v>285</v>
      </c>
      <c r="AO23" s="6" t="s">
        <v>24</v>
      </c>
      <c r="AP23" s="4" t="s">
        <v>21</v>
      </c>
      <c r="AQ23" s="6" t="s">
        <v>296</v>
      </c>
      <c r="AR23" s="4" t="s">
        <v>23</v>
      </c>
      <c r="AS23" s="6" t="s">
        <v>399</v>
      </c>
      <c r="AT23" s="4" t="s">
        <v>23</v>
      </c>
      <c r="AU23" s="6" t="s">
        <v>403</v>
      </c>
      <c r="AV23" s="4" t="s">
        <v>23</v>
      </c>
      <c r="AW23" s="6" t="s">
        <v>407</v>
      </c>
      <c r="AX23" s="4" t="s">
        <v>23</v>
      </c>
      <c r="AY23" s="6" t="s">
        <v>78</v>
      </c>
      <c r="AZ23" s="13" t="str">
        <f t="shared" si="3"/>
        <v>&lt;br /&gt;&lt;br /&gt;</v>
      </c>
      <c r="BA23" s="6" t="s">
        <v>179</v>
      </c>
      <c r="BB23" s="4" t="s">
        <v>240</v>
      </c>
      <c r="BC23" s="6" t="s">
        <v>212</v>
      </c>
      <c r="BD23" s="4" t="s">
        <v>241</v>
      </c>
      <c r="BE23" s="6" t="s">
        <v>213</v>
      </c>
      <c r="BF23" s="5" t="str">
        <f t="shared" si="4"/>
        <v>&lt;br /&gt;&lt;i&gt;&lt;a href="mailto:tsarkar@csc.com"</v>
      </c>
      <c r="BG23" s="13" t="s">
        <v>219</v>
      </c>
      <c r="BH23" s="14" t="s">
        <v>215</v>
      </c>
      <c r="BI23" s="4" t="s">
        <v>217</v>
      </c>
      <c r="BJ23" s="6" t="s">
        <v>24</v>
      </c>
      <c r="BK23" s="4" t="s">
        <v>23</v>
      </c>
      <c r="BL23" s="6" t="s">
        <v>24</v>
      </c>
      <c r="BM23" s="4" t="s">
        <v>23</v>
      </c>
      <c r="BN23" s="6" t="s">
        <v>24</v>
      </c>
      <c r="BO23" s="4" t="s">
        <v>23</v>
      </c>
      <c r="BP23" s="6" t="s">
        <v>24</v>
      </c>
      <c r="BQ23" s="4" t="s">
        <v>23</v>
      </c>
      <c r="BR23" s="6" t="s">
        <v>24</v>
      </c>
      <c r="BS23" s="4" t="s">
        <v>26</v>
      </c>
      <c r="BT23" s="5" t="s">
        <v>27</v>
      </c>
      <c r="BU23" s="4" t="s">
        <v>127</v>
      </c>
      <c r="BW23" s="4" t="s">
        <v>414</v>
      </c>
      <c r="BX23" s="12" t="s">
        <v>0</v>
      </c>
      <c r="BY23" s="3" t="s">
        <v>167</v>
      </c>
    </row>
    <row r="24" spans="1:77" x14ac:dyDescent="0.25">
      <c r="A24" s="31" t="s">
        <v>131</v>
      </c>
      <c r="B24" s="3" t="s">
        <v>7</v>
      </c>
      <c r="C24" s="1" t="s">
        <v>123</v>
      </c>
      <c r="D24" s="4" t="s">
        <v>8</v>
      </c>
      <c r="E24" s="1" t="s">
        <v>82</v>
      </c>
      <c r="F24" s="4" t="s">
        <v>125</v>
      </c>
      <c r="G24" s="1" t="s">
        <v>97</v>
      </c>
      <c r="H24" s="4" t="s">
        <v>11</v>
      </c>
      <c r="I24" s="1" t="s">
        <v>100</v>
      </c>
      <c r="J24" s="13" t="str">
        <f t="shared" si="0"/>
        <v>" title="NOI-W1 Noida, India"&gt;&amp;nbsp;&lt;/a&gt;&lt;div class="popup</v>
      </c>
      <c r="K24" s="5" t="str">
        <f t="shared" si="1"/>
        <v>yellow</v>
      </c>
      <c r="L24" s="4" t="s">
        <v>126</v>
      </c>
      <c r="M24" s="11" t="str">
        <f t="shared" si="2"/>
        <v>"NOI-W1-box"</v>
      </c>
      <c r="N24" s="4" t="s">
        <v>13</v>
      </c>
      <c r="O24" s="6" t="s">
        <v>101</v>
      </c>
      <c r="P24" s="7" t="s">
        <v>15</v>
      </c>
      <c r="Q24" s="8" t="s">
        <v>16</v>
      </c>
      <c r="R24" s="9" t="s">
        <v>17</v>
      </c>
      <c r="S24" s="8" t="s">
        <v>18</v>
      </c>
      <c r="T24" s="9" t="s">
        <v>435</v>
      </c>
      <c r="U24" s="14" t="s">
        <v>444</v>
      </c>
      <c r="V24" s="9" t="s">
        <v>436</v>
      </c>
      <c r="W24" s="14" t="s">
        <v>428</v>
      </c>
      <c r="X24" s="4" t="s">
        <v>220</v>
      </c>
      <c r="Y24" s="8" t="s">
        <v>19</v>
      </c>
      <c r="Z24" s="4" t="s">
        <v>170</v>
      </c>
      <c r="AA24" s="6" t="s">
        <v>20</v>
      </c>
      <c r="AB24" s="4" t="s">
        <v>172</v>
      </c>
      <c r="AD24" s="4" t="s">
        <v>174</v>
      </c>
      <c r="AE24" s="14" t="s">
        <v>398</v>
      </c>
      <c r="AF24" s="4" t="s">
        <v>175</v>
      </c>
      <c r="AG24" s="14" t="s">
        <v>397</v>
      </c>
      <c r="AH24" s="4" t="s">
        <v>235</v>
      </c>
      <c r="AI24" s="14" t="s">
        <v>319</v>
      </c>
      <c r="AJ24" s="4" t="s">
        <v>238</v>
      </c>
      <c r="AK24" s="14" t="s">
        <v>239</v>
      </c>
      <c r="AL24" s="4" t="s">
        <v>455</v>
      </c>
      <c r="AM24" s="14" t="s">
        <v>239</v>
      </c>
      <c r="AN24" s="4" t="s">
        <v>285</v>
      </c>
      <c r="AO24" s="6" t="s">
        <v>24</v>
      </c>
      <c r="AP24" s="4" t="s">
        <v>21</v>
      </c>
      <c r="AQ24" s="6" t="s">
        <v>296</v>
      </c>
      <c r="AR24" s="4" t="s">
        <v>23</v>
      </c>
      <c r="AS24" s="6" t="s">
        <v>399</v>
      </c>
      <c r="AT24" s="4" t="s">
        <v>23</v>
      </c>
      <c r="AU24" s="6" t="s">
        <v>404</v>
      </c>
      <c r="AV24" s="4" t="s">
        <v>23</v>
      </c>
      <c r="AW24" s="6" t="s">
        <v>408</v>
      </c>
      <c r="AX24" s="4" t="s">
        <v>23</v>
      </c>
      <c r="AY24" s="6" t="s">
        <v>78</v>
      </c>
      <c r="AZ24" s="13" t="str">
        <f t="shared" si="3"/>
        <v>&lt;br /&gt;&lt;br /&gt;</v>
      </c>
      <c r="BA24" s="6" t="s">
        <v>179</v>
      </c>
      <c r="BB24" s="4" t="s">
        <v>240</v>
      </c>
      <c r="BC24" s="6" t="s">
        <v>184</v>
      </c>
      <c r="BD24" s="4" t="s">
        <v>241</v>
      </c>
      <c r="BE24" s="6" t="s">
        <v>207</v>
      </c>
      <c r="BF24" s="5" t="str">
        <f t="shared" si="4"/>
        <v>&lt;br /&gt;&lt;i&gt;&lt;a href="mailto:asehgal@csc.com"</v>
      </c>
      <c r="BG24" s="13" t="s">
        <v>219</v>
      </c>
      <c r="BH24" s="14" t="s">
        <v>208</v>
      </c>
      <c r="BI24" s="4" t="s">
        <v>217</v>
      </c>
      <c r="BJ24" s="6" t="s">
        <v>24</v>
      </c>
      <c r="BK24" s="4" t="s">
        <v>23</v>
      </c>
      <c r="BL24" s="6" t="s">
        <v>24</v>
      </c>
      <c r="BM24" s="4" t="s">
        <v>23</v>
      </c>
      <c r="BN24" s="6" t="s">
        <v>24</v>
      </c>
      <c r="BO24" s="4" t="s">
        <v>23</v>
      </c>
      <c r="BP24" s="6" t="s">
        <v>24</v>
      </c>
      <c r="BQ24" s="4" t="s">
        <v>23</v>
      </c>
      <c r="BR24" s="6" t="s">
        <v>24</v>
      </c>
      <c r="BS24" s="4" t="s">
        <v>26</v>
      </c>
      <c r="BT24" s="5" t="s">
        <v>27</v>
      </c>
      <c r="BU24" s="4" t="s">
        <v>127</v>
      </c>
      <c r="BW24" s="4" t="s">
        <v>414</v>
      </c>
      <c r="BX24" s="12" t="s">
        <v>2</v>
      </c>
      <c r="BY24" s="3" t="s">
        <v>167</v>
      </c>
    </row>
    <row r="25" spans="1:77" x14ac:dyDescent="0.25">
      <c r="A25" s="31" t="s">
        <v>131</v>
      </c>
      <c r="B25" s="3" t="s">
        <v>7</v>
      </c>
      <c r="C25" s="1" t="s">
        <v>124</v>
      </c>
      <c r="D25" s="4" t="s">
        <v>8</v>
      </c>
      <c r="E25" s="1" t="s">
        <v>82</v>
      </c>
      <c r="F25" s="4" t="s">
        <v>125</v>
      </c>
      <c r="G25" s="1" t="s">
        <v>102</v>
      </c>
      <c r="H25" s="4" t="s">
        <v>11</v>
      </c>
      <c r="I25" s="1" t="s">
        <v>103</v>
      </c>
      <c r="J25" s="13" t="str">
        <f t="shared" si="0"/>
        <v>" title="NOI-W2 Noida, India"&gt;&amp;nbsp;&lt;/a&gt;&lt;div class="popup</v>
      </c>
      <c r="K25" s="5" t="str">
        <f t="shared" si="1"/>
        <v>yellow</v>
      </c>
      <c r="L25" s="4" t="s">
        <v>126</v>
      </c>
      <c r="M25" s="11" t="str">
        <f t="shared" si="2"/>
        <v>"NOI-W2-box"</v>
      </c>
      <c r="N25" s="4" t="s">
        <v>13</v>
      </c>
      <c r="O25" s="6" t="s">
        <v>104</v>
      </c>
      <c r="P25" s="7" t="s">
        <v>15</v>
      </c>
      <c r="Q25" s="8" t="s">
        <v>16</v>
      </c>
      <c r="R25" s="9" t="s">
        <v>17</v>
      </c>
      <c r="S25" s="8" t="s">
        <v>18</v>
      </c>
      <c r="T25" s="9" t="s">
        <v>435</v>
      </c>
      <c r="U25" s="14" t="s">
        <v>445</v>
      </c>
      <c r="V25" s="9" t="s">
        <v>436</v>
      </c>
      <c r="W25" s="14" t="s">
        <v>429</v>
      </c>
      <c r="X25" s="4" t="s">
        <v>220</v>
      </c>
      <c r="Y25" s="8" t="s">
        <v>19</v>
      </c>
      <c r="Z25" s="4" t="s">
        <v>170</v>
      </c>
      <c r="AA25" s="6" t="s">
        <v>20</v>
      </c>
      <c r="AB25" s="4" t="s">
        <v>172</v>
      </c>
      <c r="AD25" s="4" t="s">
        <v>174</v>
      </c>
      <c r="AE25" s="14" t="s">
        <v>398</v>
      </c>
      <c r="AF25" s="4" t="s">
        <v>175</v>
      </c>
      <c r="AG25" s="14" t="s">
        <v>397</v>
      </c>
      <c r="AH25" s="4" t="s">
        <v>235</v>
      </c>
      <c r="AI25" s="14" t="s">
        <v>320</v>
      </c>
      <c r="AJ25" s="4" t="s">
        <v>238</v>
      </c>
      <c r="AK25" s="14" t="s">
        <v>239</v>
      </c>
      <c r="AL25" s="4" t="s">
        <v>455</v>
      </c>
      <c r="AM25" s="14" t="s">
        <v>239</v>
      </c>
      <c r="AN25" s="4" t="s">
        <v>285</v>
      </c>
      <c r="AO25" s="6" t="s">
        <v>24</v>
      </c>
      <c r="AP25" s="4" t="s">
        <v>21</v>
      </c>
      <c r="AQ25" s="6" t="s">
        <v>296</v>
      </c>
      <c r="AR25" s="4" t="s">
        <v>23</v>
      </c>
      <c r="AS25" s="6" t="s">
        <v>399</v>
      </c>
      <c r="AT25" s="4" t="s">
        <v>23</v>
      </c>
      <c r="AU25" s="6" t="s">
        <v>405</v>
      </c>
      <c r="AV25" s="4" t="s">
        <v>23</v>
      </c>
      <c r="AW25" s="6" t="s">
        <v>409</v>
      </c>
      <c r="AX25" s="4" t="s">
        <v>23</v>
      </c>
      <c r="AY25" s="6" t="s">
        <v>78</v>
      </c>
      <c r="AZ25" s="13" t="str">
        <f t="shared" si="3"/>
        <v>&lt;br /&gt;&lt;br /&gt;</v>
      </c>
      <c r="BA25" s="6" t="s">
        <v>179</v>
      </c>
      <c r="BB25" s="4" t="s">
        <v>240</v>
      </c>
      <c r="BC25" s="6" t="s">
        <v>214</v>
      </c>
      <c r="BD25" s="4" t="s">
        <v>241</v>
      </c>
      <c r="BE25" s="6" t="s">
        <v>213</v>
      </c>
      <c r="BF25" s="5" t="str">
        <f t="shared" si="4"/>
        <v>&lt;br /&gt;&lt;i&gt;&lt;a href="mailto:tsarkar@csc.com"</v>
      </c>
      <c r="BG25" s="13" t="s">
        <v>219</v>
      </c>
      <c r="BH25" s="14" t="s">
        <v>215</v>
      </c>
      <c r="BI25" s="4" t="s">
        <v>217</v>
      </c>
      <c r="BJ25" s="6" t="s">
        <v>24</v>
      </c>
      <c r="BK25" s="4" t="s">
        <v>23</v>
      </c>
      <c r="BL25" s="6" t="s">
        <v>24</v>
      </c>
      <c r="BM25" s="4" t="s">
        <v>23</v>
      </c>
      <c r="BN25" s="6" t="s">
        <v>24</v>
      </c>
      <c r="BO25" s="4" t="s">
        <v>23</v>
      </c>
      <c r="BP25" s="6" t="s">
        <v>24</v>
      </c>
      <c r="BQ25" s="4" t="s">
        <v>23</v>
      </c>
      <c r="BR25" s="6" t="s">
        <v>24</v>
      </c>
      <c r="BS25" s="4" t="s">
        <v>26</v>
      </c>
      <c r="BT25" s="5" t="s">
        <v>27</v>
      </c>
      <c r="BU25" s="4" t="s">
        <v>127</v>
      </c>
      <c r="BW25" s="4" t="s">
        <v>414</v>
      </c>
      <c r="BX25" s="12" t="s">
        <v>2</v>
      </c>
      <c r="BY25" s="3" t="s">
        <v>167</v>
      </c>
    </row>
  </sheetData>
  <sheetProtection selectLockedCells="1"/>
  <sortState ref="A2:BE45">
    <sortCondition ref="A2:A45"/>
    <sortCondition ref="C2:C45"/>
  </sortState>
  <hyperlinks>
    <hyperlink ref="AE2" r:id="rId1"/>
    <hyperlink ref="BH2" r:id="rId2"/>
    <hyperlink ref="BH3" r:id="rId3"/>
    <hyperlink ref="BH6" r:id="rId4"/>
    <hyperlink ref="BH4" r:id="rId5"/>
    <hyperlink ref="BH5" r:id="rId6"/>
    <hyperlink ref="BH7" r:id="rId7"/>
    <hyperlink ref="BH8" r:id="rId8"/>
    <hyperlink ref="BH9" r:id="rId9"/>
    <hyperlink ref="BH10" r:id="rId10"/>
    <hyperlink ref="BH11" r:id="rId11"/>
    <hyperlink ref="BH12" r:id="rId12"/>
    <hyperlink ref="BH13" r:id="rId13"/>
    <hyperlink ref="BH15" r:id="rId14"/>
    <hyperlink ref="BH16" r:id="rId15"/>
    <hyperlink ref="BH18" r:id="rId16"/>
    <hyperlink ref="BH19" r:id="rId17"/>
    <hyperlink ref="BH21" r:id="rId18"/>
    <hyperlink ref="BH22" r:id="rId19"/>
    <hyperlink ref="BH23" r:id="rId20"/>
    <hyperlink ref="BH24" r:id="rId21"/>
    <hyperlink ref="BH25" r:id="rId22"/>
    <hyperlink ref="AI10" r:id="rId23"/>
    <hyperlink ref="AI11" r:id="rId24"/>
    <hyperlink ref="AI9" r:id="rId25"/>
    <hyperlink ref="AI17" r:id="rId26"/>
    <hyperlink ref="AI20" r:id="rId27"/>
    <hyperlink ref="AG3" display="https://www.google.com/maps/place/CSC+Malaysia/@3.115823,101.638354,3a,75y,90t/data=!3m8!1e2!3m6!1s87553107!2e1!3e10!6s%2F%2Flh3.googleusercontent.com%2Fproxy%2FfbdcO2BY6x8IcWZhA7uuv7WWnpjFNrpfERmbQjbQZiYLuxm3IkrBLau9zU6hODkpmAQq5bZHdRtDOpiY_vxkH3s4U231Ew"/>
    <hyperlink ref="AE3" r:id="rId28"/>
    <hyperlink ref="AE4" r:id="rId29"/>
    <hyperlink ref="AG4" display="https://www.google.com/maps/place/CSC+Asturias+IT+Service+Center/@43.560196,-5.909469,3a,75y,90t/data=!3m8!1e2!3m6!1s60550210!2e1!3e10!6s%2F%2Flh5.googleusercontent.com%2Fproxy%2FnA5zP7IXs-07WddeFGr_vb1PkJUhh0Ead0XkjjPu6sV3k5nxqxrzlhw-KdujYcp7z8DFAG9lcjch"/>
    <hyperlink ref="AG5" r:id="rId30"/>
    <hyperlink ref="AE7" r:id="rId31"/>
    <hyperlink ref="AE6" r:id="rId32"/>
    <hyperlink ref="AG6" r:id="rId33"/>
    <hyperlink ref="AG7" r:id="rId34"/>
    <hyperlink ref="AE8" r:id="rId35"/>
    <hyperlink ref="AG8" r:id="rId36"/>
    <hyperlink ref="AE9" r:id="rId37"/>
    <hyperlink ref="AG9" r:id="rId38"/>
    <hyperlink ref="AG10" r:id="rId39"/>
    <hyperlink ref="AE11" r:id="rId40"/>
    <hyperlink ref="AG11" r:id="rId41"/>
    <hyperlink ref="AG12" r:id="rId42"/>
    <hyperlink ref="BH14" r:id="rId43"/>
    <hyperlink ref="AE14" r:id="rId44"/>
    <hyperlink ref="AG14" r:id="rId45"/>
    <hyperlink ref="AG15" r:id="rId46"/>
    <hyperlink ref="AE15" r:id="rId47"/>
    <hyperlink ref="AG16" r:id="rId48"/>
    <hyperlink ref="AE16" r:id="rId49"/>
    <hyperlink ref="AE17" r:id="rId50"/>
    <hyperlink ref="AG17" r:id="rId51"/>
    <hyperlink ref="AE18" r:id="rId52"/>
    <hyperlink ref="AG18" r:id="rId53"/>
    <hyperlink ref="AE19" r:id="rId54"/>
    <hyperlink ref="AE20" r:id="rId55"/>
    <hyperlink ref="AG19" r:id="rId56"/>
    <hyperlink ref="AG20" r:id="rId57"/>
    <hyperlink ref="AG21" r:id="rId58"/>
    <hyperlink ref="AG22:AG25" r:id="rId59" display="https://www.google.es/maps/place/CSC,+Block+A,+Industrial+Area,+Sector+62,+Noida,+Uttar+Pradesh+201309,+India/@28.6247822,77.3687274,17z/data=!3m1!4b1!4m2!3m1!1s0x390ce55a4197b759:0xf07cba9e86679cbe?hl=en"/>
    <hyperlink ref="W4" r:id="rId60"/>
    <hyperlink ref="W5" r:id="rId61"/>
    <hyperlink ref="W2" r:id="rId62"/>
    <hyperlink ref="W12" r:id="rId63"/>
    <hyperlink ref="W15" r:id="rId64"/>
    <hyperlink ref="W6" r:id="rId65"/>
    <hyperlink ref="W7" r:id="rId66"/>
    <hyperlink ref="W18" r:id="rId67"/>
    <hyperlink ref="W19" r:id="rId68"/>
    <hyperlink ref="W3" r:id="rId69"/>
    <hyperlink ref="W9" r:id="rId70"/>
    <hyperlink ref="W10" r:id="rId71"/>
    <hyperlink ref="W8" r:id="rId72"/>
    <hyperlink ref="W21" r:id="rId73"/>
    <hyperlink ref="W22" r:id="rId74"/>
    <hyperlink ref="W23" r:id="rId75"/>
    <hyperlink ref="W24" r:id="rId76"/>
    <hyperlink ref="W25" r:id="rId77"/>
    <hyperlink ref="W13" r:id="rId78"/>
    <hyperlink ref="W14" r:id="rId79"/>
    <hyperlink ref="W11" r:id="rId80"/>
    <hyperlink ref="W16" r:id="rId81"/>
    <hyperlink ref="U11" r:id="rId82"/>
    <hyperlink ref="U12" r:id="rId83"/>
    <hyperlink ref="U13" r:id="rId84"/>
    <hyperlink ref="U14" r:id="rId85"/>
    <hyperlink ref="U15" r:id="rId86"/>
    <hyperlink ref="U16" r:id="rId87"/>
    <hyperlink ref="BH20" r:id="rId88"/>
  </hyperlinks>
  <pageMargins left="0.7" right="0.7" top="0.75" bottom="0.75" header="0.3" footer="0.3"/>
  <pageSetup orientation="portrait" horizontalDpi="300" verticalDpi="300" r:id="rId89"/>
  <customProperties>
    <customPr name="Guid" r:id="rId90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B12" sqref="B12"/>
    </sheetView>
  </sheetViews>
  <sheetFormatPr defaultColWidth="29.28515625" defaultRowHeight="15" x14ac:dyDescent="0.25"/>
  <sheetData>
    <row r="3" spans="1:4" x14ac:dyDescent="0.25">
      <c r="A3" s="16" t="s">
        <v>243</v>
      </c>
      <c r="B3" s="15"/>
      <c r="C3" s="15"/>
      <c r="D3" s="15" t="s">
        <v>244</v>
      </c>
    </row>
    <row r="4" spans="1:4" x14ac:dyDescent="0.25">
      <c r="A4" s="16" t="s">
        <v>245</v>
      </c>
      <c r="B4" s="15"/>
      <c r="C4" s="15"/>
      <c r="D4" s="15" t="s">
        <v>246</v>
      </c>
    </row>
    <row r="5" spans="1:4" x14ac:dyDescent="0.25">
      <c r="A5" s="16" t="s">
        <v>247</v>
      </c>
      <c r="B5" s="15"/>
      <c r="C5" s="15"/>
      <c r="D5" s="15" t="s">
        <v>248</v>
      </c>
    </row>
    <row r="6" spans="1:4" x14ac:dyDescent="0.25">
      <c r="A6" s="16" t="s">
        <v>249</v>
      </c>
      <c r="B6" s="15"/>
      <c r="C6" s="15"/>
      <c r="D6" s="15" t="s">
        <v>250</v>
      </c>
    </row>
    <row r="7" spans="1:4" x14ac:dyDescent="0.25">
      <c r="A7" s="16" t="s">
        <v>251</v>
      </c>
      <c r="B7" s="15"/>
      <c r="C7" s="15"/>
      <c r="D7" s="15" t="s">
        <v>252</v>
      </c>
    </row>
    <row r="8" spans="1:4" x14ac:dyDescent="0.25">
      <c r="A8" s="16" t="s">
        <v>253</v>
      </c>
      <c r="B8" s="15"/>
      <c r="C8" s="15"/>
      <c r="D8" s="15" t="s">
        <v>254</v>
      </c>
    </row>
    <row r="9" spans="1:4" x14ac:dyDescent="0.25">
      <c r="A9" s="16" t="s">
        <v>255</v>
      </c>
      <c r="B9" s="15"/>
      <c r="C9" s="15"/>
      <c r="D9" s="15" t="s">
        <v>256</v>
      </c>
    </row>
    <row r="10" spans="1:4" x14ac:dyDescent="0.25">
      <c r="A10" s="16" t="s">
        <v>257</v>
      </c>
      <c r="B10" s="15"/>
      <c r="C10" s="15"/>
      <c r="D10" s="15" t="s">
        <v>258</v>
      </c>
    </row>
    <row r="11" spans="1:4" x14ac:dyDescent="0.25">
      <c r="A11" s="16" t="s">
        <v>259</v>
      </c>
      <c r="B11" s="15"/>
      <c r="C11" s="15"/>
      <c r="D11" s="15" t="s">
        <v>260</v>
      </c>
    </row>
    <row r="12" spans="1:4" x14ac:dyDescent="0.25">
      <c r="A12" s="16" t="s">
        <v>261</v>
      </c>
      <c r="B12" s="15"/>
      <c r="C12" s="15"/>
      <c r="D12" s="15" t="s">
        <v>262</v>
      </c>
    </row>
    <row r="13" spans="1:4" x14ac:dyDescent="0.25">
      <c r="A13" s="16" t="s">
        <v>263</v>
      </c>
      <c r="B13" s="15"/>
      <c r="C13" s="15"/>
      <c r="D13" s="15" t="s">
        <v>264</v>
      </c>
    </row>
    <row r="14" spans="1:4" x14ac:dyDescent="0.25">
      <c r="A14" s="16" t="s">
        <v>265</v>
      </c>
      <c r="B14" s="15"/>
      <c r="C14" s="15"/>
      <c r="D14" s="15" t="s">
        <v>266</v>
      </c>
    </row>
    <row r="15" spans="1:4" x14ac:dyDescent="0.25">
      <c r="A15" s="16" t="s">
        <v>267</v>
      </c>
      <c r="B15" s="15"/>
      <c r="C15" s="15"/>
      <c r="D15" s="15" t="s">
        <v>268</v>
      </c>
    </row>
    <row r="16" spans="1:4" x14ac:dyDescent="0.25">
      <c r="A16" s="16" t="s">
        <v>269</v>
      </c>
      <c r="B16" s="15"/>
      <c r="C16" s="15"/>
      <c r="D16" s="15" t="s">
        <v>270</v>
      </c>
    </row>
    <row r="17" spans="1:4" x14ac:dyDescent="0.25">
      <c r="A17" s="16" t="s">
        <v>271</v>
      </c>
      <c r="B17" s="15"/>
      <c r="C17" s="15"/>
      <c r="D17" s="15" t="s">
        <v>272</v>
      </c>
    </row>
    <row r="18" spans="1:4" x14ac:dyDescent="0.25">
      <c r="A18" s="16" t="s">
        <v>273</v>
      </c>
      <c r="B18" s="15"/>
      <c r="C18" s="15"/>
      <c r="D18" s="15" t="s">
        <v>274</v>
      </c>
    </row>
    <row r="19" spans="1:4" x14ac:dyDescent="0.25">
      <c r="A19" s="16" t="s">
        <v>275</v>
      </c>
      <c r="B19" s="15"/>
      <c r="C19" s="15"/>
      <c r="D19" s="15" t="s">
        <v>276</v>
      </c>
    </row>
    <row r="20" spans="1:4" x14ac:dyDescent="0.25">
      <c r="A20" s="16" t="s">
        <v>277</v>
      </c>
      <c r="B20" s="15"/>
      <c r="C20" s="15"/>
      <c r="D20" s="15" t="s">
        <v>278</v>
      </c>
    </row>
    <row r="21" spans="1:4" x14ac:dyDescent="0.25">
      <c r="A21" s="16" t="s">
        <v>279</v>
      </c>
      <c r="B21" s="15"/>
      <c r="C21" s="15"/>
      <c r="D21" s="15" t="s">
        <v>280</v>
      </c>
    </row>
    <row r="22" spans="1:4" x14ac:dyDescent="0.25">
      <c r="A22" s="16" t="s">
        <v>281</v>
      </c>
      <c r="B22" s="15"/>
      <c r="C22" s="15"/>
      <c r="D22" s="15" t="s">
        <v>282</v>
      </c>
    </row>
    <row r="23" spans="1:4" x14ac:dyDescent="0.25">
      <c r="A23" s="16" t="s">
        <v>283</v>
      </c>
    </row>
  </sheetData>
  <hyperlinks>
    <hyperlink ref="A4" r:id="rId1" display="https://docs.amer.csc.com/alfresco/webdav/Collaboration Home/Open/By name N/NGDM/Capabilities"/>
    <hyperlink ref="A5" r:id="rId2" display="https://docs.amer.csc.com/alfresco/webdav/Collaboration Home/Open/By name N/NGDM/Pittsburgh WP1"/>
    <hyperlink ref="A6" r:id="rId3" display="https://docs.amer.csc.com/alfresco/webdav/Collaboration Home/Open/By name N/NGDM/East Hartford WP1"/>
    <hyperlink ref="A7" r:id="rId4" display="https://docs.amer.csc.com/alfresco/webdav/Collaboration Home/Open/By name N/NGDM/Chorley-Chesterfield WP1"/>
    <hyperlink ref="A8" r:id="rId5" display="https://docs.amer.csc.com/alfresco/webdav/Collaboration Home/Open/By name N/NGDM/Asturias-Prague WP1"/>
    <hyperlink ref="A9" r:id="rId6" display="https://docs.amer.csc.com/alfresco/webdav/Collaboration Home/Open/By name N/NGDM/Hyderabad W1"/>
    <hyperlink ref="A10" r:id="rId7" display="https://docs.amer.csc.com/alfresco/webdav/Collaboration Home/Open/By name N/NGDM/Hyderabad P1"/>
    <hyperlink ref="A11" r:id="rId8" display="https://docs.amer.csc.com/alfresco/webdav/Collaboration Home/Open/By name N/NGDM/Noida P1"/>
    <hyperlink ref="A12" r:id="rId9" display="https://docs.amer.csc.com/alfresco/webdav/Collaboration Home/Open/By name N/NGDM/Noida P2"/>
    <hyperlink ref="A13" r:id="rId10" display="https://docs.amer.csc.com/alfresco/webdav/Collaboration Home/Open/By name N/NGDM/Noida P3"/>
    <hyperlink ref="A14" r:id="rId11" display="https://docs.amer.csc.com/alfresco/webdav/Collaboration Home/Open/By name N/NGDM/Noida W1"/>
    <hyperlink ref="A15" r:id="rId12" display="https://docs.amer.csc.com/alfresco/webdav/Collaboration Home/Open/By name N/NGDM/Noida W2"/>
    <hyperlink ref="A16" r:id="rId13" display="https://docs.amer.csc.com/alfresco/webdav/Collaboration Home/Open/By name N/NGDM/Operations"/>
    <hyperlink ref="A17" r:id="rId14" display="https://docs.amer.csc.com/alfresco/webdav/Collaboration Home/Open/By name N/NGDM/Copenhagen WP1"/>
    <hyperlink ref="A18" r:id="rId15" display="https://docs.amer.csc.com/alfresco/webdav/Collaboration Home/Open/By name N/NGDM/Sydney WP1"/>
    <hyperlink ref="A19" r:id="rId16" display="https://docs.amer.csc.com/alfresco/webdav/Collaboration Home/Open/By name N/NGDM/Kuala Lumpur WP1"/>
    <hyperlink ref="A20" r:id="rId17" display="https://docs.amer.csc.com/alfresco/webdav/Collaboration Home/Open/By name N/NGDM/Sweden WP1"/>
    <hyperlink ref="A21" r:id="rId18" display="https://docs.amer.csc.com/alfresco/webdav/Collaboration Home/Open/By name N/NGDM/North America MF1"/>
    <hyperlink ref="A22" r:id="rId19" display="https://docs.amer.csc.com/alfresco/webdav/Collaboration Home/Open/By name N/NGDM/Luxembourg"/>
    <hyperlink ref="A23" r:id="rId20" display="https://docs.amer.csc.com/alfresco/webdav/Collaboration Home/Open/By name N/NGDM/Sydney MF"/>
    <hyperlink ref="A3" r:id="rId21" display="https://docs.amer.csc.com/alfresco/webdav/Collaboration Home/Open/By name N/NGDM/General"/>
  </hyperlinks>
  <pageMargins left="0.7" right="0.7" top="0.75" bottom="0.75" header="0.3" footer="0.3"/>
  <customProperties>
    <customPr name="Guid" r:id="rId2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/>
  </sheetViews>
  <sheetFormatPr defaultRowHeight="15" x14ac:dyDescent="0.25"/>
  <sheetData>
    <row r="1" spans="1:256" x14ac:dyDescent="0.25">
      <c r="A1" t="s">
        <v>456</v>
      </c>
      <c r="F1" t="e">
        <f>Global!A:A*"$I0]!%"</f>
        <v>#VALUE!</v>
      </c>
      <c r="G1" t="e">
        <f>Global!B:B*"$I0]!&amp;"</f>
        <v>#VALUE!</v>
      </c>
      <c r="H1" t="e">
        <f>Global!C:C*"$I0]!'"</f>
        <v>#VALUE!</v>
      </c>
      <c r="I1" t="e">
        <f>Global!D:D*"$I0]!("</f>
        <v>#VALUE!</v>
      </c>
      <c r="J1" t="e">
        <f>Global!E:E*"$I0]!)"</f>
        <v>#VALUE!</v>
      </c>
      <c r="K1" t="e">
        <f>Global!F:F*"$I0]!."</f>
        <v>#VALUE!</v>
      </c>
      <c r="L1" t="e">
        <f>Global!G:G*"$I0]!/"</f>
        <v>#VALUE!</v>
      </c>
      <c r="M1" t="e">
        <f>Global!H:H*"$I0]!0"</f>
        <v>#VALUE!</v>
      </c>
      <c r="N1" t="e">
        <f>Global!I:I*"$I0]!1"</f>
        <v>#VALUE!</v>
      </c>
      <c r="O1" t="e">
        <f>Global!J:J*"$I0]!2"</f>
        <v>#VALUE!</v>
      </c>
      <c r="P1" t="e">
        <f>Global!K:K*"$I0]!3"</f>
        <v>#VALUE!</v>
      </c>
      <c r="Q1" t="e">
        <f>Global!L:L*"$I0]!4"</f>
        <v>#VALUE!</v>
      </c>
      <c r="R1" t="e">
        <f>Global!M:M*"$I0]!5"</f>
        <v>#VALUE!</v>
      </c>
      <c r="S1" t="e">
        <f>Global!N:N*"$I0]!6"</f>
        <v>#VALUE!</v>
      </c>
      <c r="T1" t="e">
        <f>Global!O:O*"$I0]!7"</f>
        <v>#VALUE!</v>
      </c>
      <c r="U1" t="e">
        <f>Global!P:P*"$I0]!8"</f>
        <v>#VALUE!</v>
      </c>
      <c r="V1" t="e">
        <f>Global!Q:Q*"$I0]!9"</f>
        <v>#VALUE!</v>
      </c>
      <c r="W1" t="e">
        <f>Global!R:R*"$I0]!:"</f>
        <v>#VALUE!</v>
      </c>
      <c r="X1" t="e">
        <f>Global!S:S*"$I0]!;"</f>
        <v>#VALUE!</v>
      </c>
      <c r="Y1" t="e">
        <f>Global!T:T*"$I0]!&lt;"</f>
        <v>#VALUE!</v>
      </c>
      <c r="Z1" t="e">
        <f>Global!U:U*"$I0]!="</f>
        <v>#VALUE!</v>
      </c>
      <c r="AA1" t="e">
        <f>Global!V:V*"$I0]!&gt;"</f>
        <v>#VALUE!</v>
      </c>
      <c r="AB1" t="e">
        <f>Global!W:W*"$I0]!?"</f>
        <v>#VALUE!</v>
      </c>
      <c r="AC1" t="e">
        <f>Global!X:X*"$I0]!@"</f>
        <v>#VALUE!</v>
      </c>
      <c r="AD1" t="e">
        <f>Global!Y:Y*"$I0]!A"</f>
        <v>#VALUE!</v>
      </c>
      <c r="AE1" t="e">
        <f>Global!Z:Z*"$I0]!B"</f>
        <v>#VALUE!</v>
      </c>
      <c r="AF1" t="e">
        <f>Global!AA:AA*"$I0]!C"</f>
        <v>#VALUE!</v>
      </c>
      <c r="AG1" t="e">
        <f>Global!AB:AB*"$I0]!D"</f>
        <v>#VALUE!</v>
      </c>
      <c r="AH1" t="e">
        <f>Global!AC:AC*"$I0]!E"</f>
        <v>#VALUE!</v>
      </c>
      <c r="AI1" t="e">
        <f>Global!AD:AD*"$I0]!F"</f>
        <v>#VALUE!</v>
      </c>
      <c r="AJ1" t="e">
        <f>Global!AE:AE*"$I0]!G"</f>
        <v>#VALUE!</v>
      </c>
      <c r="AK1" t="e">
        <f>Global!AF:AF*"$I0]!H"</f>
        <v>#VALUE!</v>
      </c>
      <c r="AL1" t="e">
        <f>Global!AG:AG*"$I0]!I"</f>
        <v>#VALUE!</v>
      </c>
      <c r="AM1" t="e">
        <f>Global!AH:AH*"$I0]!J"</f>
        <v>#VALUE!</v>
      </c>
      <c r="AN1" t="e">
        <f>Global!AI:AI*"$I0]!K"</f>
        <v>#VALUE!</v>
      </c>
      <c r="AO1" t="e">
        <f>Global!AJ:AJ*"$I0]!L"</f>
        <v>#VALUE!</v>
      </c>
      <c r="AP1" t="e">
        <f>Global!AK:AK*"$I0]!M"</f>
        <v>#VALUE!</v>
      </c>
      <c r="AQ1" t="e">
        <f>Global!AL:AL*"$I0]!N"</f>
        <v>#VALUE!</v>
      </c>
      <c r="AR1" t="e">
        <f>Global!AM:AM*"$I0]!O"</f>
        <v>#VALUE!</v>
      </c>
      <c r="AS1" t="e">
        <f>Global!AN:AN*"$I0]!P"</f>
        <v>#VALUE!</v>
      </c>
      <c r="AT1" t="e">
        <f>Global!AO:AO*"$I0]!Q"</f>
        <v>#VALUE!</v>
      </c>
      <c r="AU1" t="e">
        <f>Global!AP:AP*"$I0]!R"</f>
        <v>#VALUE!</v>
      </c>
      <c r="AV1" t="e">
        <f>Global!AQ:AQ*"$I0]!S"</f>
        <v>#VALUE!</v>
      </c>
      <c r="AW1" t="e">
        <f>Global!AR:AR*"$I0]!T"</f>
        <v>#VALUE!</v>
      </c>
      <c r="AX1" t="e">
        <f>Global!AS:AS*"$I0]!U"</f>
        <v>#VALUE!</v>
      </c>
      <c r="AY1" t="e">
        <f>Global!AT:AT*"$I0]!V"</f>
        <v>#VALUE!</v>
      </c>
      <c r="AZ1" t="e">
        <f>Global!AU:AU*"$I0]!W"</f>
        <v>#VALUE!</v>
      </c>
      <c r="BA1" t="e">
        <f>Global!AV:AV*"$I0]!X"</f>
        <v>#VALUE!</v>
      </c>
      <c r="BB1" t="e">
        <f>Global!AW:AW*"$I0]!Y"</f>
        <v>#VALUE!</v>
      </c>
      <c r="BC1" t="e">
        <f>Global!AX:AX*"$I0]!Z"</f>
        <v>#VALUE!</v>
      </c>
      <c r="BD1" t="e">
        <f>Global!AY:AY*"$I0]!["</f>
        <v>#VALUE!</v>
      </c>
      <c r="BE1" t="e">
        <f>Global!AZ:AZ*"$I0]!\"</f>
        <v>#VALUE!</v>
      </c>
      <c r="BF1" t="e">
        <f>Global!BA:BA*"$I0]!]"</f>
        <v>#VALUE!</v>
      </c>
      <c r="BG1" t="e">
        <f>Global!BB:BB*"$I0]!^"</f>
        <v>#VALUE!</v>
      </c>
      <c r="BH1" t="e">
        <f>Global!BC:BC*"$I0]!_"</f>
        <v>#VALUE!</v>
      </c>
      <c r="BI1" t="e">
        <f>Global!BD:BD*"$I0]!`"</f>
        <v>#VALUE!</v>
      </c>
      <c r="BJ1" t="e">
        <f>Global!BE:BE*"$I0]!a"</f>
        <v>#VALUE!</v>
      </c>
      <c r="BK1" t="e">
        <f>Global!BF:BF*"$I0]!b"</f>
        <v>#VALUE!</v>
      </c>
      <c r="BL1" t="e">
        <f>Global!BG:BG*"$I0]!c"</f>
        <v>#VALUE!</v>
      </c>
      <c r="BM1" t="e">
        <f>Global!BH:BH*"$I0]!d"</f>
        <v>#VALUE!</v>
      </c>
      <c r="BN1" t="e">
        <f>Global!BI:BI*"$I0]!e"</f>
        <v>#VALUE!</v>
      </c>
      <c r="BO1" t="e">
        <f>Global!BJ:BJ*"$I0]!f"</f>
        <v>#VALUE!</v>
      </c>
      <c r="BP1" t="e">
        <f>Global!BK:BK*"$I0]!g"</f>
        <v>#VALUE!</v>
      </c>
      <c r="BQ1" t="e">
        <f>Global!BL:BL*"$I0]!h"</f>
        <v>#VALUE!</v>
      </c>
      <c r="BR1" t="e">
        <f>Global!BM:BM*"$I0]!i"</f>
        <v>#VALUE!</v>
      </c>
      <c r="BS1" t="e">
        <f>Global!BN:BN*"$I0]!j"</f>
        <v>#VALUE!</v>
      </c>
      <c r="BT1" t="e">
        <f>Global!BO:BO*"$I0]!k"</f>
        <v>#VALUE!</v>
      </c>
      <c r="BU1" t="e">
        <f>Global!BP:BP*"$I0]!l"</f>
        <v>#VALUE!</v>
      </c>
      <c r="BV1" t="e">
        <f>Global!BQ:BQ*"$I0]!m"</f>
        <v>#VALUE!</v>
      </c>
      <c r="BW1" t="e">
        <f>Global!BR:BR*"$I0]!n"</f>
        <v>#VALUE!</v>
      </c>
      <c r="BX1" t="e">
        <f>Global!BS:BS*"$I0]!o"</f>
        <v>#VALUE!</v>
      </c>
      <c r="BY1" t="e">
        <f>Global!BT:BT*"$I0]!p"</f>
        <v>#VALUE!</v>
      </c>
      <c r="BZ1" t="e">
        <f>Global!BU:BU*"$I0]!q"</f>
        <v>#VALUE!</v>
      </c>
      <c r="CA1" t="e">
        <f>Global!BV:BV*"$I0]!r"</f>
        <v>#VALUE!</v>
      </c>
      <c r="CB1" t="e">
        <f>Global!BW:BW*"$I0]!s"</f>
        <v>#VALUE!</v>
      </c>
      <c r="CC1" t="e">
        <f>Global!BX:BX*"$I0]!t"</f>
        <v>#VALUE!</v>
      </c>
      <c r="CD1" t="e">
        <f>Global!BY:BY*"$I0]!u"</f>
        <v>#VALUE!</v>
      </c>
      <c r="CE1" t="e">
        <f>Global!BZ:BZ*"$I0]!v"</f>
        <v>#VALUE!</v>
      </c>
      <c r="CF1" t="e">
        <f>Global!CA:CA*"$I0]!w"</f>
        <v>#VALUE!</v>
      </c>
      <c r="CG1" t="e">
        <f>Global!CB:CB*"$I0]!x"</f>
        <v>#VALUE!</v>
      </c>
      <c r="CH1" t="e">
        <f>Global!CC:CC*"$I0]!y"</f>
        <v>#VALUE!</v>
      </c>
      <c r="CI1" t="e">
        <f>Global!CD:CD*"$I0]!z"</f>
        <v>#VALUE!</v>
      </c>
      <c r="CJ1" t="e">
        <f>Global!CE:CE*"$I0]!{"</f>
        <v>#VALUE!</v>
      </c>
      <c r="CK1" t="e">
        <f>Global!CF:CF*"$I0]!|"</f>
        <v>#VALUE!</v>
      </c>
      <c r="CL1" t="e">
        <f>Global!CG:CG*"$I0]!}"</f>
        <v>#VALUE!</v>
      </c>
      <c r="CM1" t="e">
        <f>Global!CH:CH*"$I0]!~"</f>
        <v>#VALUE!</v>
      </c>
      <c r="CN1" t="e">
        <f>Global!CI:CI*"$I0]!$#"</f>
        <v>#VALUE!</v>
      </c>
      <c r="CO1" t="e">
        <f>Global!CJ:CJ*"$I0]!$$"</f>
        <v>#VALUE!</v>
      </c>
      <c r="CP1" t="e">
        <f>Global!CK:CK*"$I0]!$%"</f>
        <v>#VALUE!</v>
      </c>
      <c r="CQ1" t="e">
        <f>Global!CL:CL*"$I0]!$&amp;"</f>
        <v>#VALUE!</v>
      </c>
      <c r="CR1" t="e">
        <f>Global!CM:CM*"$I0]!$'"</f>
        <v>#VALUE!</v>
      </c>
      <c r="CS1" t="e">
        <f>Global!CN:CN*"$I0]!$("</f>
        <v>#VALUE!</v>
      </c>
      <c r="CT1" t="e">
        <f>Global!CO:CO*"$I0]!$)"</f>
        <v>#VALUE!</v>
      </c>
      <c r="CU1" t="e">
        <f>Global!CP:CP*"$I0]!$."</f>
        <v>#VALUE!</v>
      </c>
      <c r="CV1" t="e">
        <f>Global!CQ:CQ*"$I0]!$/"</f>
        <v>#VALUE!</v>
      </c>
      <c r="CW1" t="e">
        <f>Global!CR:CR*"$I0]!$0"</f>
        <v>#VALUE!</v>
      </c>
      <c r="CX1" t="e">
        <f>Global!CS:CS*"$I0]!$1"</f>
        <v>#VALUE!</v>
      </c>
      <c r="CY1" t="e">
        <f>Global!CT:CT*"$I0]!$2"</f>
        <v>#VALUE!</v>
      </c>
      <c r="CZ1" t="e">
        <f>Global!CU:CU*"$I0]!$3"</f>
        <v>#VALUE!</v>
      </c>
      <c r="DA1" t="e">
        <f>Global!CV:CV*"$I0]!$4"</f>
        <v>#VALUE!</v>
      </c>
      <c r="DB1" t="e">
        <f>Global!CW:CW*"$I0]!$5"</f>
        <v>#VALUE!</v>
      </c>
      <c r="DC1" t="e">
        <f>Global!CX:CX*"$I0]!$6"</f>
        <v>#VALUE!</v>
      </c>
      <c r="DD1" t="e">
        <f>Global!CY:CY*"$I0]!$7"</f>
        <v>#VALUE!</v>
      </c>
      <c r="DE1" t="e">
        <f>Global!CZ:CZ*"$I0]!$8"</f>
        <v>#VALUE!</v>
      </c>
      <c r="DF1" t="e">
        <f>Global!DA:DA*"$I0]!$9"</f>
        <v>#VALUE!</v>
      </c>
      <c r="DG1" t="e">
        <f>Global!DB:DB*"$I0]!$:"</f>
        <v>#VALUE!</v>
      </c>
      <c r="DH1" t="e">
        <f>Global!DC:DC*"$I0]!$;"</f>
        <v>#VALUE!</v>
      </c>
      <c r="DI1" t="e">
        <f>Global!DD:DD*"$I0]!$&lt;"</f>
        <v>#VALUE!</v>
      </c>
      <c r="DJ1" t="e">
        <f>Global!DE:DE*"$I0]!$="</f>
        <v>#VALUE!</v>
      </c>
      <c r="DK1" t="e">
        <f>Global!DF:DF*"$I0]!$&gt;"</f>
        <v>#VALUE!</v>
      </c>
      <c r="DL1" t="e">
        <f>Global!DG:DG*"$I0]!$?"</f>
        <v>#VALUE!</v>
      </c>
      <c r="DM1" t="e">
        <f>Global!DH:DH*"$I0]!$@"</f>
        <v>#VALUE!</v>
      </c>
      <c r="DN1" t="e">
        <f>Global!DI:DI*"$I0]!$A"</f>
        <v>#VALUE!</v>
      </c>
      <c r="DO1" t="e">
        <f>Global!DJ:DJ*"$I0]!$B"</f>
        <v>#VALUE!</v>
      </c>
      <c r="DP1" t="e">
        <f>Global!DK:DK*"$I0]!$C"</f>
        <v>#VALUE!</v>
      </c>
      <c r="DQ1" t="e">
        <f>Global!DL:DL*"$I0]!$D"</f>
        <v>#VALUE!</v>
      </c>
      <c r="DR1" t="e">
        <f>Global!DM:DM*"$I0]!$E"</f>
        <v>#VALUE!</v>
      </c>
      <c r="DS1" t="e">
        <f>Global!DN:DN*"$I0]!$F"</f>
        <v>#VALUE!</v>
      </c>
      <c r="DT1" t="e">
        <f>Global!DO:DO*"$I0]!$G"</f>
        <v>#VALUE!</v>
      </c>
      <c r="DU1" t="e">
        <f>Global!DP:DP*"$I0]!$H"</f>
        <v>#VALUE!</v>
      </c>
      <c r="DV1" t="e">
        <f>Global!DQ:DQ*"$I0]!$I"</f>
        <v>#VALUE!</v>
      </c>
      <c r="DW1" t="e">
        <f>Global!DR:DR*"$I0]!$J"</f>
        <v>#VALUE!</v>
      </c>
      <c r="DX1" t="e">
        <f>Global!DS:DS*"$I0]!$K"</f>
        <v>#VALUE!</v>
      </c>
      <c r="DY1" t="e">
        <f>Global!DT:DT*"$I0]!$L"</f>
        <v>#VALUE!</v>
      </c>
      <c r="DZ1" t="e">
        <f>Global!DU:DU*"$I0]!$M"</f>
        <v>#VALUE!</v>
      </c>
      <c r="EA1" t="e">
        <f>Global!DV:DV*"$I0]!$N"</f>
        <v>#VALUE!</v>
      </c>
      <c r="EB1" t="e">
        <f>Global!DW:DW*"$I0]!$O"</f>
        <v>#VALUE!</v>
      </c>
      <c r="EC1" s="34" t="e">
        <f>Global!1:1-"$I0]!$P"</f>
        <v>#VALUE!</v>
      </c>
      <c r="ED1" t="e">
        <f>Global!2:2-"$I0]!$Q"</f>
        <v>#VALUE!</v>
      </c>
      <c r="EE1" s="34" t="e">
        <f>Global!3:3-"$I0]!$R"</f>
        <v>#VALUE!</v>
      </c>
      <c r="EF1" s="34" t="e">
        <f>Global!4:4-"$I0]!$S"</f>
        <v>#VALUE!</v>
      </c>
      <c r="EG1" s="34" t="e">
        <f>Global!5:5-"$I0]!$T"</f>
        <v>#VALUE!</v>
      </c>
      <c r="EH1" s="34" t="e">
        <f>Global!6:6-"$I0]!$U"</f>
        <v>#VALUE!</v>
      </c>
      <c r="EI1" s="34" t="e">
        <f>Global!7:7-"$I0]!$V"</f>
        <v>#VALUE!</v>
      </c>
      <c r="EJ1" s="34" t="e">
        <f>Global!8:8-"$I0]!$W"</f>
        <v>#VALUE!</v>
      </c>
      <c r="EK1" s="34" t="e">
        <f>Global!9:9-"$I0]!$X"</f>
        <v>#VALUE!</v>
      </c>
      <c r="EL1" s="34" t="e">
        <f>Global!10:10-"$I0]!$Y"</f>
        <v>#VALUE!</v>
      </c>
      <c r="EM1" s="34" t="e">
        <f>Global!11:11-"$I0]!$Z"</f>
        <v>#VALUE!</v>
      </c>
      <c r="EN1" s="34" t="e">
        <f>Global!12:12-"$I0]!$["</f>
        <v>#VALUE!</v>
      </c>
      <c r="EO1" s="34" t="e">
        <f>Global!13:13-"$I0]!$\"</f>
        <v>#VALUE!</v>
      </c>
      <c r="EP1" s="34" t="e">
        <f>Global!14:14-"$I0]!$]"</f>
        <v>#VALUE!</v>
      </c>
      <c r="EQ1" s="34" t="e">
        <f>Global!15:15-"$I0]!$^"</f>
        <v>#VALUE!</v>
      </c>
      <c r="ER1" s="34" t="e">
        <f>Global!16:16-"$I0]!$_"</f>
        <v>#VALUE!</v>
      </c>
      <c r="ES1" s="34" t="e">
        <f>Global!17:17-"$I0]!$`"</f>
        <v>#VALUE!</v>
      </c>
      <c r="ET1" s="34" t="e">
        <f>Global!18:18-"$I0]!$a"</f>
        <v>#VALUE!</v>
      </c>
      <c r="EU1" s="34" t="e">
        <f>Global!19:19-"$I0]!$b"</f>
        <v>#VALUE!</v>
      </c>
      <c r="EV1" s="34" t="e">
        <f>Global!20:20-"$I0]!$c"</f>
        <v>#VALUE!</v>
      </c>
      <c r="EW1" s="34" t="e">
        <f>Global!21:21-"$I0]!$d"</f>
        <v>#VALUE!</v>
      </c>
      <c r="EX1" s="34" t="e">
        <f>Global!22:22-"$I0]!$e"</f>
        <v>#VALUE!</v>
      </c>
      <c r="EY1" s="34" t="e">
        <f>Global!23:23-"$I0]!$f"</f>
        <v>#VALUE!</v>
      </c>
      <c r="EZ1" s="34" t="e">
        <f>Global!24:24-"$I0]!$g"</f>
        <v>#VALUE!</v>
      </c>
      <c r="FA1" s="34" t="e">
        <f>Global!25:25-"$I0]!$h"</f>
        <v>#VALUE!</v>
      </c>
      <c r="FB1" s="34" t="e">
        <f>Global!26:26-"$I0]!$i"</f>
        <v>#VALUE!</v>
      </c>
      <c r="FC1" s="34" t="e">
        <f>Global!27:27-"$I0]!$j"</f>
        <v>#VALUE!</v>
      </c>
      <c r="FD1" s="34" t="e">
        <f>Global!28:28-"$I0]!$k"</f>
        <v>#VALUE!</v>
      </c>
      <c r="FE1" s="34" t="e">
        <f>Global!29:29-"$I0]!$l"</f>
        <v>#VALUE!</v>
      </c>
      <c r="FF1" s="34" t="e">
        <f>Global!30:30-"$I0]!$m"</f>
        <v>#VALUE!</v>
      </c>
      <c r="FG1" s="34" t="e">
        <f>Global!31:31-"$I0]!$n"</f>
        <v>#VALUE!</v>
      </c>
      <c r="FH1" s="34" t="e">
        <f>Global!32:32-"$I0]!$o"</f>
        <v>#VALUE!</v>
      </c>
      <c r="FI1" s="34" t="e">
        <f>Global!33:33-"$I0]!$p"</f>
        <v>#VALUE!</v>
      </c>
      <c r="FJ1" s="34" t="e">
        <f>Global!34:34-"$I0]!$q"</f>
        <v>#VALUE!</v>
      </c>
      <c r="FK1" s="34" t="e">
        <f>Global!35:35-"$I0]!$r"</f>
        <v>#VALUE!</v>
      </c>
      <c r="FL1" s="34" t="e">
        <f>Global!36:36-"$I0]!$s"</f>
        <v>#VALUE!</v>
      </c>
      <c r="FM1" s="34" t="e">
        <f>Global!37:37-"$I0]!$t"</f>
        <v>#VALUE!</v>
      </c>
      <c r="FN1" s="34" t="e">
        <f>Global!38:38-"$I0]!$u"</f>
        <v>#VALUE!</v>
      </c>
      <c r="FO1" s="34" t="e">
        <f>Global!39:39-"$I0]!$v"</f>
        <v>#VALUE!</v>
      </c>
      <c r="FP1" s="34" t="e">
        <f>Global!40:40-"$I0]!$w"</f>
        <v>#VALUE!</v>
      </c>
      <c r="FQ1" s="34" t="e">
        <f>Global!41:41-"$I0]!$x"</f>
        <v>#VALUE!</v>
      </c>
      <c r="FR1" s="34" t="e">
        <f>Global!42:42-"$I0]!$y"</f>
        <v>#VALUE!</v>
      </c>
      <c r="FS1" s="34" t="e">
        <f>Global!43:43-"$I0]!$z"</f>
        <v>#VALUE!</v>
      </c>
      <c r="FT1" s="34" t="e">
        <f>Global!44:44-"$I0]!${"</f>
        <v>#VALUE!</v>
      </c>
      <c r="FU1" s="34" t="e">
        <f>Global!45:45-"$I0]!$|"</f>
        <v>#VALUE!</v>
      </c>
      <c r="FV1" s="34" t="e">
        <f>Global!46:46-"$I0]!$}"</f>
        <v>#VALUE!</v>
      </c>
      <c r="FW1" s="34" t="e">
        <f>Global!47:47-"$I0]!$~"</f>
        <v>#VALUE!</v>
      </c>
      <c r="FX1" s="34" t="e">
        <f>Global!48:48-"$I0]!%#"</f>
        <v>#VALUE!</v>
      </c>
      <c r="FY1" s="34" t="e">
        <f>Global!49:49-"$I0]!%$"</f>
        <v>#VALUE!</v>
      </c>
      <c r="FZ1" s="34" t="e">
        <f>Global!50:50-"$I0]!%%"</f>
        <v>#VALUE!</v>
      </c>
      <c r="GA1" s="34" t="e">
        <f>Global!51:51-"$I0]!%&amp;"</f>
        <v>#VALUE!</v>
      </c>
      <c r="GB1" s="34" t="e">
        <f>Global!52:52-"$I0]!%'"</f>
        <v>#VALUE!</v>
      </c>
      <c r="GC1" s="34" t="e">
        <f>Global!53:53-"$I0]!%("</f>
        <v>#VALUE!</v>
      </c>
      <c r="GD1" s="34" t="e">
        <f>Global!54:54-"$I0]!%)"</f>
        <v>#VALUE!</v>
      </c>
      <c r="GE1" s="34" t="e">
        <f>Global!55:55-"$I0]!%."</f>
        <v>#VALUE!</v>
      </c>
      <c r="GF1" s="34" t="e">
        <f>Global!56:56-"$I0]!%/"</f>
        <v>#VALUE!</v>
      </c>
      <c r="GG1" s="34" t="e">
        <f>Global!57:57-"$I0]!%0"</f>
        <v>#VALUE!</v>
      </c>
      <c r="GH1" s="34" t="e">
        <f>Global!58:58-"$I0]!%1"</f>
        <v>#VALUE!</v>
      </c>
      <c r="GI1" s="34" t="e">
        <f>Global!59:59-"$I0]!%2"</f>
        <v>#VALUE!</v>
      </c>
      <c r="GJ1" s="34" t="e">
        <f>Global!60:60-"$I0]!%3"</f>
        <v>#VALUE!</v>
      </c>
      <c r="GK1" s="34" t="e">
        <f>Global!61:61-"$I0]!%4"</f>
        <v>#VALUE!</v>
      </c>
      <c r="GL1" s="34" t="e">
        <f>Global!62:62-"$I0]!%5"</f>
        <v>#VALUE!</v>
      </c>
      <c r="GM1" s="34" t="e">
        <f>Global!63:63-"$I0]!%6"</f>
        <v>#VALUE!</v>
      </c>
      <c r="GN1" s="34" t="e">
        <f>Global!64:64-"$I0]!%7"</f>
        <v>#VALUE!</v>
      </c>
      <c r="GO1" s="34" t="e">
        <f>Global!65:65-"$I0]!%8"</f>
        <v>#VALUE!</v>
      </c>
      <c r="GP1" s="34" t="e">
        <f>Global!66:66-"$I0]!%9"</f>
        <v>#VALUE!</v>
      </c>
      <c r="GQ1" s="34" t="e">
        <f>Global!67:67-"$I0]!%:"</f>
        <v>#VALUE!</v>
      </c>
      <c r="GR1" s="34" t="e">
        <f>Global!68:68-"$I0]!%;"</f>
        <v>#VALUE!</v>
      </c>
      <c r="GS1" s="34" t="e">
        <f>Global!69:69-"$I0]!%&lt;"</f>
        <v>#VALUE!</v>
      </c>
      <c r="GT1" s="34" t="e">
        <f>Global!70:70-"$I0]!%="</f>
        <v>#VALUE!</v>
      </c>
      <c r="GU1" s="34" t="e">
        <f>Global!71:71-"$I0]!%&gt;"</f>
        <v>#VALUE!</v>
      </c>
      <c r="GV1" s="34" t="e">
        <f>Global!72:72-"$I0]!%?"</f>
        <v>#VALUE!</v>
      </c>
      <c r="GW1" s="34" t="e">
        <f>Global!73:73-"$I0]!%@"</f>
        <v>#VALUE!</v>
      </c>
      <c r="GX1" s="34" t="e">
        <f>Global!74:74-"$I0]!%A"</f>
        <v>#VALUE!</v>
      </c>
      <c r="GY1" s="34" t="e">
        <f>Global!75:75-"$I0]!%B"</f>
        <v>#VALUE!</v>
      </c>
      <c r="GZ1" s="34" t="e">
        <f>Global!76:76-"$I0]!%C"</f>
        <v>#VALUE!</v>
      </c>
      <c r="HA1" s="34" t="e">
        <f>Global!77:77-"$I0]!%D"</f>
        <v>#VALUE!</v>
      </c>
      <c r="HB1" s="34" t="e">
        <f>Global!78:78-"$I0]!%E"</f>
        <v>#VALUE!</v>
      </c>
      <c r="HC1" s="34" t="e">
        <f>Global!79:79-"$I0]!%F"</f>
        <v>#VALUE!</v>
      </c>
      <c r="HD1" s="34" t="e">
        <f>Global!80:80-"$I0]!%G"</f>
        <v>#VALUE!</v>
      </c>
      <c r="HE1" s="34" t="e">
        <f>Global!81:81-"$I0]!%H"</f>
        <v>#VALUE!</v>
      </c>
      <c r="HF1" s="34" t="e">
        <f>Global!82:82-"$I0]!%I"</f>
        <v>#VALUE!</v>
      </c>
      <c r="HG1" s="34" t="e">
        <f>Global!83:83-"$I0]!%J"</f>
        <v>#VALUE!</v>
      </c>
      <c r="HH1" s="34" t="e">
        <f>Global!84:84-"$I0]!%K"</f>
        <v>#VALUE!</v>
      </c>
      <c r="HI1" s="34" t="e">
        <f>Global!85:85-"$I0]!%L"</f>
        <v>#VALUE!</v>
      </c>
      <c r="HJ1" s="34" t="e">
        <f>Global!86:86-"$I0]!%M"</f>
        <v>#VALUE!</v>
      </c>
      <c r="HK1" s="34" t="e">
        <f>Global!87:87-"$I0]!%N"</f>
        <v>#VALUE!</v>
      </c>
      <c r="HL1" s="34" t="e">
        <f>Global!88:88-"$I0]!%O"</f>
        <v>#VALUE!</v>
      </c>
      <c r="HM1" s="34" t="e">
        <f>Global!89:89-"$I0]!%P"</f>
        <v>#VALUE!</v>
      </c>
      <c r="HN1" s="34" t="e">
        <f>Global!90:90-"$I0]!%Q"</f>
        <v>#VALUE!</v>
      </c>
      <c r="HO1" s="34" t="e">
        <f>Global!91:91-"$I0]!%R"</f>
        <v>#VALUE!</v>
      </c>
      <c r="HP1" s="34" t="e">
        <f>Global!92:92-"$I0]!%S"</f>
        <v>#VALUE!</v>
      </c>
      <c r="HQ1" s="34" t="e">
        <f>Global!93:93-"$I0]!%T"</f>
        <v>#VALUE!</v>
      </c>
      <c r="HR1" s="34" t="e">
        <f>Global!94:94-"$I0]!%U"</f>
        <v>#VALUE!</v>
      </c>
      <c r="HS1" s="34" t="e">
        <f>Global!95:95-"$I0]!%V"</f>
        <v>#VALUE!</v>
      </c>
      <c r="HT1" s="34" t="e">
        <f>Global!96:96-"$I0]!%W"</f>
        <v>#VALUE!</v>
      </c>
      <c r="HU1" s="34" t="e">
        <f>Global!97:97-"$I0]!%X"</f>
        <v>#VALUE!</v>
      </c>
      <c r="HV1" s="34" t="e">
        <f>Global!98:98-"$I0]!%Y"</f>
        <v>#VALUE!</v>
      </c>
      <c r="HW1" s="34" t="e">
        <f>Global!99:99-"$I0]!%Z"</f>
        <v>#VALUE!</v>
      </c>
      <c r="HX1" s="34" t="e">
        <f>Global!100:100-"$I0]!%["</f>
        <v>#VALUE!</v>
      </c>
      <c r="HY1" s="34" t="e">
        <f>Global!101:101-"$I0]!%\"</f>
        <v>#VALUE!</v>
      </c>
      <c r="HZ1" s="34" t="e">
        <f>Global!102:102-"$I0]!%]"</f>
        <v>#VALUE!</v>
      </c>
      <c r="IA1" s="34" t="e">
        <f>Global!103:103-"$I0]!%^"</f>
        <v>#VALUE!</v>
      </c>
      <c r="IB1" s="34" t="e">
        <f>Global!104:104-"$I0]!%_"</f>
        <v>#VALUE!</v>
      </c>
      <c r="IC1" s="34" t="e">
        <f>Global!105:105-"$I0]!%`"</f>
        <v>#VALUE!</v>
      </c>
      <c r="ID1" s="34" t="e">
        <f>Global!106:106-"$I0]!%a"</f>
        <v>#VALUE!</v>
      </c>
      <c r="IE1" s="34" t="e">
        <f>Global!107:107-"$I0]!%b"</f>
        <v>#VALUE!</v>
      </c>
      <c r="IF1" s="34" t="e">
        <f>Global!108:108-"$I0]!%c"</f>
        <v>#VALUE!</v>
      </c>
      <c r="IG1" s="34" t="e">
        <f>Global!109:109-"$I0]!%d"</f>
        <v>#VALUE!</v>
      </c>
      <c r="IH1" s="34" t="e">
        <f>Global!110:110-"$I0]!%e"</f>
        <v>#VALUE!</v>
      </c>
      <c r="II1" s="34" t="e">
        <f>Global!111:111-"$I0]!%f"</f>
        <v>#VALUE!</v>
      </c>
      <c r="IJ1" s="34" t="e">
        <f>Global!112:112-"$I0]!%g"</f>
        <v>#VALUE!</v>
      </c>
      <c r="IK1" s="34" t="e">
        <f>Global!113:113-"$I0]!%h"</f>
        <v>#VALUE!</v>
      </c>
      <c r="IL1" s="34" t="e">
        <f>Global!114:114-"$I0]!%i"</f>
        <v>#VALUE!</v>
      </c>
      <c r="IM1" s="34" t="e">
        <f>Global!115:115-"$I0]!%j"</f>
        <v>#VALUE!</v>
      </c>
      <c r="IN1" s="34" t="e">
        <f>Global!116:116-"$I0]!%k"</f>
        <v>#VALUE!</v>
      </c>
      <c r="IO1" s="34" t="e">
        <f>Global!117:117-"$I0]!%l"</f>
        <v>#VALUE!</v>
      </c>
      <c r="IP1" s="34" t="e">
        <f>Global!118:118-"$I0]!%m"</f>
        <v>#VALUE!</v>
      </c>
      <c r="IQ1" s="34" t="e">
        <f>Global!119:119-"$I0]!%n"</f>
        <v>#VALUE!</v>
      </c>
      <c r="IR1" s="34" t="e">
        <f>Global!120:120-"$I0]!%o"</f>
        <v>#VALUE!</v>
      </c>
      <c r="IS1" s="34" t="e">
        <f>Global!121:121-"$I0]!%p"</f>
        <v>#VALUE!</v>
      </c>
      <c r="IT1" s="34" t="e">
        <f>Global!122:122-"$I0]!%q"</f>
        <v>#VALUE!</v>
      </c>
      <c r="IU1" s="34" t="e">
        <f>Global!123:123-"$I0]!%r"</f>
        <v>#VALUE!</v>
      </c>
      <c r="IV1" s="34" t="e">
        <f>Global!124:124-"$I0]!%s"</f>
        <v>#VALUE!</v>
      </c>
    </row>
    <row r="2" spans="1:256" x14ac:dyDescent="0.25">
      <c r="A2" t="s">
        <v>457</v>
      </c>
      <c r="F2" s="34" t="e">
        <f>Global!125:125-"$I0]!%t"</f>
        <v>#VALUE!</v>
      </c>
      <c r="G2" s="34" t="e">
        <f>Global!126:126-"$I0]!%u"</f>
        <v>#VALUE!</v>
      </c>
      <c r="H2" s="34" t="e">
        <f>Global!127:127-"$I0]!%v"</f>
        <v>#VALUE!</v>
      </c>
      <c r="I2" s="34" t="e">
        <f>Global!128:128-"$I0]!%w"</f>
        <v>#VALUE!</v>
      </c>
      <c r="J2" s="34" t="e">
        <f>Global!129:129-"$I0]!%x"</f>
        <v>#VALUE!</v>
      </c>
      <c r="K2" s="34" t="e">
        <f>Global!130:130-"$I0]!%y"</f>
        <v>#VALUE!</v>
      </c>
      <c r="L2" s="34" t="e">
        <f>Global!131:131-"$I0]!%z"</f>
        <v>#VALUE!</v>
      </c>
      <c r="M2" s="34" t="e">
        <f>Global!132:132-"$I0]!%{"</f>
        <v>#VALUE!</v>
      </c>
      <c r="N2" s="34" t="e">
        <f>Global!133:133-"$I0]!%|"</f>
        <v>#VALUE!</v>
      </c>
      <c r="O2" s="34" t="e">
        <f>Global!134:134-"$I0]!%}"</f>
        <v>#VALUE!</v>
      </c>
      <c r="P2" s="34" t="e">
        <f>Global!135:135-"$I0]!%~"</f>
        <v>#VALUE!</v>
      </c>
      <c r="Q2" s="34" t="e">
        <f>Global!136:136-"$I0]!&amp;#"</f>
        <v>#VALUE!</v>
      </c>
      <c r="R2" s="34" t="e">
        <f>Global!137:137-"$I0]!&amp;$"</f>
        <v>#VALUE!</v>
      </c>
      <c r="S2" s="34" t="e">
        <f>Global!138:138-"$I0]!&amp;%"</f>
        <v>#VALUE!</v>
      </c>
      <c r="T2" s="34" t="e">
        <f>Global!139:139-"$I0]!&amp;&amp;"</f>
        <v>#VALUE!</v>
      </c>
      <c r="U2" s="34" t="e">
        <f>Global!140:140-"$I0]!&amp;'"</f>
        <v>#VALUE!</v>
      </c>
      <c r="V2" s="34" t="e">
        <f>Global!141:141-"$I0]!&amp;("</f>
        <v>#VALUE!</v>
      </c>
      <c r="W2" s="34" t="e">
        <f>Global!142:142-"$I0]!&amp;)"</f>
        <v>#VALUE!</v>
      </c>
      <c r="X2" s="34" t="e">
        <f>Global!143:143-"$I0]!&amp;."</f>
        <v>#VALUE!</v>
      </c>
      <c r="Y2" s="34" t="e">
        <f>Global!144:144-"$I0]!&amp;/"</f>
        <v>#VALUE!</v>
      </c>
      <c r="Z2" s="34" t="e">
        <f>Global!145:145-"$I0]!&amp;0"</f>
        <v>#VALUE!</v>
      </c>
      <c r="AA2" s="34" t="e">
        <f>Global!146:146-"$I0]!&amp;1"</f>
        <v>#VALUE!</v>
      </c>
      <c r="AB2" s="34" t="e">
        <f>Global!147:147-"$I0]!&amp;2"</f>
        <v>#VALUE!</v>
      </c>
      <c r="AC2" s="34" t="e">
        <f>Global!148:148-"$I0]!&amp;3"</f>
        <v>#VALUE!</v>
      </c>
      <c r="AD2" s="34" t="e">
        <f>Global!149:149-"$I0]!&amp;4"</f>
        <v>#VALUE!</v>
      </c>
      <c r="AE2" s="34" t="e">
        <f>Global!150:150-"$I0]!&amp;5"</f>
        <v>#VALUE!</v>
      </c>
      <c r="AF2" s="34" t="e">
        <f>Global!151:151-"$I0]!&amp;6"</f>
        <v>#VALUE!</v>
      </c>
      <c r="AG2" s="34" t="e">
        <f>Global!152:152-"$I0]!&amp;7"</f>
        <v>#VALUE!</v>
      </c>
      <c r="AH2" s="34" t="e">
        <f>Global!153:153-"$I0]!&amp;8"</f>
        <v>#VALUE!</v>
      </c>
      <c r="AI2" s="34" t="e">
        <f>Global!154:154-"$I0]!&amp;9"</f>
        <v>#VALUE!</v>
      </c>
      <c r="AJ2" s="34" t="e">
        <f>Global!155:155-"$I0]!&amp;:"</f>
        <v>#VALUE!</v>
      </c>
      <c r="AK2" s="34" t="e">
        <f>Global!156:156-"$I0]!&amp;;"</f>
        <v>#VALUE!</v>
      </c>
      <c r="AL2" s="34" t="e">
        <f>Global!157:157-"$I0]!&amp;&lt;"</f>
        <v>#VALUE!</v>
      </c>
      <c r="AM2" s="34" t="e">
        <f>Global!158:158-"$I0]!&amp;="</f>
        <v>#VALUE!</v>
      </c>
      <c r="AN2" s="34" t="e">
        <f>Global!159:159-"$I0]!&amp;&gt;"</f>
        <v>#VALUE!</v>
      </c>
      <c r="AO2" s="34" t="e">
        <f>Global!160:160-"$I0]!&amp;?"</f>
        <v>#VALUE!</v>
      </c>
      <c r="AP2" s="34" t="e">
        <f>Global!161:161-"$I0]!&amp;@"</f>
        <v>#VALUE!</v>
      </c>
      <c r="AQ2" s="34" t="e">
        <f>Global!162:162-"$I0]!&amp;A"</f>
        <v>#VALUE!</v>
      </c>
      <c r="AR2" s="34" t="e">
        <f>Global!163:163-"$I0]!&amp;B"</f>
        <v>#VALUE!</v>
      </c>
      <c r="AS2" s="34" t="e">
        <f>Global!164:164-"$I0]!&amp;C"</f>
        <v>#VALUE!</v>
      </c>
      <c r="AT2" s="34" t="e">
        <f>Global!165:165-"$I0]!&amp;D"</f>
        <v>#VALUE!</v>
      </c>
      <c r="AU2" s="34" t="e">
        <f>Global!166:166-"$I0]!&amp;E"</f>
        <v>#VALUE!</v>
      </c>
      <c r="AV2" s="34" t="e">
        <f>Global!167:167-"$I0]!&amp;F"</f>
        <v>#VALUE!</v>
      </c>
      <c r="AW2" s="34" t="e">
        <f>Global!168:168-"$I0]!&amp;G"</f>
        <v>#VALUE!</v>
      </c>
      <c r="AX2" s="34" t="e">
        <f>Global!169:169-"$I0]!&amp;H"</f>
        <v>#VALUE!</v>
      </c>
      <c r="AY2" s="34" t="e">
        <f>Global!170:170-"$I0]!&amp;I"</f>
        <v>#VALUE!</v>
      </c>
      <c r="AZ2" s="34" t="e">
        <f>Global!171:171-"$I0]!&amp;J"</f>
        <v>#VALUE!</v>
      </c>
      <c r="BA2" s="34" t="e">
        <f>Global!172:172-"$I0]!&amp;K"</f>
        <v>#VALUE!</v>
      </c>
      <c r="BB2" s="34" t="e">
        <f>Global!173:173-"$I0]!&amp;L"</f>
        <v>#VALUE!</v>
      </c>
      <c r="BC2" s="34" t="e">
        <f>Global!174:174-"$I0]!&amp;M"</f>
        <v>#VALUE!</v>
      </c>
      <c r="BD2" s="34" t="e">
        <f>Global!175:175-"$I0]!&amp;N"</f>
        <v>#VALUE!</v>
      </c>
      <c r="BE2" s="34" t="e">
        <f>Global!176:176-"$I0]!&amp;O"</f>
        <v>#VALUE!</v>
      </c>
      <c r="BF2" s="34" t="e">
        <f>Global!177:177-"$I0]!&amp;P"</f>
        <v>#VALUE!</v>
      </c>
      <c r="BG2" s="34" t="e">
        <f>Global!178:178-"$I0]!&amp;Q"</f>
        <v>#VALUE!</v>
      </c>
      <c r="BH2" s="34" t="e">
        <f>Global!179:179-"$I0]!&amp;R"</f>
        <v>#VALUE!</v>
      </c>
      <c r="BI2" s="34" t="e">
        <f>Global!180:180-"$I0]!&amp;S"</f>
        <v>#VALUE!</v>
      </c>
      <c r="BJ2" s="34" t="e">
        <f>Global!181:181-"$I0]!&amp;T"</f>
        <v>#VALUE!</v>
      </c>
      <c r="BK2" s="34" t="e">
        <f>Global!182:182-"$I0]!&amp;U"</f>
        <v>#VALUE!</v>
      </c>
      <c r="BL2" s="34" t="e">
        <f>Global!183:183-"$I0]!&amp;V"</f>
        <v>#VALUE!</v>
      </c>
      <c r="BM2" s="34" t="e">
        <f>Global!184:184-"$I0]!&amp;W"</f>
        <v>#VALUE!</v>
      </c>
      <c r="BN2" s="34" t="e">
        <f>Global!185:185-"$I0]!&amp;X"</f>
        <v>#VALUE!</v>
      </c>
      <c r="BO2" s="34" t="e">
        <f>Global!186:186-"$I0]!&amp;Y"</f>
        <v>#VALUE!</v>
      </c>
      <c r="BP2" s="34" t="e">
        <f>Global!187:187-"$I0]!&amp;Z"</f>
        <v>#VALUE!</v>
      </c>
      <c r="BQ2" s="34" t="e">
        <f>Global!188:188-"$I0]!&amp;["</f>
        <v>#VALUE!</v>
      </c>
      <c r="BR2" s="34" t="e">
        <f>Global!189:189-"$I0]!&amp;\"</f>
        <v>#VALUE!</v>
      </c>
      <c r="BS2" s="34" t="e">
        <f>Global!190:190-"$I0]!&amp;]"</f>
        <v>#VALUE!</v>
      </c>
      <c r="BT2" s="34" t="e">
        <f>Global!191:191-"$I0]!&amp;^"</f>
        <v>#VALUE!</v>
      </c>
      <c r="BU2" s="34" t="e">
        <f>Global!192:192-"$I0]!&amp;_"</f>
        <v>#VALUE!</v>
      </c>
      <c r="BV2" s="34" t="e">
        <f>Global!193:193-"$I0]!&amp;`"</f>
        <v>#VALUE!</v>
      </c>
      <c r="BW2" s="34" t="e">
        <f>Global!194:194-"$I0]!&amp;a"</f>
        <v>#VALUE!</v>
      </c>
      <c r="BX2" s="34" t="e">
        <f>Global!195:195-"$I0]!&amp;b"</f>
        <v>#VALUE!</v>
      </c>
      <c r="BY2" s="34" t="e">
        <f>Global!196:196-"$I0]!&amp;c"</f>
        <v>#VALUE!</v>
      </c>
      <c r="BZ2" s="34" t="e">
        <f>Global!197:197-"$I0]!&amp;d"</f>
        <v>#VALUE!</v>
      </c>
      <c r="CA2" s="34" t="e">
        <f>Global!198:198-"$I0]!&amp;e"</f>
        <v>#VALUE!</v>
      </c>
      <c r="CB2" s="34" t="e">
        <f>Global!199:199-"$I0]!&amp;f"</f>
        <v>#VALUE!</v>
      </c>
      <c r="CC2" s="34" t="e">
        <f>Global!200:200-"$I0]!&amp;g"</f>
        <v>#VALUE!</v>
      </c>
      <c r="CD2" s="34" t="e">
        <f>Global!201:201-"$I0]!&amp;h"</f>
        <v>#VALUE!</v>
      </c>
      <c r="CE2" s="34" t="e">
        <f>Global!202:202-"$I0]!&amp;i"</f>
        <v>#VALUE!</v>
      </c>
      <c r="CF2" s="34" t="e">
        <f>Global!203:203-"$I0]!&amp;j"</f>
        <v>#VALUE!</v>
      </c>
      <c r="CG2" s="34" t="e">
        <f>Global!204:204-"$I0]!&amp;k"</f>
        <v>#VALUE!</v>
      </c>
      <c r="CH2" s="34" t="e">
        <f>Global!205:205-"$I0]!&amp;l"</f>
        <v>#VALUE!</v>
      </c>
      <c r="CI2" s="34" t="e">
        <f>Global!206:206-"$I0]!&amp;m"</f>
        <v>#VALUE!</v>
      </c>
      <c r="CJ2" s="34" t="e">
        <f>Global!207:207-"$I0]!&amp;n"</f>
        <v>#VALUE!</v>
      </c>
      <c r="CK2" s="34" t="e">
        <f>Global!208:208-"$I0]!&amp;o"</f>
        <v>#VALUE!</v>
      </c>
      <c r="CL2" s="34" t="e">
        <f>Global!209:209-"$I0]!&amp;p"</f>
        <v>#VALUE!</v>
      </c>
      <c r="CM2" s="34" t="e">
        <f>Global!210:210-"$I0]!&amp;q"</f>
        <v>#VALUE!</v>
      </c>
      <c r="CN2" s="34" t="e">
        <f>Global!211:211-"$I0]!&amp;r"</f>
        <v>#VALUE!</v>
      </c>
      <c r="CO2" s="34" t="e">
        <f>Global!212:212-"$I0]!&amp;s"</f>
        <v>#VALUE!</v>
      </c>
      <c r="CP2" s="34" t="e">
        <f>Global!213:213-"$I0]!&amp;t"</f>
        <v>#VALUE!</v>
      </c>
      <c r="CQ2" s="34" t="e">
        <f>Global!214:214-"$I0]!&amp;u"</f>
        <v>#VALUE!</v>
      </c>
      <c r="CR2" s="34" t="e">
        <f>Global!215:215-"$I0]!&amp;v"</f>
        <v>#VALUE!</v>
      </c>
      <c r="CS2" s="34" t="e">
        <f>Global!216:216-"$I0]!&amp;w"</f>
        <v>#VALUE!</v>
      </c>
      <c r="CT2" s="34" t="e">
        <f>Global!217:217-"$I0]!&amp;x"</f>
        <v>#VALUE!</v>
      </c>
      <c r="CU2" s="34" t="e">
        <f>Global!218:218-"$I0]!&amp;y"</f>
        <v>#VALUE!</v>
      </c>
      <c r="CV2" s="34" t="e">
        <f>Global!219:219-"$I0]!&amp;z"</f>
        <v>#VALUE!</v>
      </c>
      <c r="CW2" s="34" t="e">
        <f>Global!220:220-"$I0]!&amp;{"</f>
        <v>#VALUE!</v>
      </c>
      <c r="CX2" s="34" t="e">
        <f>Global!221:221-"$I0]!&amp;|"</f>
        <v>#VALUE!</v>
      </c>
      <c r="CY2" s="34" t="e">
        <f>Global!222:222-"$I0]!&amp;}"</f>
        <v>#VALUE!</v>
      </c>
      <c r="CZ2" s="34" t="e">
        <f>Global!223:223-"$I0]!&amp;~"</f>
        <v>#VALUE!</v>
      </c>
      <c r="DA2" s="34" t="e">
        <f>Global!224:224-"$I0]!'#"</f>
        <v>#VALUE!</v>
      </c>
      <c r="DB2" s="34" t="e">
        <f>Global!225:225-"$I0]!'$"</f>
        <v>#VALUE!</v>
      </c>
      <c r="DC2" s="34" t="e">
        <f>Global!A1+"$I0]!'%"</f>
        <v>#VALUE!</v>
      </c>
      <c r="DD2" s="34" t="e">
        <f>Global!B1+"$I0]!'&amp;"</f>
        <v>#VALUE!</v>
      </c>
      <c r="DE2" s="34" t="e">
        <f>Global!C1+"$I0]!''"</f>
        <v>#VALUE!</v>
      </c>
      <c r="DF2" s="34" t="e">
        <f>Global!D1+"$I0]!'("</f>
        <v>#VALUE!</v>
      </c>
      <c r="DG2" s="34" t="e">
        <f>Global!E1+"$I0]!')"</f>
        <v>#VALUE!</v>
      </c>
      <c r="DH2" s="34" t="e">
        <f>Global!F1+"$I0]!'."</f>
        <v>#VALUE!</v>
      </c>
      <c r="DI2" s="34" t="e">
        <f>Global!G1+"$I0]!'/"</f>
        <v>#VALUE!</v>
      </c>
      <c r="DJ2" s="34" t="e">
        <f>Global!H1+"$I0]!'0"</f>
        <v>#VALUE!</v>
      </c>
      <c r="DK2" s="34" t="e">
        <f>Global!I1+"$I0]!'1"</f>
        <v>#VALUE!</v>
      </c>
      <c r="DL2" s="34" t="e">
        <f>Global!J1+"$I0]!'2"</f>
        <v>#VALUE!</v>
      </c>
      <c r="DM2" s="34" t="e">
        <f>Global!K1+"$I0]!'3"</f>
        <v>#VALUE!</v>
      </c>
      <c r="DN2" s="34" t="e">
        <f>Global!L1+"$I0]!'4"</f>
        <v>#VALUE!</v>
      </c>
      <c r="DO2" s="34" t="e">
        <f>Global!M1+"$I0]!'5"</f>
        <v>#VALUE!</v>
      </c>
      <c r="DP2" s="34" t="e">
        <f>Global!N1+"$I0]!'6"</f>
        <v>#VALUE!</v>
      </c>
      <c r="DQ2" s="34" t="e">
        <f>Global!O1+"$I0]!'7"</f>
        <v>#VALUE!</v>
      </c>
      <c r="DR2" s="34" t="e">
        <f>Global!P1+"$I0]!'8"</f>
        <v>#VALUE!</v>
      </c>
      <c r="DS2" s="34" t="e">
        <f>Global!Q1+"$I0]!'9"</f>
        <v>#VALUE!</v>
      </c>
      <c r="DT2" s="34" t="e">
        <f>Global!R1+"$I0]!':"</f>
        <v>#VALUE!</v>
      </c>
      <c r="DU2" s="34" t="e">
        <f>Global!S1+"$I0]!';"</f>
        <v>#VALUE!</v>
      </c>
      <c r="DV2" s="34" t="e">
        <f>Global!T1+"$I0]!'&lt;"</f>
        <v>#VALUE!</v>
      </c>
      <c r="DW2" s="34" t="e">
        <f>Global!U1+"$I0]!'="</f>
        <v>#VALUE!</v>
      </c>
      <c r="DX2" s="34" t="e">
        <f>Global!V1+"$I0]!'&gt;"</f>
        <v>#VALUE!</v>
      </c>
      <c r="DY2" s="34" t="e">
        <f>Global!W1+"$I0]!'?"</f>
        <v>#VALUE!</v>
      </c>
      <c r="DZ2" s="34" t="e">
        <f>Global!X1+"$I0]!'@"</f>
        <v>#VALUE!</v>
      </c>
      <c r="EA2" s="34" t="e">
        <f>Global!Y1+"$I0]!'A"</f>
        <v>#VALUE!</v>
      </c>
      <c r="EB2" s="34" t="e">
        <f>Global!Z1+"$I0]!'B"</f>
        <v>#VALUE!</v>
      </c>
      <c r="EC2" s="34" t="e">
        <f>Global!AA1+"$I0]!'C"</f>
        <v>#VALUE!</v>
      </c>
      <c r="ED2" s="34" t="e">
        <f>Global!AB1+"$I0]!'D"</f>
        <v>#VALUE!</v>
      </c>
      <c r="EE2" s="34" t="e">
        <f>Global!AC1+"$I0]!'E"</f>
        <v>#VALUE!</v>
      </c>
      <c r="EF2" s="34" t="e">
        <f>Global!AD1+"$I0]!'F"</f>
        <v>#VALUE!</v>
      </c>
      <c r="EG2" s="34" t="e">
        <f>Global!AE1+"$I0]!'G"</f>
        <v>#VALUE!</v>
      </c>
      <c r="EH2" s="34" t="e">
        <f>Global!AF1+"$I0]!'H"</f>
        <v>#VALUE!</v>
      </c>
      <c r="EI2" s="34" t="e">
        <f>Global!AG1+"$I0]!'I"</f>
        <v>#VALUE!</v>
      </c>
      <c r="EJ2" s="34" t="e">
        <f>Global!AH1+"$I0]!'J"</f>
        <v>#VALUE!</v>
      </c>
      <c r="EK2" s="34" t="e">
        <f>Global!AI1+"$I0]!'K"</f>
        <v>#VALUE!</v>
      </c>
      <c r="EL2" s="34" t="e">
        <f>Global!AJ1+"$I0]!'L"</f>
        <v>#VALUE!</v>
      </c>
      <c r="EM2" s="34" t="e">
        <f>Global!AK1+"$I0]!'M"</f>
        <v>#VALUE!</v>
      </c>
      <c r="EN2" s="34" t="e">
        <f>Global!AL1+"$I0]!'N"</f>
        <v>#VALUE!</v>
      </c>
      <c r="EO2" s="34" t="e">
        <f>Global!AM1+"$I0]!'O"</f>
        <v>#VALUE!</v>
      </c>
      <c r="EP2" s="34" t="e">
        <f>Global!AN1+"$I0]!'P"</f>
        <v>#VALUE!</v>
      </c>
      <c r="EQ2" s="34" t="e">
        <f>Global!AO1+"$I0]!'Q"</f>
        <v>#VALUE!</v>
      </c>
      <c r="ER2" s="34" t="e">
        <f>Global!AP1+"$I0]!'R"</f>
        <v>#VALUE!</v>
      </c>
      <c r="ES2" s="34" t="e">
        <f>Global!AQ1+"$I0]!'S"</f>
        <v>#VALUE!</v>
      </c>
      <c r="ET2" s="34" t="e">
        <f>Global!AR1+"$I0]!'T"</f>
        <v>#VALUE!</v>
      </c>
      <c r="EU2" s="34" t="e">
        <f>Global!AS1+"$I0]!'U"</f>
        <v>#VALUE!</v>
      </c>
      <c r="EV2" s="34" t="e">
        <f>Global!AT1+"$I0]!'V"</f>
        <v>#VALUE!</v>
      </c>
      <c r="EW2" s="34" t="e">
        <f>Global!AU1+"$I0]!'W"</f>
        <v>#VALUE!</v>
      </c>
      <c r="EX2" s="34" t="e">
        <f>Global!AV1+"$I0]!'X"</f>
        <v>#VALUE!</v>
      </c>
      <c r="EY2" s="34" t="e">
        <f>Global!AW1+"$I0]!'Y"</f>
        <v>#VALUE!</v>
      </c>
      <c r="EZ2" s="34" t="e">
        <f>Global!AX1+"$I0]!'Z"</f>
        <v>#VALUE!</v>
      </c>
      <c r="FA2" s="34" t="e">
        <f>Global!AY1+"$I0]!'["</f>
        <v>#VALUE!</v>
      </c>
      <c r="FB2" s="34" t="e">
        <f>Global!AZ1+"$I0]!'\"</f>
        <v>#VALUE!</v>
      </c>
      <c r="FC2" s="34" t="e">
        <f>Global!BA1+"$I0]!']"</f>
        <v>#VALUE!</v>
      </c>
      <c r="FD2" s="34" t="e">
        <f>Global!BB1+"$I0]!'^"</f>
        <v>#VALUE!</v>
      </c>
      <c r="FE2" s="34" t="e">
        <f>Global!BC1+"$I0]!'_"</f>
        <v>#VALUE!</v>
      </c>
      <c r="FF2" s="34" t="e">
        <f>Global!BD1+"$I0]!'`"</f>
        <v>#VALUE!</v>
      </c>
      <c r="FG2" s="34" t="e">
        <f>Global!BE1+"$I0]!'a"</f>
        <v>#VALUE!</v>
      </c>
      <c r="FH2" s="34" t="e">
        <f>Global!BF1+"$I0]!'b"</f>
        <v>#VALUE!</v>
      </c>
      <c r="FI2" s="34" t="e">
        <f>Global!BG1+"$I0]!'c"</f>
        <v>#VALUE!</v>
      </c>
      <c r="FJ2" s="34" t="e">
        <f>Global!BH1+"$I0]!'d"</f>
        <v>#VALUE!</v>
      </c>
      <c r="FK2" s="34" t="e">
        <f>Global!BI1+"$I0]!'e"</f>
        <v>#VALUE!</v>
      </c>
      <c r="FL2" s="34" t="e">
        <f>Global!BJ1+"$I0]!'f"</f>
        <v>#VALUE!</v>
      </c>
      <c r="FM2" s="34" t="e">
        <f>Global!BK1+"$I0]!'g"</f>
        <v>#VALUE!</v>
      </c>
      <c r="FN2" s="34" t="e">
        <f>Global!BL1+"$I0]!'h"</f>
        <v>#VALUE!</v>
      </c>
      <c r="FO2" s="34" t="e">
        <f>Global!BM1+"$I0]!'i"</f>
        <v>#VALUE!</v>
      </c>
      <c r="FP2" s="34" t="e">
        <f>Global!BN1+"$I0]!'j"</f>
        <v>#VALUE!</v>
      </c>
      <c r="FQ2" s="34" t="e">
        <f>Global!BO1+"$I0]!'k"</f>
        <v>#VALUE!</v>
      </c>
      <c r="FR2" s="34" t="e">
        <f>Global!BP1+"$I0]!'l"</f>
        <v>#VALUE!</v>
      </c>
      <c r="FS2" s="34" t="e">
        <f>Global!BQ1+"$I0]!'m"</f>
        <v>#VALUE!</v>
      </c>
      <c r="FT2" s="34" t="e">
        <f>Global!BR1+"$I0]!'n"</f>
        <v>#VALUE!</v>
      </c>
      <c r="FU2" s="34" t="e">
        <f>Global!BS1+"$I0]!'o"</f>
        <v>#VALUE!</v>
      </c>
      <c r="FV2" s="34" t="e">
        <f>Global!BT1+"$I0]!'p"</f>
        <v>#VALUE!</v>
      </c>
      <c r="FW2" s="34" t="e">
        <f>Global!BU1+"$I0]!'q"</f>
        <v>#VALUE!</v>
      </c>
      <c r="FX2" s="34" t="e">
        <f>Global!BV1+"$I0]!'r"</f>
        <v>#VALUE!</v>
      </c>
      <c r="FY2" s="34" t="e">
        <f>Global!BW1+"$I0]!'s"</f>
        <v>#VALUE!</v>
      </c>
      <c r="FZ2" s="34" t="e">
        <f>Global!BX1+"$I0]!'t"</f>
        <v>#VALUE!</v>
      </c>
      <c r="GA2" s="34" t="e">
        <f>Global!BY1+"$I0]!'u"</f>
        <v>#VALUE!</v>
      </c>
      <c r="GB2" t="e">
        <f>Global!A2+"$I0]!'v"</f>
        <v>#VALUE!</v>
      </c>
      <c r="GC2" s="34" t="e">
        <f>Global!B2+"$I0]!'w"</f>
        <v>#VALUE!</v>
      </c>
      <c r="GD2" s="34" t="e">
        <f>Global!C2+"$I0]!'x"</f>
        <v>#VALUE!</v>
      </c>
      <c r="GE2" s="34" t="e">
        <f>Global!D2+"$I0]!'y"</f>
        <v>#VALUE!</v>
      </c>
      <c r="GF2" s="34" t="e">
        <f>Global!E2+"$I0]!'z"</f>
        <v>#VALUE!</v>
      </c>
      <c r="GG2" s="34" t="e">
        <f>Global!F2+"$I0]!'{"</f>
        <v>#VALUE!</v>
      </c>
      <c r="GH2" s="34" t="e">
        <f>Global!G2+"$I0]!'|"</f>
        <v>#VALUE!</v>
      </c>
      <c r="GI2" s="34" t="e">
        <f>Global!H2+"$I0]!'}"</f>
        <v>#VALUE!</v>
      </c>
      <c r="GJ2" s="34" t="e">
        <f>Global!I2+"$I0]!'~"</f>
        <v>#VALUE!</v>
      </c>
      <c r="GK2" t="e">
        <f>Global!J2+"$I0]!(#"</f>
        <v>#VALUE!</v>
      </c>
      <c r="GL2" s="34" t="e">
        <f>Global!K2+"$I0]!($"</f>
        <v>#VALUE!</v>
      </c>
      <c r="GM2" s="34" t="e">
        <f>Global!L2+"$I0]!(%"</f>
        <v>#VALUE!</v>
      </c>
      <c r="GN2" t="e">
        <f>Global!M2+"$I0]!(&amp;"</f>
        <v>#VALUE!</v>
      </c>
      <c r="GO2" s="34" t="e">
        <f>Global!N2+"$I0]!('"</f>
        <v>#VALUE!</v>
      </c>
      <c r="GP2" s="34" t="e">
        <f>Global!O2+"$I0]!(("</f>
        <v>#VALUE!</v>
      </c>
      <c r="GQ2" s="34" t="e">
        <f>Global!P2+"$I0]!()"</f>
        <v>#VALUE!</v>
      </c>
      <c r="GR2" s="34" t="e">
        <f>Global!Q2+"$I0]!(."</f>
        <v>#VALUE!</v>
      </c>
      <c r="GS2" s="34" t="e">
        <f>Global!R2+"$I0]!(/"</f>
        <v>#VALUE!</v>
      </c>
      <c r="GT2" s="34" t="e">
        <f>Global!S2+"$I0]!(0"</f>
        <v>#VALUE!</v>
      </c>
      <c r="GU2" s="34" t="e">
        <f>Global!T2+"$I0]!(1"</f>
        <v>#VALUE!</v>
      </c>
      <c r="GV2" s="34" t="e">
        <f>Global!U2+"$I0]!(2"</f>
        <v>#VALUE!</v>
      </c>
      <c r="GW2" s="34" t="e">
        <f>Global!V2+"$I0]!(3"</f>
        <v>#VALUE!</v>
      </c>
      <c r="GX2" s="34" t="e">
        <f>Global!W2+"$I0]!(4"</f>
        <v>#VALUE!</v>
      </c>
      <c r="GY2" s="34" t="e">
        <f>Global!X2+"$I0]!(5"</f>
        <v>#VALUE!</v>
      </c>
      <c r="GZ2" s="34" t="e">
        <f>Global!Y2+"$I0]!(6"</f>
        <v>#VALUE!</v>
      </c>
      <c r="HA2" s="34" t="e">
        <f>Global!Z2+"$I0]!(7"</f>
        <v>#VALUE!</v>
      </c>
      <c r="HB2" s="34" t="e">
        <f>Global!AA2+"$I0]!(8"</f>
        <v>#VALUE!</v>
      </c>
      <c r="HC2" s="34" t="e">
        <f>Global!AB2+"$I0]!(9"</f>
        <v>#VALUE!</v>
      </c>
      <c r="HD2" s="34" t="e">
        <f>Global!AD2+"$I0]!(:"</f>
        <v>#VALUE!</v>
      </c>
      <c r="HE2" s="34" t="e">
        <f>Global!AE2+"$I0]!(;"</f>
        <v>#VALUE!</v>
      </c>
      <c r="HF2" s="34" t="e">
        <f>Global!AF2+"$I0]!(&lt;"</f>
        <v>#VALUE!</v>
      </c>
      <c r="HG2" s="34" t="e">
        <f>Global!AG2+"$I0]!(="</f>
        <v>#VALUE!</v>
      </c>
      <c r="HH2" s="34" t="e">
        <f>Global!AH2+"$I0]!(&gt;"</f>
        <v>#VALUE!</v>
      </c>
      <c r="HI2" s="34" t="e">
        <f>Global!AI2+"$I0]!(?"</f>
        <v>#VALUE!</v>
      </c>
      <c r="HJ2" s="34" t="e">
        <f>Global!AJ2+"$I0]!(@"</f>
        <v>#VALUE!</v>
      </c>
      <c r="HK2" s="34" t="e">
        <f>Global!AK2+"$I0]!(A"</f>
        <v>#VALUE!</v>
      </c>
      <c r="HL2" s="34" t="e">
        <f>Global!AL2+"$I0]!(B"</f>
        <v>#VALUE!</v>
      </c>
      <c r="HM2" s="34" t="e">
        <f>Global!AM2+"$I0]!(C"</f>
        <v>#VALUE!</v>
      </c>
      <c r="HN2" s="34" t="e">
        <f>Global!AN2+"$I0]!(D"</f>
        <v>#VALUE!</v>
      </c>
      <c r="HO2" s="34" t="e">
        <f>Global!AO2+"$I0]!(E"</f>
        <v>#VALUE!</v>
      </c>
      <c r="HP2" s="34" t="e">
        <f>Global!AP2+"$I0]!(F"</f>
        <v>#VALUE!</v>
      </c>
      <c r="HQ2" s="34" t="e">
        <f>Global!AQ2+"$I0]!(G"</f>
        <v>#VALUE!</v>
      </c>
      <c r="HR2" s="34" t="e">
        <f>Global!AR2+"$I0]!(H"</f>
        <v>#VALUE!</v>
      </c>
      <c r="HS2" s="34" t="e">
        <f>Global!AS2+"$I0]!(I"</f>
        <v>#VALUE!</v>
      </c>
      <c r="HT2" s="34" t="e">
        <f>Global!AT2+"$I0]!(J"</f>
        <v>#VALUE!</v>
      </c>
      <c r="HU2" s="34" t="e">
        <f>Global!AU2+"$I0]!(K"</f>
        <v>#VALUE!</v>
      </c>
      <c r="HV2" s="34" t="e">
        <f>Global!AV2+"$I0]!(L"</f>
        <v>#VALUE!</v>
      </c>
      <c r="HW2" s="34" t="e">
        <f>Global!AW2+"$I0]!(M"</f>
        <v>#VALUE!</v>
      </c>
      <c r="HX2" s="34" t="e">
        <f>Global!AX2+"$I0]!(N"</f>
        <v>#VALUE!</v>
      </c>
      <c r="HY2" s="34" t="e">
        <f>Global!AY2+"$I0]!(O"</f>
        <v>#VALUE!</v>
      </c>
      <c r="HZ2" t="e">
        <f>Global!AZ2+"$I0]!(P"</f>
        <v>#VALUE!</v>
      </c>
      <c r="IA2" s="34" t="e">
        <f>Global!BA2+"$I0]!(Q"</f>
        <v>#VALUE!</v>
      </c>
      <c r="IB2" s="34" t="e">
        <f>Global!BB2+"$I0]!(R"</f>
        <v>#VALUE!</v>
      </c>
      <c r="IC2" s="34" t="e">
        <f>Global!BC2+"$I0]!(S"</f>
        <v>#VALUE!</v>
      </c>
      <c r="ID2" s="34" t="e">
        <f>Global!BD2+"$I0]!(T"</f>
        <v>#VALUE!</v>
      </c>
      <c r="IE2" s="34" t="e">
        <f>Global!BE2+"$I0]!(U"</f>
        <v>#VALUE!</v>
      </c>
      <c r="IF2" s="34" t="e">
        <f>Global!BF2+"$I0]!(V"</f>
        <v>#VALUE!</v>
      </c>
      <c r="IG2" t="e">
        <f>Global!BG2+"$I0]!(W"</f>
        <v>#VALUE!</v>
      </c>
      <c r="IH2" s="34" t="e">
        <f>Global!BH2+"$I0]!(X"</f>
        <v>#VALUE!</v>
      </c>
      <c r="II2" s="34" t="e">
        <f>Global!BI2+"$I0]!(Y"</f>
        <v>#VALUE!</v>
      </c>
      <c r="IJ2" s="34" t="e">
        <f>Global!BJ2+"$I0]!(Z"</f>
        <v>#VALUE!</v>
      </c>
      <c r="IK2" s="34" t="e">
        <f>Global!BK2+"$I0]!(["</f>
        <v>#VALUE!</v>
      </c>
      <c r="IL2" s="34" t="e">
        <f>Global!BL2+"$I0]!(\"</f>
        <v>#VALUE!</v>
      </c>
      <c r="IM2" s="34" t="e">
        <f>Global!BM2+"$I0]!(]"</f>
        <v>#VALUE!</v>
      </c>
      <c r="IN2" s="34" t="e">
        <f>Global!BN2+"$I0]!(^"</f>
        <v>#VALUE!</v>
      </c>
      <c r="IO2" s="34" t="e">
        <f>Global!BO2+"$I0]!(_"</f>
        <v>#VALUE!</v>
      </c>
      <c r="IP2" s="34" t="e">
        <f>Global!BP2+"$I0]!(`"</f>
        <v>#VALUE!</v>
      </c>
      <c r="IQ2" s="34" t="e">
        <f>Global!BQ2+"$I0]!(a"</f>
        <v>#VALUE!</v>
      </c>
      <c r="IR2" s="34" t="e">
        <f>Global!BR2+"$I0]!(b"</f>
        <v>#VALUE!</v>
      </c>
      <c r="IS2" s="34" t="e">
        <f>Global!BS2+"$I0]!(c"</f>
        <v>#VALUE!</v>
      </c>
      <c r="IT2" s="34" t="e">
        <f>Global!BT2+"$I0]!(d"</f>
        <v>#VALUE!</v>
      </c>
      <c r="IU2" s="34" t="e">
        <f>Global!BU2+"$I0]!(e"</f>
        <v>#VALUE!</v>
      </c>
      <c r="IV2" s="34" t="e">
        <f>Global!BW2+"$I0]!(f"</f>
        <v>#VALUE!</v>
      </c>
    </row>
    <row r="3" spans="1:256" x14ac:dyDescent="0.25">
      <c r="A3" t="s">
        <v>458</v>
      </c>
      <c r="F3" s="34" t="e">
        <f>Global!BX2+"$I0]!(g"</f>
        <v>#VALUE!</v>
      </c>
      <c r="G3" s="34" t="e">
        <f>Global!BY2+"$I0]!(h"</f>
        <v>#VALUE!</v>
      </c>
      <c r="H3" s="34" t="e">
        <f>Global!A3+"$I0]!(i"</f>
        <v>#VALUE!</v>
      </c>
      <c r="I3" s="34" t="e">
        <f>Global!B3+"$I0]!(j"</f>
        <v>#VALUE!</v>
      </c>
      <c r="J3" s="34" t="e">
        <f>Global!C3+"$I0]!(k"</f>
        <v>#VALUE!</v>
      </c>
      <c r="K3" s="34" t="e">
        <f>Global!D3+"$I0]!(l"</f>
        <v>#VALUE!</v>
      </c>
      <c r="L3" s="34" t="e">
        <f>Global!E3+"$I0]!(m"</f>
        <v>#VALUE!</v>
      </c>
      <c r="M3" s="34" t="e">
        <f>Global!F3+"$I0]!(n"</f>
        <v>#VALUE!</v>
      </c>
      <c r="N3" s="34" t="e">
        <f>Global!G3+"$I0]!(o"</f>
        <v>#VALUE!</v>
      </c>
      <c r="O3" s="34" t="e">
        <f>Global!H3+"$I0]!(p"</f>
        <v>#VALUE!</v>
      </c>
      <c r="P3" s="34" t="e">
        <f>Global!I3+"$I0]!(q"</f>
        <v>#VALUE!</v>
      </c>
      <c r="Q3" t="e">
        <f>Global!J3+"$I0]!(r"</f>
        <v>#VALUE!</v>
      </c>
      <c r="R3" s="34" t="e">
        <f>Global!K3+"$I0]!(s"</f>
        <v>#VALUE!</v>
      </c>
      <c r="S3" s="34" t="e">
        <f>Global!L3+"$I0]!(t"</f>
        <v>#VALUE!</v>
      </c>
      <c r="T3" t="e">
        <f>Global!M3+"$I0]!(u"</f>
        <v>#VALUE!</v>
      </c>
      <c r="U3" s="34" t="e">
        <f>Global!N3+"$I0]!(v"</f>
        <v>#VALUE!</v>
      </c>
      <c r="V3" s="34" t="e">
        <f>Global!O3+"$I0]!(w"</f>
        <v>#VALUE!</v>
      </c>
      <c r="W3" s="34" t="e">
        <f>Global!P3+"$I0]!(x"</f>
        <v>#VALUE!</v>
      </c>
      <c r="X3" s="34" t="e">
        <f>Global!Q3+"$I0]!(y"</f>
        <v>#VALUE!</v>
      </c>
      <c r="Y3" s="34" t="e">
        <f>Global!R3+"$I0]!(z"</f>
        <v>#VALUE!</v>
      </c>
      <c r="Z3" s="34" t="e">
        <f>Global!S3+"$I0]!({"</f>
        <v>#VALUE!</v>
      </c>
      <c r="AA3" s="34" t="e">
        <f>Global!T3+"$I0]!(|"</f>
        <v>#VALUE!</v>
      </c>
      <c r="AB3" s="34" t="e">
        <f>Global!U3+"$I0]!(}"</f>
        <v>#VALUE!</v>
      </c>
      <c r="AC3" s="34" t="e">
        <f>Global!V3+"$I0]!(~"</f>
        <v>#VALUE!</v>
      </c>
      <c r="AD3" s="34" t="e">
        <f>Global!W3+"$I0]!)#"</f>
        <v>#VALUE!</v>
      </c>
      <c r="AE3" s="34" t="e">
        <f>Global!X3+"$I0]!)$"</f>
        <v>#VALUE!</v>
      </c>
      <c r="AF3" s="34" t="e">
        <f>Global!Y3+"$I0]!)%"</f>
        <v>#VALUE!</v>
      </c>
      <c r="AG3" s="34" t="e">
        <f>Global!Z3+"$I0]!)&amp;"</f>
        <v>#VALUE!</v>
      </c>
      <c r="AH3" s="34" t="e">
        <f>Global!AA3+"$I0]!)'"</f>
        <v>#VALUE!</v>
      </c>
      <c r="AI3" s="34" t="e">
        <f>Global!AB3+"$I0]!)("</f>
        <v>#VALUE!</v>
      </c>
      <c r="AJ3" s="34" t="e">
        <f>Global!AD3+"$I0]!))"</f>
        <v>#VALUE!</v>
      </c>
      <c r="AK3" s="34" t="e">
        <f>Global!AE3+"$I0]!)."</f>
        <v>#VALUE!</v>
      </c>
      <c r="AL3" s="34" t="e">
        <f>Global!AF3+"$I0]!)/"</f>
        <v>#VALUE!</v>
      </c>
      <c r="AM3" s="34" t="e">
        <f>Global!AG3+"$I0]!)0"</f>
        <v>#VALUE!</v>
      </c>
      <c r="AN3" s="34" t="e">
        <f>Global!AH3+"$I0]!)1"</f>
        <v>#VALUE!</v>
      </c>
      <c r="AO3" s="34" t="e">
        <f>Global!AI3+"$I0]!)2"</f>
        <v>#VALUE!</v>
      </c>
      <c r="AP3" s="34" t="e">
        <f>Global!AJ3+"$I0]!)3"</f>
        <v>#VALUE!</v>
      </c>
      <c r="AQ3" s="34" t="e">
        <f>Global!AK3+"$I0]!)4"</f>
        <v>#VALUE!</v>
      </c>
      <c r="AR3" s="34" t="e">
        <f>Global!AL3+"$I0]!)5"</f>
        <v>#VALUE!</v>
      </c>
      <c r="AS3" s="34" t="e">
        <f>Global!AM3+"$I0]!)6"</f>
        <v>#VALUE!</v>
      </c>
      <c r="AT3" s="34" t="e">
        <f>Global!AN3+"$I0]!)7"</f>
        <v>#VALUE!</v>
      </c>
      <c r="AU3" s="34" t="e">
        <f>Global!AO3+"$I0]!)8"</f>
        <v>#VALUE!</v>
      </c>
      <c r="AV3" s="34" t="e">
        <f>Global!AP3+"$I0]!)9"</f>
        <v>#VALUE!</v>
      </c>
      <c r="AW3" s="34" t="e">
        <f>Global!AQ3+"$I0]!):"</f>
        <v>#VALUE!</v>
      </c>
      <c r="AX3" s="34" t="e">
        <f>Global!AR3+"$I0]!);"</f>
        <v>#VALUE!</v>
      </c>
      <c r="AY3" s="34" t="e">
        <f>Global!AS3+"$I0]!)&lt;"</f>
        <v>#VALUE!</v>
      </c>
      <c r="AZ3" s="34" t="e">
        <f>Global!AT3+"$I0]!)="</f>
        <v>#VALUE!</v>
      </c>
      <c r="BA3" s="34" t="e">
        <f>Global!AU3+"$I0]!)&gt;"</f>
        <v>#VALUE!</v>
      </c>
      <c r="BB3" s="34" t="e">
        <f>Global!AV3+"$I0]!)?"</f>
        <v>#VALUE!</v>
      </c>
      <c r="BC3" s="34" t="e">
        <f>Global!AW3+"$I0]!)@"</f>
        <v>#VALUE!</v>
      </c>
      <c r="BD3" s="34" t="e">
        <f>Global!AX3+"$I0]!)A"</f>
        <v>#VALUE!</v>
      </c>
      <c r="BE3" s="34" t="e">
        <f>Global!AY3+"$I0]!)B"</f>
        <v>#VALUE!</v>
      </c>
      <c r="BF3" t="e">
        <f>Global!AZ3+"$I0]!)C"</f>
        <v>#VALUE!</v>
      </c>
      <c r="BG3" s="34" t="e">
        <f>Global!BA3+"$I0]!)D"</f>
        <v>#VALUE!</v>
      </c>
      <c r="BH3" s="34" t="e">
        <f>Global!BB3+"$I0]!)E"</f>
        <v>#VALUE!</v>
      </c>
      <c r="BI3" s="34" t="e">
        <f>Global!BC3+"$I0]!)F"</f>
        <v>#VALUE!</v>
      </c>
      <c r="BJ3" s="34" t="e">
        <f>Global!BD3+"$I0]!)G"</f>
        <v>#VALUE!</v>
      </c>
      <c r="BK3" s="34" t="e">
        <f>Global!BE3+"$I0]!)H"</f>
        <v>#VALUE!</v>
      </c>
      <c r="BL3" s="34" t="e">
        <f>Global!BF3+"$I0]!)I"</f>
        <v>#VALUE!</v>
      </c>
      <c r="BM3" t="e">
        <f>Global!BG3+"$I0]!)J"</f>
        <v>#VALUE!</v>
      </c>
      <c r="BN3" s="34" t="e">
        <f>Global!BH3+"$I0]!)K"</f>
        <v>#VALUE!</v>
      </c>
      <c r="BO3" s="34" t="e">
        <f>Global!BI3+"$I0]!)L"</f>
        <v>#VALUE!</v>
      </c>
      <c r="BP3" s="34" t="e">
        <f>Global!BJ3+"$I0]!)M"</f>
        <v>#VALUE!</v>
      </c>
      <c r="BQ3" s="34" t="e">
        <f>Global!BK3+"$I0]!)N"</f>
        <v>#VALUE!</v>
      </c>
      <c r="BR3" s="34" t="e">
        <f>Global!BL3+"$I0]!)O"</f>
        <v>#VALUE!</v>
      </c>
      <c r="BS3" s="34" t="e">
        <f>Global!BM3+"$I0]!)P"</f>
        <v>#VALUE!</v>
      </c>
      <c r="BT3" s="34" t="e">
        <f>Global!BN3+"$I0]!)Q"</f>
        <v>#VALUE!</v>
      </c>
      <c r="BU3" s="34" t="e">
        <f>Global!BO3+"$I0]!)R"</f>
        <v>#VALUE!</v>
      </c>
      <c r="BV3" s="34" t="e">
        <f>Global!BP3+"$I0]!)S"</f>
        <v>#VALUE!</v>
      </c>
      <c r="BW3" s="34" t="e">
        <f>Global!BQ3+"$I0]!)T"</f>
        <v>#VALUE!</v>
      </c>
      <c r="BX3" s="34" t="e">
        <f>Global!BR3+"$I0]!)U"</f>
        <v>#VALUE!</v>
      </c>
      <c r="BY3" s="34" t="e">
        <f>Global!BS3+"$I0]!)V"</f>
        <v>#VALUE!</v>
      </c>
      <c r="BZ3" s="34" t="e">
        <f>Global!BT3+"$I0]!)W"</f>
        <v>#VALUE!</v>
      </c>
      <c r="CA3" s="34" t="e">
        <f>Global!BU3+"$I0]!)X"</f>
        <v>#VALUE!</v>
      </c>
      <c r="CB3" s="34" t="e">
        <f>Global!BW3+"$I0]!)Y"</f>
        <v>#VALUE!</v>
      </c>
      <c r="CC3" s="34" t="e">
        <f>Global!BX3+"$I0]!)Z"</f>
        <v>#VALUE!</v>
      </c>
      <c r="CD3" s="34" t="e">
        <f>Global!BY3+"$I0]!)["</f>
        <v>#VALUE!</v>
      </c>
      <c r="CE3" s="34" t="e">
        <f>Global!A4+"$I0]!)\"</f>
        <v>#VALUE!</v>
      </c>
      <c r="CF3" s="34" t="e">
        <f>Global!B4+"$I0]!)]"</f>
        <v>#VALUE!</v>
      </c>
      <c r="CG3" s="34" t="e">
        <f>Global!C4+"$I0]!)^"</f>
        <v>#VALUE!</v>
      </c>
      <c r="CH3" s="34" t="e">
        <f>Global!D4+"$I0]!)_"</f>
        <v>#VALUE!</v>
      </c>
      <c r="CI3" s="34" t="e">
        <f>Global!E4+"$I0]!)`"</f>
        <v>#VALUE!</v>
      </c>
      <c r="CJ3" s="34" t="e">
        <f>Global!F4+"$I0]!)a"</f>
        <v>#VALUE!</v>
      </c>
      <c r="CK3" s="34" t="e">
        <f>Global!G4+"$I0]!)b"</f>
        <v>#VALUE!</v>
      </c>
      <c r="CL3" s="34" t="e">
        <f>Global!H4+"$I0]!)c"</f>
        <v>#VALUE!</v>
      </c>
      <c r="CM3" s="34" t="e">
        <f>Global!I4+"$I0]!)d"</f>
        <v>#VALUE!</v>
      </c>
      <c r="CN3" t="e">
        <f>Global!J4+"$I0]!)e"</f>
        <v>#VALUE!</v>
      </c>
      <c r="CO3" s="34" t="e">
        <f>Global!K4+"$I0]!)f"</f>
        <v>#VALUE!</v>
      </c>
      <c r="CP3" s="34" t="e">
        <f>Global!L4+"$I0]!)g"</f>
        <v>#VALUE!</v>
      </c>
      <c r="CQ3" t="e">
        <f>Global!M4+"$I0]!)h"</f>
        <v>#VALUE!</v>
      </c>
      <c r="CR3" s="34" t="e">
        <f>Global!N4+"$I0]!)i"</f>
        <v>#VALUE!</v>
      </c>
      <c r="CS3" s="34" t="e">
        <f>Global!O4+"$I0]!)j"</f>
        <v>#VALUE!</v>
      </c>
      <c r="CT3" s="34" t="e">
        <f>Global!P4+"$I0]!)k"</f>
        <v>#VALUE!</v>
      </c>
      <c r="CU3" s="34" t="e">
        <f>Global!Q4+"$I0]!)l"</f>
        <v>#VALUE!</v>
      </c>
      <c r="CV3" s="34" t="e">
        <f>Global!R4+"$I0]!)m"</f>
        <v>#VALUE!</v>
      </c>
      <c r="CW3" s="34" t="e">
        <f>Global!S4+"$I0]!)n"</f>
        <v>#VALUE!</v>
      </c>
      <c r="CX3" s="34" t="e">
        <f>Global!T4+"$I0]!)o"</f>
        <v>#VALUE!</v>
      </c>
      <c r="CY3" s="34" t="e">
        <f>Global!U4+"$I0]!)p"</f>
        <v>#VALUE!</v>
      </c>
      <c r="CZ3" s="34" t="e">
        <f>Global!V4+"$I0]!)q"</f>
        <v>#VALUE!</v>
      </c>
      <c r="DA3" s="34" t="e">
        <f>Global!W4+"$I0]!)r"</f>
        <v>#VALUE!</v>
      </c>
      <c r="DB3" s="34" t="e">
        <f>Global!X4+"$I0]!)s"</f>
        <v>#VALUE!</v>
      </c>
      <c r="DC3" s="34" t="e">
        <f>Global!Y4+"$I0]!)t"</f>
        <v>#VALUE!</v>
      </c>
      <c r="DD3" s="34" t="e">
        <f>Global!Z4+"$I0]!)u"</f>
        <v>#VALUE!</v>
      </c>
      <c r="DE3" s="34" t="e">
        <f>Global!AA4+"$I0]!)v"</f>
        <v>#VALUE!</v>
      </c>
      <c r="DF3" s="34" t="e">
        <f>Global!AB4+"$I0]!)w"</f>
        <v>#VALUE!</v>
      </c>
      <c r="DG3" s="34" t="e">
        <f>Global!AD4+"$I0]!)x"</f>
        <v>#VALUE!</v>
      </c>
      <c r="DH3" s="34" t="e">
        <f>Global!AE4+"$I0]!)y"</f>
        <v>#VALUE!</v>
      </c>
      <c r="DI3" s="34" t="e">
        <f>Global!AF4+"$I0]!)z"</f>
        <v>#VALUE!</v>
      </c>
      <c r="DJ3" s="34" t="e">
        <f>Global!AG4+"$I0]!){"</f>
        <v>#VALUE!</v>
      </c>
      <c r="DK3" s="34" t="e">
        <f>Global!AH4+"$I0]!)|"</f>
        <v>#VALUE!</v>
      </c>
      <c r="DL3" s="34" t="e">
        <f>Global!AI4+"$I0]!)}"</f>
        <v>#VALUE!</v>
      </c>
      <c r="DM3" s="34" t="e">
        <f>Global!AJ4+"$I0]!)~"</f>
        <v>#VALUE!</v>
      </c>
      <c r="DN3" s="34" t="e">
        <f>Global!AK4+"$I0]!.#"</f>
        <v>#VALUE!</v>
      </c>
      <c r="DO3" s="34" t="e">
        <f>Global!AL4+"$I0]!.$"</f>
        <v>#VALUE!</v>
      </c>
      <c r="DP3" s="34" t="e">
        <f>Global!AM4+"$I0]!.%"</f>
        <v>#VALUE!</v>
      </c>
      <c r="DQ3" s="34" t="e">
        <f>Global!AN4+"$I0]!.&amp;"</f>
        <v>#VALUE!</v>
      </c>
      <c r="DR3" s="34" t="e">
        <f>Global!AO4+"$I0]!.'"</f>
        <v>#VALUE!</v>
      </c>
      <c r="DS3" s="34" t="e">
        <f>Global!AP4+"$I0]!.("</f>
        <v>#VALUE!</v>
      </c>
      <c r="DT3" s="34" t="e">
        <f>Global!AQ4+"$I0]!.)"</f>
        <v>#VALUE!</v>
      </c>
      <c r="DU3" s="34" t="e">
        <f>Global!AR4+"$I0]!.."</f>
        <v>#VALUE!</v>
      </c>
      <c r="DV3" s="34" t="e">
        <f>Global!AS4+"$I0]!./"</f>
        <v>#VALUE!</v>
      </c>
      <c r="DW3" s="34" t="e">
        <f>Global!AT4+"$I0]!.0"</f>
        <v>#VALUE!</v>
      </c>
      <c r="DX3" s="34" t="e">
        <f>Global!AU4+"$I0]!.1"</f>
        <v>#VALUE!</v>
      </c>
      <c r="DY3" s="34" t="e">
        <f>Global!AV4+"$I0]!.2"</f>
        <v>#VALUE!</v>
      </c>
      <c r="DZ3" s="34" t="e">
        <f>Global!AW4+"$I0]!.3"</f>
        <v>#VALUE!</v>
      </c>
      <c r="EA3" s="34" t="e">
        <f>Global!AX4+"$I0]!.4"</f>
        <v>#VALUE!</v>
      </c>
      <c r="EB3" s="34" t="e">
        <f>Global!AY4+"$I0]!.5"</f>
        <v>#VALUE!</v>
      </c>
      <c r="EC3" t="e">
        <f>Global!AZ4+"$I0]!.6"</f>
        <v>#VALUE!</v>
      </c>
      <c r="ED3" s="34" t="e">
        <f>Global!BA4+"$I0]!.7"</f>
        <v>#VALUE!</v>
      </c>
      <c r="EE3" s="34" t="e">
        <f>Global!BB4+"$I0]!.8"</f>
        <v>#VALUE!</v>
      </c>
      <c r="EF3" s="34" t="e">
        <f>Global!BC4+"$I0]!.9"</f>
        <v>#VALUE!</v>
      </c>
      <c r="EG3" s="34" t="e">
        <f>Global!BD4+"$I0]!.:"</f>
        <v>#VALUE!</v>
      </c>
      <c r="EH3" s="34" t="e">
        <f>Global!BE4+"$I0]!.;"</f>
        <v>#VALUE!</v>
      </c>
      <c r="EI3" s="34" t="e">
        <f>Global!BF4+"$I0]!.&lt;"</f>
        <v>#VALUE!</v>
      </c>
      <c r="EJ3" t="e">
        <f>Global!BG4+"$I0]!.="</f>
        <v>#VALUE!</v>
      </c>
      <c r="EK3" s="34" t="e">
        <f>Global!BH4+"$I0]!.&gt;"</f>
        <v>#VALUE!</v>
      </c>
      <c r="EL3" s="34" t="e">
        <f>Global!BI4+"$I0]!.?"</f>
        <v>#VALUE!</v>
      </c>
      <c r="EM3" s="34" t="e">
        <f>Global!BJ4+"$I0]!.@"</f>
        <v>#VALUE!</v>
      </c>
      <c r="EN3" s="34" t="e">
        <f>Global!BK4+"$I0]!.A"</f>
        <v>#VALUE!</v>
      </c>
      <c r="EO3" s="34" t="e">
        <f>Global!BL4+"$I0]!.B"</f>
        <v>#VALUE!</v>
      </c>
      <c r="EP3" s="34" t="e">
        <f>Global!BM4+"$I0]!.C"</f>
        <v>#VALUE!</v>
      </c>
      <c r="EQ3" s="34" t="e">
        <f>Global!BN4+"$I0]!.D"</f>
        <v>#VALUE!</v>
      </c>
      <c r="ER3" s="34" t="e">
        <f>Global!BO4+"$I0]!.E"</f>
        <v>#VALUE!</v>
      </c>
      <c r="ES3" s="34" t="e">
        <f>Global!BP4+"$I0]!.F"</f>
        <v>#VALUE!</v>
      </c>
      <c r="ET3" s="34" t="e">
        <f>Global!BQ4+"$I0]!.G"</f>
        <v>#VALUE!</v>
      </c>
      <c r="EU3" s="34" t="e">
        <f>Global!BR4+"$I0]!.H"</f>
        <v>#VALUE!</v>
      </c>
      <c r="EV3" s="34" t="e">
        <f>Global!BS4+"$I0]!.I"</f>
        <v>#VALUE!</v>
      </c>
      <c r="EW3" s="34" t="e">
        <f>Global!BT4+"$I0]!.J"</f>
        <v>#VALUE!</v>
      </c>
      <c r="EX3" s="34" t="e">
        <f>Global!BU4+"$I0]!.K"</f>
        <v>#VALUE!</v>
      </c>
      <c r="EY3" s="34" t="e">
        <f>Global!BW4+"$I0]!.L"</f>
        <v>#VALUE!</v>
      </c>
      <c r="EZ3" s="34" t="e">
        <f>Global!BX4+"$I0]!.M"</f>
        <v>#VALUE!</v>
      </c>
      <c r="FA3" s="34" t="e">
        <f>Global!BY4+"$I0]!.N"</f>
        <v>#VALUE!</v>
      </c>
      <c r="FB3" s="34" t="e">
        <f>Global!A5+"$I0]!.O"</f>
        <v>#VALUE!</v>
      </c>
      <c r="FC3" s="34" t="e">
        <f>Global!B5+"$I0]!.P"</f>
        <v>#VALUE!</v>
      </c>
      <c r="FD3" s="34" t="e">
        <f>Global!C5+"$I0]!.Q"</f>
        <v>#VALUE!</v>
      </c>
      <c r="FE3" s="34" t="e">
        <f>Global!D5+"$I0]!.R"</f>
        <v>#VALUE!</v>
      </c>
      <c r="FF3" s="34" t="e">
        <f>Global!E5+"$I0]!.S"</f>
        <v>#VALUE!</v>
      </c>
      <c r="FG3" s="34" t="e">
        <f>Global!F5+"$I0]!.T"</f>
        <v>#VALUE!</v>
      </c>
      <c r="FH3" s="34" t="e">
        <f>Global!G5+"$I0]!.U"</f>
        <v>#VALUE!</v>
      </c>
      <c r="FI3" s="34" t="e">
        <f>Global!H5+"$I0]!.V"</f>
        <v>#VALUE!</v>
      </c>
      <c r="FJ3" s="34" t="e">
        <f>Global!I5+"$I0]!.W"</f>
        <v>#VALUE!</v>
      </c>
      <c r="FK3" t="e">
        <f>Global!J5+"$I0]!.X"</f>
        <v>#VALUE!</v>
      </c>
      <c r="FL3" s="34" t="e">
        <f>Global!K5+"$I0]!.Y"</f>
        <v>#VALUE!</v>
      </c>
      <c r="FM3" s="34" t="e">
        <f>Global!L5+"$I0]!.Z"</f>
        <v>#VALUE!</v>
      </c>
      <c r="FN3" t="e">
        <f>Global!M5+"$I0]!.["</f>
        <v>#VALUE!</v>
      </c>
      <c r="FO3" s="34" t="e">
        <f>Global!N5+"$I0]!.\"</f>
        <v>#VALUE!</v>
      </c>
      <c r="FP3" s="34" t="e">
        <f>Global!O5+"$I0]!.]"</f>
        <v>#VALUE!</v>
      </c>
      <c r="FQ3" s="34" t="e">
        <f>Global!P5+"$I0]!.^"</f>
        <v>#VALUE!</v>
      </c>
      <c r="FR3" s="34" t="e">
        <f>Global!Q5+"$I0]!._"</f>
        <v>#VALUE!</v>
      </c>
      <c r="FS3" s="34" t="e">
        <f>Global!R5+"$I0]!.`"</f>
        <v>#VALUE!</v>
      </c>
      <c r="FT3" s="34" t="e">
        <f>Global!S5+"$I0]!.a"</f>
        <v>#VALUE!</v>
      </c>
      <c r="FU3" s="34" t="e">
        <f>Global!T5+"$I0]!.b"</f>
        <v>#VALUE!</v>
      </c>
      <c r="FV3" s="34" t="e">
        <f>Global!U5+"$I0]!.c"</f>
        <v>#VALUE!</v>
      </c>
      <c r="FW3" s="34" t="e">
        <f>Global!V5+"$I0]!.d"</f>
        <v>#VALUE!</v>
      </c>
      <c r="FX3" s="34" t="e">
        <f>Global!W5+"$I0]!.e"</f>
        <v>#VALUE!</v>
      </c>
      <c r="FY3" s="34" t="e">
        <f>Global!X5+"$I0]!.f"</f>
        <v>#VALUE!</v>
      </c>
      <c r="FZ3" s="34" t="e">
        <f>Global!Y5+"$I0]!.g"</f>
        <v>#VALUE!</v>
      </c>
      <c r="GA3" s="34" t="e">
        <f>Global!Z5+"$I0]!.h"</f>
        <v>#VALUE!</v>
      </c>
      <c r="GB3" s="34" t="e">
        <f>Global!AA5+"$I0]!.i"</f>
        <v>#VALUE!</v>
      </c>
      <c r="GC3" s="34" t="e">
        <f>Global!AB5+"$I0]!.j"</f>
        <v>#VALUE!</v>
      </c>
      <c r="GD3" s="34" t="e">
        <f>Global!AD5+"$I0]!.k"</f>
        <v>#VALUE!</v>
      </c>
      <c r="GE3" s="34" t="e">
        <f>Global!AE5+"$I0]!.l"</f>
        <v>#VALUE!</v>
      </c>
      <c r="GF3" s="34" t="e">
        <f>Global!AF5+"$I0]!.m"</f>
        <v>#VALUE!</v>
      </c>
      <c r="GG3" s="34" t="e">
        <f>Global!AG5+"$I0]!.n"</f>
        <v>#VALUE!</v>
      </c>
      <c r="GH3" s="34" t="e">
        <f>Global!AH5+"$I0]!.o"</f>
        <v>#VALUE!</v>
      </c>
      <c r="GI3" s="34" t="e">
        <f>Global!AI5+"$I0]!.p"</f>
        <v>#VALUE!</v>
      </c>
      <c r="GJ3" s="34" t="e">
        <f>Global!AJ5+"$I0]!.q"</f>
        <v>#VALUE!</v>
      </c>
      <c r="GK3" s="34" t="e">
        <f>Global!AK5+"$I0]!.r"</f>
        <v>#VALUE!</v>
      </c>
      <c r="GL3" s="34" t="e">
        <f>Global!AL5+"$I0]!.s"</f>
        <v>#VALUE!</v>
      </c>
      <c r="GM3" s="34" t="e">
        <f>Global!AM5+"$I0]!.t"</f>
        <v>#VALUE!</v>
      </c>
      <c r="GN3" s="34" t="e">
        <f>Global!AN5+"$I0]!.u"</f>
        <v>#VALUE!</v>
      </c>
      <c r="GO3" s="34" t="e">
        <f>Global!AO5+"$I0]!.v"</f>
        <v>#VALUE!</v>
      </c>
      <c r="GP3" s="34" t="e">
        <f>Global!AP5+"$I0]!.w"</f>
        <v>#VALUE!</v>
      </c>
      <c r="GQ3" s="34" t="e">
        <f>Global!AQ5+"$I0]!.x"</f>
        <v>#VALUE!</v>
      </c>
      <c r="GR3" s="34" t="e">
        <f>Global!AR5+"$I0]!.y"</f>
        <v>#VALUE!</v>
      </c>
      <c r="GS3" s="34" t="e">
        <f>Global!AS5+"$I0]!.z"</f>
        <v>#VALUE!</v>
      </c>
      <c r="GT3" s="34" t="e">
        <f>Global!AT5+"$I0]!.{"</f>
        <v>#VALUE!</v>
      </c>
      <c r="GU3" s="34" t="e">
        <f>Global!AU5+"$I0]!.|"</f>
        <v>#VALUE!</v>
      </c>
      <c r="GV3" s="34" t="e">
        <f>Global!AV5+"$I0]!.}"</f>
        <v>#VALUE!</v>
      </c>
      <c r="GW3" s="34" t="e">
        <f>Global!AW5+"$I0]!.~"</f>
        <v>#VALUE!</v>
      </c>
      <c r="GX3" s="34" t="e">
        <f>Global!AX5+"$I0]!/#"</f>
        <v>#VALUE!</v>
      </c>
      <c r="GY3" s="34" t="e">
        <f>Global!AY5+"$I0]!/$"</f>
        <v>#VALUE!</v>
      </c>
      <c r="GZ3" t="e">
        <f>Global!AZ5+"$I0]!/%"</f>
        <v>#VALUE!</v>
      </c>
      <c r="HA3" s="34" t="e">
        <f>Global!BA5+"$I0]!/&amp;"</f>
        <v>#VALUE!</v>
      </c>
      <c r="HB3" s="34" t="e">
        <f>Global!BB5+"$I0]!/'"</f>
        <v>#VALUE!</v>
      </c>
      <c r="HC3" s="34" t="e">
        <f>Global!BC5+"$I0]!/("</f>
        <v>#VALUE!</v>
      </c>
      <c r="HD3" s="34" t="e">
        <f>Global!BD5+"$I0]!/)"</f>
        <v>#VALUE!</v>
      </c>
      <c r="HE3" s="34" t="e">
        <f>Global!BE5+"$I0]!/."</f>
        <v>#VALUE!</v>
      </c>
      <c r="HF3" s="34" t="e">
        <f>Global!BF5+"$I0]!//"</f>
        <v>#VALUE!</v>
      </c>
      <c r="HG3" t="e">
        <f>Global!BG5+"$I0]!/0"</f>
        <v>#VALUE!</v>
      </c>
      <c r="HH3" s="34" t="e">
        <f>Global!BH5+"$I0]!/1"</f>
        <v>#VALUE!</v>
      </c>
      <c r="HI3" s="34" t="e">
        <f>Global!BI5+"$I0]!/2"</f>
        <v>#VALUE!</v>
      </c>
      <c r="HJ3" s="34" t="e">
        <f>Global!BJ5+"$I0]!/3"</f>
        <v>#VALUE!</v>
      </c>
      <c r="HK3" s="34" t="e">
        <f>Global!BK5+"$I0]!/4"</f>
        <v>#VALUE!</v>
      </c>
      <c r="HL3" s="34" t="e">
        <f>Global!BL5+"$I0]!/5"</f>
        <v>#VALUE!</v>
      </c>
      <c r="HM3" s="34" t="e">
        <f>Global!BM5+"$I0]!/6"</f>
        <v>#VALUE!</v>
      </c>
      <c r="HN3" s="34" t="e">
        <f>Global!BN5+"$I0]!/7"</f>
        <v>#VALUE!</v>
      </c>
      <c r="HO3" s="34" t="e">
        <f>Global!BO5+"$I0]!/8"</f>
        <v>#VALUE!</v>
      </c>
      <c r="HP3" s="34" t="e">
        <f>Global!BP5+"$I0]!/9"</f>
        <v>#VALUE!</v>
      </c>
      <c r="HQ3" s="34" t="e">
        <f>Global!BQ5+"$I0]!/:"</f>
        <v>#VALUE!</v>
      </c>
      <c r="HR3" s="34" t="e">
        <f>Global!BR5+"$I0]!/;"</f>
        <v>#VALUE!</v>
      </c>
      <c r="HS3" s="34" t="e">
        <f>Global!BS5+"$I0]!/&lt;"</f>
        <v>#VALUE!</v>
      </c>
      <c r="HT3" s="34" t="e">
        <f>Global!BT5+"$I0]!/="</f>
        <v>#VALUE!</v>
      </c>
      <c r="HU3" s="34" t="e">
        <f>Global!BU5+"$I0]!/&gt;"</f>
        <v>#VALUE!</v>
      </c>
      <c r="HV3" s="34" t="e">
        <f>Global!BW5+"$I0]!/?"</f>
        <v>#VALUE!</v>
      </c>
      <c r="HW3" s="34" t="e">
        <f>Global!BX5+"$I0]!/@"</f>
        <v>#VALUE!</v>
      </c>
      <c r="HX3" s="34" t="e">
        <f>Global!BY5+"$I0]!/A"</f>
        <v>#VALUE!</v>
      </c>
      <c r="HY3" s="34" t="e">
        <f>Global!A6+"$I0]!/B"</f>
        <v>#VALUE!</v>
      </c>
      <c r="HZ3" s="34" t="e">
        <f>Global!B6+"$I0]!/C"</f>
        <v>#VALUE!</v>
      </c>
      <c r="IA3" s="34" t="e">
        <f>Global!C6+"$I0]!/D"</f>
        <v>#VALUE!</v>
      </c>
      <c r="IB3" s="34" t="e">
        <f>Global!D6+"$I0]!/E"</f>
        <v>#VALUE!</v>
      </c>
      <c r="IC3" s="34" t="e">
        <f>Global!E6+"$I0]!/F"</f>
        <v>#VALUE!</v>
      </c>
      <c r="ID3" s="34" t="e">
        <f>Global!F6+"$I0]!/G"</f>
        <v>#VALUE!</v>
      </c>
      <c r="IE3" s="34" t="e">
        <f>Global!G6+"$I0]!/H"</f>
        <v>#VALUE!</v>
      </c>
      <c r="IF3" s="34" t="e">
        <f>Global!H6+"$I0]!/I"</f>
        <v>#VALUE!</v>
      </c>
      <c r="IG3" s="34" t="e">
        <f>Global!I6+"$I0]!/J"</f>
        <v>#VALUE!</v>
      </c>
      <c r="IH3" t="e">
        <f>Global!J6+"$I0]!/K"</f>
        <v>#VALUE!</v>
      </c>
      <c r="II3" s="34" t="e">
        <f>Global!K6+"$I0]!/L"</f>
        <v>#VALUE!</v>
      </c>
      <c r="IJ3" s="34" t="e">
        <f>Global!L6+"$I0]!/M"</f>
        <v>#VALUE!</v>
      </c>
      <c r="IK3" t="e">
        <f>Global!M6+"$I0]!/N"</f>
        <v>#VALUE!</v>
      </c>
      <c r="IL3" s="34" t="e">
        <f>Global!N6+"$I0]!/O"</f>
        <v>#VALUE!</v>
      </c>
      <c r="IM3" s="34" t="e">
        <f>Global!O6+"$I0]!/P"</f>
        <v>#VALUE!</v>
      </c>
      <c r="IN3" s="34" t="e">
        <f>Global!P6+"$I0]!/Q"</f>
        <v>#VALUE!</v>
      </c>
      <c r="IO3" s="34" t="e">
        <f>Global!Q6+"$I0]!/R"</f>
        <v>#VALUE!</v>
      </c>
      <c r="IP3" s="34" t="e">
        <f>Global!R6+"$I0]!/S"</f>
        <v>#VALUE!</v>
      </c>
      <c r="IQ3" s="34" t="e">
        <f>Global!S6+"$I0]!/T"</f>
        <v>#VALUE!</v>
      </c>
      <c r="IR3" s="34" t="e">
        <f>Global!T6+"$I0]!/U"</f>
        <v>#VALUE!</v>
      </c>
      <c r="IS3" s="34" t="e">
        <f>Global!U6+"$I0]!/V"</f>
        <v>#VALUE!</v>
      </c>
      <c r="IT3" s="34" t="e">
        <f>Global!V6+"$I0]!/W"</f>
        <v>#VALUE!</v>
      </c>
      <c r="IU3" s="34" t="e">
        <f>Global!W6+"$I0]!/X"</f>
        <v>#VALUE!</v>
      </c>
      <c r="IV3" s="34" t="e">
        <f>Global!X6+"$I0]!/Y"</f>
        <v>#VALUE!</v>
      </c>
    </row>
    <row r="4" spans="1:256" x14ac:dyDescent="0.25">
      <c r="F4" s="34" t="e">
        <f>Global!Y6+"$I0]!/Z"</f>
        <v>#VALUE!</v>
      </c>
      <c r="G4" s="34" t="e">
        <f>Global!Z6+"$I0]!/["</f>
        <v>#VALUE!</v>
      </c>
      <c r="H4" s="34" t="e">
        <f>Global!AA6+"$I0]!/\"</f>
        <v>#VALUE!</v>
      </c>
      <c r="I4" s="34" t="e">
        <f>Global!AB6+"$I0]!/]"</f>
        <v>#VALUE!</v>
      </c>
      <c r="J4" s="34" t="e">
        <f>Global!AD6+"$I0]!/^"</f>
        <v>#VALUE!</v>
      </c>
      <c r="K4" s="34" t="e">
        <f>Global!AE6+"$I0]!/_"</f>
        <v>#VALUE!</v>
      </c>
      <c r="L4" s="34" t="e">
        <f>Global!AF6+"$I0]!/`"</f>
        <v>#VALUE!</v>
      </c>
      <c r="M4" s="34" t="e">
        <f>Global!AG6+"$I0]!/a"</f>
        <v>#VALUE!</v>
      </c>
      <c r="N4" s="34" t="e">
        <f>Global!AH6+"$I0]!/b"</f>
        <v>#VALUE!</v>
      </c>
      <c r="O4" s="34" t="e">
        <f>Global!AI6+"$I0]!/c"</f>
        <v>#VALUE!</v>
      </c>
      <c r="P4" s="34" t="e">
        <f>Global!AJ6+"$I0]!/d"</f>
        <v>#VALUE!</v>
      </c>
      <c r="Q4" s="34" t="e">
        <f>Global!AK6+"$I0]!/e"</f>
        <v>#VALUE!</v>
      </c>
      <c r="R4" s="34" t="e">
        <f>Global!AL6+"$I0]!/f"</f>
        <v>#VALUE!</v>
      </c>
      <c r="S4" s="34" t="e">
        <f>Global!AM6+"$I0]!/g"</f>
        <v>#VALUE!</v>
      </c>
      <c r="T4" s="34" t="e">
        <f>Global!AN6+"$I0]!/h"</f>
        <v>#VALUE!</v>
      </c>
      <c r="U4" s="34" t="e">
        <f>Global!AO6+"$I0]!/i"</f>
        <v>#VALUE!</v>
      </c>
      <c r="V4" s="34" t="e">
        <f>Global!AP6+"$I0]!/j"</f>
        <v>#VALUE!</v>
      </c>
      <c r="W4" s="34" t="e">
        <f>Global!AQ6+"$I0]!/k"</f>
        <v>#VALUE!</v>
      </c>
      <c r="X4" s="34" t="e">
        <f>Global!AR6+"$I0]!/l"</f>
        <v>#VALUE!</v>
      </c>
      <c r="Y4" s="34" t="e">
        <f>Global!AS6+"$I0]!/m"</f>
        <v>#VALUE!</v>
      </c>
      <c r="Z4" s="34" t="e">
        <f>Global!AT6+"$I0]!/n"</f>
        <v>#VALUE!</v>
      </c>
      <c r="AA4" s="34" t="e">
        <f>Global!AU6+"$I0]!/o"</f>
        <v>#VALUE!</v>
      </c>
      <c r="AB4" s="34" t="e">
        <f>Global!AV6+"$I0]!/p"</f>
        <v>#VALUE!</v>
      </c>
      <c r="AC4" s="34" t="e">
        <f>Global!AW6+"$I0]!/q"</f>
        <v>#VALUE!</v>
      </c>
      <c r="AD4" s="34" t="e">
        <f>Global!AX6+"$I0]!/r"</f>
        <v>#VALUE!</v>
      </c>
      <c r="AE4" s="34" t="e">
        <f>Global!AY6+"$I0]!/s"</f>
        <v>#VALUE!</v>
      </c>
      <c r="AF4" t="e">
        <f>Global!AZ6+"$I0]!/t"</f>
        <v>#VALUE!</v>
      </c>
      <c r="AG4" s="34" t="e">
        <f>Global!BA6+"$I0]!/u"</f>
        <v>#VALUE!</v>
      </c>
      <c r="AH4" s="34" t="e">
        <f>Global!BB6+"$I0]!/v"</f>
        <v>#VALUE!</v>
      </c>
      <c r="AI4" s="34" t="e">
        <f>Global!BC6+"$I0]!/w"</f>
        <v>#VALUE!</v>
      </c>
      <c r="AJ4" s="34" t="e">
        <f>Global!BD6+"$I0]!/x"</f>
        <v>#VALUE!</v>
      </c>
      <c r="AK4" s="34" t="e">
        <f>Global!BE6+"$I0]!/y"</f>
        <v>#VALUE!</v>
      </c>
      <c r="AL4" s="34" t="e">
        <f>Global!BF6+"$I0]!/z"</f>
        <v>#VALUE!</v>
      </c>
      <c r="AM4" t="e">
        <f>Global!BG6+"$I0]!/{"</f>
        <v>#VALUE!</v>
      </c>
      <c r="AN4" s="34" t="e">
        <f>Global!BH6+"$I0]!/|"</f>
        <v>#VALUE!</v>
      </c>
      <c r="AO4" s="34" t="e">
        <f>Global!BI6+"$I0]!/}"</f>
        <v>#VALUE!</v>
      </c>
      <c r="AP4" s="34" t="e">
        <f>Global!BJ6+"$I0]!/~"</f>
        <v>#VALUE!</v>
      </c>
      <c r="AQ4" s="34" t="e">
        <f>Global!BK6+"$I0]!0#"</f>
        <v>#VALUE!</v>
      </c>
      <c r="AR4" s="34" t="e">
        <f>Global!BL6+"$I0]!0$"</f>
        <v>#VALUE!</v>
      </c>
      <c r="AS4" s="34" t="e">
        <f>Global!BM6+"$I0]!0%"</f>
        <v>#VALUE!</v>
      </c>
      <c r="AT4" s="34" t="e">
        <f>Global!BN6+"$I0]!0&amp;"</f>
        <v>#VALUE!</v>
      </c>
      <c r="AU4" s="34" t="e">
        <f>Global!BO6+"$I0]!0'"</f>
        <v>#VALUE!</v>
      </c>
      <c r="AV4" s="34" t="e">
        <f>Global!BP6+"$I0]!0("</f>
        <v>#VALUE!</v>
      </c>
      <c r="AW4" s="34" t="e">
        <f>Global!BQ6+"$I0]!0)"</f>
        <v>#VALUE!</v>
      </c>
      <c r="AX4" s="34" t="e">
        <f>Global!BR6+"$I0]!0."</f>
        <v>#VALUE!</v>
      </c>
      <c r="AY4" s="34" t="e">
        <f>Global!BS6+"$I0]!0/"</f>
        <v>#VALUE!</v>
      </c>
      <c r="AZ4" s="34" t="e">
        <f>Global!BT6+"$I0]!00"</f>
        <v>#VALUE!</v>
      </c>
      <c r="BA4" s="34" t="e">
        <f>Global!BU6+"$I0]!01"</f>
        <v>#VALUE!</v>
      </c>
      <c r="BB4" s="34" t="e">
        <f>Global!BW6+"$I0]!02"</f>
        <v>#VALUE!</v>
      </c>
      <c r="BC4" s="34" t="e">
        <f>Global!BX6+"$I0]!03"</f>
        <v>#VALUE!</v>
      </c>
      <c r="BD4" s="34" t="e">
        <f>Global!BY6+"$I0]!04"</f>
        <v>#VALUE!</v>
      </c>
      <c r="BE4" s="34" t="e">
        <f>Global!A7+"$I0]!05"</f>
        <v>#VALUE!</v>
      </c>
      <c r="BF4" s="34" t="e">
        <f>Global!B7+"$I0]!06"</f>
        <v>#VALUE!</v>
      </c>
      <c r="BG4" s="34" t="e">
        <f>Global!C7+"$I0]!07"</f>
        <v>#VALUE!</v>
      </c>
      <c r="BH4" s="34" t="e">
        <f>Global!D7+"$I0]!08"</f>
        <v>#VALUE!</v>
      </c>
      <c r="BI4" s="34" t="e">
        <f>Global!E7+"$I0]!09"</f>
        <v>#VALUE!</v>
      </c>
      <c r="BJ4" s="34" t="e">
        <f>Global!F7+"$I0]!0:"</f>
        <v>#VALUE!</v>
      </c>
      <c r="BK4" s="34" t="e">
        <f>Global!G7+"$I0]!0;"</f>
        <v>#VALUE!</v>
      </c>
      <c r="BL4" s="34" t="e">
        <f>Global!H7+"$I0]!0&lt;"</f>
        <v>#VALUE!</v>
      </c>
      <c r="BM4" s="34" t="e">
        <f>Global!I7+"$I0]!0="</f>
        <v>#VALUE!</v>
      </c>
      <c r="BN4" t="e">
        <f>Global!J7+"$I0]!0&gt;"</f>
        <v>#VALUE!</v>
      </c>
      <c r="BO4" s="34" t="e">
        <f>Global!K7+"$I0]!0?"</f>
        <v>#VALUE!</v>
      </c>
      <c r="BP4" s="34" t="e">
        <f>Global!L7+"$I0]!0@"</f>
        <v>#VALUE!</v>
      </c>
      <c r="BQ4" t="e">
        <f>Global!M7+"$I0]!0A"</f>
        <v>#VALUE!</v>
      </c>
      <c r="BR4" s="34" t="e">
        <f>Global!N7+"$I0]!0B"</f>
        <v>#VALUE!</v>
      </c>
      <c r="BS4" s="34" t="e">
        <f>Global!O7+"$I0]!0C"</f>
        <v>#VALUE!</v>
      </c>
      <c r="BT4" s="34" t="e">
        <f>Global!P7+"$I0]!0D"</f>
        <v>#VALUE!</v>
      </c>
      <c r="BU4" s="34" t="e">
        <f>Global!Q7+"$I0]!0E"</f>
        <v>#VALUE!</v>
      </c>
      <c r="BV4" s="34" t="e">
        <f>Global!R7+"$I0]!0F"</f>
        <v>#VALUE!</v>
      </c>
      <c r="BW4" s="34" t="e">
        <f>Global!S7+"$I0]!0G"</f>
        <v>#VALUE!</v>
      </c>
      <c r="BX4" s="34" t="e">
        <f>Global!T7+"$I0]!0H"</f>
        <v>#VALUE!</v>
      </c>
      <c r="BY4" s="34" t="e">
        <f>Global!U7+"$I0]!0I"</f>
        <v>#VALUE!</v>
      </c>
      <c r="BZ4" s="34" t="e">
        <f>Global!V7+"$I0]!0J"</f>
        <v>#VALUE!</v>
      </c>
      <c r="CA4" s="34" t="e">
        <f>Global!W7+"$I0]!0K"</f>
        <v>#VALUE!</v>
      </c>
      <c r="CB4" s="34" t="e">
        <f>Global!X7+"$I0]!0L"</f>
        <v>#VALUE!</v>
      </c>
      <c r="CC4" s="34" t="e">
        <f>Global!Y7+"$I0]!0M"</f>
        <v>#VALUE!</v>
      </c>
      <c r="CD4" s="34" t="e">
        <f>Global!Z7+"$I0]!0N"</f>
        <v>#VALUE!</v>
      </c>
      <c r="CE4" s="34" t="e">
        <f>Global!AA7+"$I0]!0O"</f>
        <v>#VALUE!</v>
      </c>
      <c r="CF4" s="34" t="e">
        <f>Global!AB7+"$I0]!0P"</f>
        <v>#VALUE!</v>
      </c>
      <c r="CG4" s="34" t="e">
        <f>Global!AD7+"$I0]!0Q"</f>
        <v>#VALUE!</v>
      </c>
      <c r="CH4" s="34" t="e">
        <f>Global!AE7+"$I0]!0R"</f>
        <v>#VALUE!</v>
      </c>
      <c r="CI4" s="34" t="e">
        <f>Global!AF7+"$I0]!0S"</f>
        <v>#VALUE!</v>
      </c>
      <c r="CJ4" s="34" t="e">
        <f>Global!AG7+"$I0]!0T"</f>
        <v>#VALUE!</v>
      </c>
      <c r="CK4" s="34" t="e">
        <f>Global!AH7+"$I0]!0U"</f>
        <v>#VALUE!</v>
      </c>
      <c r="CL4" s="34" t="e">
        <f>Global!AI7+"$I0]!0V"</f>
        <v>#VALUE!</v>
      </c>
      <c r="CM4" s="34" t="e">
        <f>Global!AJ7+"$I0]!0W"</f>
        <v>#VALUE!</v>
      </c>
      <c r="CN4" s="34" t="e">
        <f>Global!AK7+"$I0]!0X"</f>
        <v>#VALUE!</v>
      </c>
      <c r="CO4" s="34" t="e">
        <f>Global!AL7+"$I0]!0Y"</f>
        <v>#VALUE!</v>
      </c>
      <c r="CP4" s="34" t="e">
        <f>Global!AM7+"$I0]!0Z"</f>
        <v>#VALUE!</v>
      </c>
      <c r="CQ4" s="34" t="e">
        <f>Global!AN7+"$I0]!0["</f>
        <v>#VALUE!</v>
      </c>
      <c r="CR4" s="34" t="e">
        <f>Global!AO7+"$I0]!0\"</f>
        <v>#VALUE!</v>
      </c>
      <c r="CS4" s="34" t="e">
        <f>Global!AP7+"$I0]!0]"</f>
        <v>#VALUE!</v>
      </c>
      <c r="CT4" s="34" t="e">
        <f>Global!AQ7+"$I0]!0^"</f>
        <v>#VALUE!</v>
      </c>
      <c r="CU4" s="34" t="e">
        <f>Global!AR7+"$I0]!0_"</f>
        <v>#VALUE!</v>
      </c>
      <c r="CV4" s="34" t="e">
        <f>Global!AS7+"$I0]!0`"</f>
        <v>#VALUE!</v>
      </c>
      <c r="CW4" s="34" t="e">
        <f>Global!AT7+"$I0]!0a"</f>
        <v>#VALUE!</v>
      </c>
      <c r="CX4" s="34" t="e">
        <f>Global!AU7+"$I0]!0b"</f>
        <v>#VALUE!</v>
      </c>
      <c r="CY4" s="34" t="e">
        <f>Global!AV7+"$I0]!0c"</f>
        <v>#VALUE!</v>
      </c>
      <c r="CZ4" s="34" t="e">
        <f>Global!AW7+"$I0]!0d"</f>
        <v>#VALUE!</v>
      </c>
      <c r="DA4" s="34" t="e">
        <f>Global!AX7+"$I0]!0e"</f>
        <v>#VALUE!</v>
      </c>
      <c r="DB4" s="34" t="e">
        <f>Global!AY7+"$I0]!0f"</f>
        <v>#VALUE!</v>
      </c>
      <c r="DC4" t="e">
        <f>Global!AZ7+"$I0]!0g"</f>
        <v>#VALUE!</v>
      </c>
      <c r="DD4" s="34" t="e">
        <f>Global!BA7+"$I0]!0h"</f>
        <v>#VALUE!</v>
      </c>
      <c r="DE4" s="34" t="e">
        <f>Global!BB7+"$I0]!0i"</f>
        <v>#VALUE!</v>
      </c>
      <c r="DF4" s="34" t="e">
        <f>Global!BC7+"$I0]!0j"</f>
        <v>#VALUE!</v>
      </c>
      <c r="DG4" s="34" t="e">
        <f>Global!BD7+"$I0]!0k"</f>
        <v>#VALUE!</v>
      </c>
      <c r="DH4" s="34" t="e">
        <f>Global!BE7+"$I0]!0l"</f>
        <v>#VALUE!</v>
      </c>
      <c r="DI4" s="34" t="e">
        <f>Global!BF7+"$I0]!0m"</f>
        <v>#VALUE!</v>
      </c>
      <c r="DJ4" t="e">
        <f>Global!BG7+"$I0]!0n"</f>
        <v>#VALUE!</v>
      </c>
      <c r="DK4" s="34" t="e">
        <f>Global!BH7+"$I0]!0o"</f>
        <v>#VALUE!</v>
      </c>
      <c r="DL4" s="34" t="e">
        <f>Global!BI7+"$I0]!0p"</f>
        <v>#VALUE!</v>
      </c>
      <c r="DM4" s="34" t="e">
        <f>Global!BJ7+"$I0]!0q"</f>
        <v>#VALUE!</v>
      </c>
      <c r="DN4" s="34" t="e">
        <f>Global!BK7+"$I0]!0r"</f>
        <v>#VALUE!</v>
      </c>
      <c r="DO4" s="34" t="e">
        <f>Global!BL7+"$I0]!0s"</f>
        <v>#VALUE!</v>
      </c>
      <c r="DP4" s="34" t="e">
        <f>Global!BM7+"$I0]!0t"</f>
        <v>#VALUE!</v>
      </c>
      <c r="DQ4" s="34" t="e">
        <f>Global!BN7+"$I0]!0u"</f>
        <v>#VALUE!</v>
      </c>
      <c r="DR4" s="34" t="e">
        <f>Global!BO7+"$I0]!0v"</f>
        <v>#VALUE!</v>
      </c>
      <c r="DS4" s="34" t="e">
        <f>Global!BP7+"$I0]!0w"</f>
        <v>#VALUE!</v>
      </c>
      <c r="DT4" s="34" t="e">
        <f>Global!BQ7+"$I0]!0x"</f>
        <v>#VALUE!</v>
      </c>
      <c r="DU4" s="34" t="e">
        <f>Global!BR7+"$I0]!0y"</f>
        <v>#VALUE!</v>
      </c>
      <c r="DV4" s="34" t="e">
        <f>Global!BS7+"$I0]!0z"</f>
        <v>#VALUE!</v>
      </c>
      <c r="DW4" s="34" t="e">
        <f>Global!BT7+"$I0]!0{"</f>
        <v>#VALUE!</v>
      </c>
      <c r="DX4" s="34" t="e">
        <f>Global!BU7+"$I0]!0|"</f>
        <v>#VALUE!</v>
      </c>
      <c r="DY4" s="34" t="e">
        <f>Global!BW7+"$I0]!0}"</f>
        <v>#VALUE!</v>
      </c>
      <c r="DZ4" s="34" t="e">
        <f>Global!BX7+"$I0]!0~"</f>
        <v>#VALUE!</v>
      </c>
      <c r="EA4" s="34" t="e">
        <f>Global!BY7+"$I0]!1#"</f>
        <v>#VALUE!</v>
      </c>
      <c r="EB4" s="34" t="e">
        <f>Global!A8+"$I0]!1$"</f>
        <v>#VALUE!</v>
      </c>
      <c r="EC4" s="34" t="e">
        <f>Global!B8+"$I0]!1%"</f>
        <v>#VALUE!</v>
      </c>
      <c r="ED4" s="34" t="e">
        <f>Global!C8+"$I0]!1&amp;"</f>
        <v>#VALUE!</v>
      </c>
      <c r="EE4" s="34" t="e">
        <f>Global!D8+"$I0]!1'"</f>
        <v>#VALUE!</v>
      </c>
      <c r="EF4" s="34" t="e">
        <f>Global!E8+"$I0]!1("</f>
        <v>#VALUE!</v>
      </c>
      <c r="EG4" s="34" t="e">
        <f>Global!F8+"$I0]!1)"</f>
        <v>#VALUE!</v>
      </c>
      <c r="EH4" s="34" t="e">
        <f>Global!G8+"$I0]!1."</f>
        <v>#VALUE!</v>
      </c>
      <c r="EI4" s="34" t="e">
        <f>Global!H8+"$I0]!1/"</f>
        <v>#VALUE!</v>
      </c>
      <c r="EJ4" s="34" t="e">
        <f>Global!I8+"$I0]!10"</f>
        <v>#VALUE!</v>
      </c>
      <c r="EK4" t="e">
        <f>Global!J8+"$I0]!11"</f>
        <v>#VALUE!</v>
      </c>
      <c r="EL4" s="34" t="e">
        <f>Global!K8+"$I0]!12"</f>
        <v>#VALUE!</v>
      </c>
      <c r="EM4" s="34" t="e">
        <f>Global!L8+"$I0]!13"</f>
        <v>#VALUE!</v>
      </c>
      <c r="EN4" t="e">
        <f>Global!M8+"$I0]!14"</f>
        <v>#VALUE!</v>
      </c>
      <c r="EO4" s="34" t="e">
        <f>Global!N8+"$I0]!15"</f>
        <v>#VALUE!</v>
      </c>
      <c r="EP4" s="34" t="e">
        <f>Global!O8+"$I0]!16"</f>
        <v>#VALUE!</v>
      </c>
      <c r="EQ4" s="34" t="e">
        <f>Global!P8+"$I0]!17"</f>
        <v>#VALUE!</v>
      </c>
      <c r="ER4" s="34" t="e">
        <f>Global!Q8+"$I0]!18"</f>
        <v>#VALUE!</v>
      </c>
      <c r="ES4" s="34" t="e">
        <f>Global!R8+"$I0]!19"</f>
        <v>#VALUE!</v>
      </c>
      <c r="ET4" s="34" t="e">
        <f>Global!S8+"$I0]!1:"</f>
        <v>#VALUE!</v>
      </c>
      <c r="EU4" s="34" t="e">
        <f>Global!T8+"$I0]!1;"</f>
        <v>#VALUE!</v>
      </c>
      <c r="EV4" s="34" t="e">
        <f>Global!U8+"$I0]!1&lt;"</f>
        <v>#VALUE!</v>
      </c>
      <c r="EW4" s="34" t="e">
        <f>Global!V8+"$I0]!1="</f>
        <v>#VALUE!</v>
      </c>
      <c r="EX4" s="34" t="e">
        <f>Global!W8+"$I0]!1&gt;"</f>
        <v>#VALUE!</v>
      </c>
      <c r="EY4" s="34" t="e">
        <f>Global!X8+"$I0]!1?"</f>
        <v>#VALUE!</v>
      </c>
      <c r="EZ4" s="34" t="e">
        <f>Global!Y8+"$I0]!1@"</f>
        <v>#VALUE!</v>
      </c>
      <c r="FA4" s="34" t="e">
        <f>Global!Z8+"$I0]!1A"</f>
        <v>#VALUE!</v>
      </c>
      <c r="FB4" s="34" t="e">
        <f>Global!AA8+"$I0]!1B"</f>
        <v>#VALUE!</v>
      </c>
      <c r="FC4" s="34" t="e">
        <f>Global!AB8+"$I0]!1C"</f>
        <v>#VALUE!</v>
      </c>
      <c r="FD4" s="34" t="e">
        <f>Global!AD8+"$I0]!1D"</f>
        <v>#VALUE!</v>
      </c>
      <c r="FE4" s="34" t="e">
        <f>Global!AE8+"$I0]!1E"</f>
        <v>#VALUE!</v>
      </c>
      <c r="FF4" s="34" t="e">
        <f>Global!AF8+"$I0]!1F"</f>
        <v>#VALUE!</v>
      </c>
      <c r="FG4" s="34" t="e">
        <f>Global!AG8+"$I0]!1G"</f>
        <v>#VALUE!</v>
      </c>
      <c r="FH4" s="34" t="e">
        <f>Global!AH8+"$I0]!1H"</f>
        <v>#VALUE!</v>
      </c>
      <c r="FI4" s="34" t="e">
        <f>Global!AI8+"$I0]!1I"</f>
        <v>#VALUE!</v>
      </c>
      <c r="FJ4" s="34" t="e">
        <f>Global!AJ8+"$I0]!1J"</f>
        <v>#VALUE!</v>
      </c>
      <c r="FK4" s="34" t="e">
        <f>Global!AK8+"$I0]!1K"</f>
        <v>#VALUE!</v>
      </c>
      <c r="FL4" s="34" t="e">
        <f>Global!AL8+"$I0]!1L"</f>
        <v>#VALUE!</v>
      </c>
      <c r="FM4" s="34" t="e">
        <f>Global!AM8+"$I0]!1M"</f>
        <v>#VALUE!</v>
      </c>
      <c r="FN4" s="34" t="e">
        <f>Global!AN8+"$I0]!1N"</f>
        <v>#VALUE!</v>
      </c>
      <c r="FO4" s="34" t="e">
        <f>Global!AO8+"$I0]!1O"</f>
        <v>#VALUE!</v>
      </c>
      <c r="FP4" s="34" t="e">
        <f>Global!AP8+"$I0]!1P"</f>
        <v>#VALUE!</v>
      </c>
      <c r="FQ4" s="34" t="e">
        <f>Global!AQ8+"$I0]!1Q"</f>
        <v>#VALUE!</v>
      </c>
      <c r="FR4" s="34" t="e">
        <f>Global!AR8+"$I0]!1R"</f>
        <v>#VALUE!</v>
      </c>
      <c r="FS4" s="34" t="e">
        <f>Global!AS8+"$I0]!1S"</f>
        <v>#VALUE!</v>
      </c>
      <c r="FT4" s="34" t="e">
        <f>Global!AT8+"$I0]!1T"</f>
        <v>#VALUE!</v>
      </c>
      <c r="FU4" s="34" t="e">
        <f>Global!AU8+"$I0]!1U"</f>
        <v>#VALUE!</v>
      </c>
      <c r="FV4" s="34" t="e">
        <f>Global!AV8+"$I0]!1V"</f>
        <v>#VALUE!</v>
      </c>
      <c r="FW4" s="34" t="e">
        <f>Global!AW8+"$I0]!1W"</f>
        <v>#VALUE!</v>
      </c>
      <c r="FX4" s="34" t="e">
        <f>Global!AX8+"$I0]!1X"</f>
        <v>#VALUE!</v>
      </c>
      <c r="FY4" s="34" t="e">
        <f>Global!AY8+"$I0]!1Y"</f>
        <v>#VALUE!</v>
      </c>
      <c r="FZ4" t="e">
        <f>Global!AZ8+"$I0]!1Z"</f>
        <v>#VALUE!</v>
      </c>
      <c r="GA4" s="34" t="e">
        <f>Global!BA8+"$I0]!1["</f>
        <v>#VALUE!</v>
      </c>
      <c r="GB4" s="34" t="e">
        <f>Global!BB8+"$I0]!1\"</f>
        <v>#VALUE!</v>
      </c>
      <c r="GC4" s="34" t="e">
        <f>Global!BC8+"$I0]!1]"</f>
        <v>#VALUE!</v>
      </c>
      <c r="GD4" s="34" t="e">
        <f>Global!BD8+"$I0]!1^"</f>
        <v>#VALUE!</v>
      </c>
      <c r="GE4" s="34" t="e">
        <f>Global!BE8+"$I0]!1_"</f>
        <v>#VALUE!</v>
      </c>
      <c r="GF4" s="34" t="e">
        <f>Global!BF8+"$I0]!1`"</f>
        <v>#VALUE!</v>
      </c>
      <c r="GG4" t="e">
        <f>Global!BG8+"$I0]!1a"</f>
        <v>#VALUE!</v>
      </c>
      <c r="GH4" s="34" t="e">
        <f>Global!BH8+"$I0]!1b"</f>
        <v>#VALUE!</v>
      </c>
      <c r="GI4" s="34" t="e">
        <f>Global!BI8+"$I0]!1c"</f>
        <v>#VALUE!</v>
      </c>
      <c r="GJ4" s="34" t="e">
        <f>Global!BJ8+"$I0]!1d"</f>
        <v>#VALUE!</v>
      </c>
      <c r="GK4" s="34" t="e">
        <f>Global!BK8+"$I0]!1e"</f>
        <v>#VALUE!</v>
      </c>
      <c r="GL4" s="34" t="e">
        <f>Global!BL8+"$I0]!1f"</f>
        <v>#VALUE!</v>
      </c>
      <c r="GM4" s="34" t="e">
        <f>Global!BM8+"$I0]!1g"</f>
        <v>#VALUE!</v>
      </c>
      <c r="GN4" s="34" t="e">
        <f>Global!BN8+"$I0]!1h"</f>
        <v>#VALUE!</v>
      </c>
      <c r="GO4" s="34" t="e">
        <f>Global!BO8+"$I0]!1i"</f>
        <v>#VALUE!</v>
      </c>
      <c r="GP4" s="34" t="e">
        <f>Global!BP8+"$I0]!1j"</f>
        <v>#VALUE!</v>
      </c>
      <c r="GQ4" s="34" t="e">
        <f>Global!BQ8+"$I0]!1k"</f>
        <v>#VALUE!</v>
      </c>
      <c r="GR4" s="34" t="e">
        <f>Global!BR8+"$I0]!1l"</f>
        <v>#VALUE!</v>
      </c>
      <c r="GS4" s="34" t="e">
        <f>Global!BS8+"$I0]!1m"</f>
        <v>#VALUE!</v>
      </c>
      <c r="GT4" s="34" t="e">
        <f>Global!BT8+"$I0]!1n"</f>
        <v>#VALUE!</v>
      </c>
      <c r="GU4" s="34" t="e">
        <f>Global!BU8+"$I0]!1o"</f>
        <v>#VALUE!</v>
      </c>
      <c r="GV4" s="34" t="e">
        <f>Global!BW8+"$I0]!1p"</f>
        <v>#VALUE!</v>
      </c>
      <c r="GW4" s="34" t="e">
        <f>Global!BX8+"$I0]!1q"</f>
        <v>#VALUE!</v>
      </c>
      <c r="GX4" s="34" t="e">
        <f>Global!BY8+"$I0]!1r"</f>
        <v>#VALUE!</v>
      </c>
      <c r="GY4" s="34" t="e">
        <f>Global!A9+"$I0]!1s"</f>
        <v>#VALUE!</v>
      </c>
      <c r="GZ4" s="34" t="e">
        <f>Global!B9+"$I0]!1t"</f>
        <v>#VALUE!</v>
      </c>
      <c r="HA4" s="34" t="e">
        <f>Global!C9+"$I0]!1u"</f>
        <v>#VALUE!</v>
      </c>
      <c r="HB4" s="34" t="e">
        <f>Global!D9+"$I0]!1v"</f>
        <v>#VALUE!</v>
      </c>
      <c r="HC4" s="34" t="e">
        <f>Global!E9+"$I0]!1w"</f>
        <v>#VALUE!</v>
      </c>
      <c r="HD4" s="34" t="e">
        <f>Global!F9+"$I0]!1x"</f>
        <v>#VALUE!</v>
      </c>
      <c r="HE4" s="34" t="e">
        <f>Global!G9+"$I0]!1y"</f>
        <v>#VALUE!</v>
      </c>
      <c r="HF4" s="34" t="e">
        <f>Global!H9+"$I0]!1z"</f>
        <v>#VALUE!</v>
      </c>
      <c r="HG4" s="34" t="e">
        <f>Global!I9+"$I0]!1{"</f>
        <v>#VALUE!</v>
      </c>
      <c r="HH4" t="e">
        <f>Global!J9+"$I0]!1|"</f>
        <v>#VALUE!</v>
      </c>
      <c r="HI4" s="34" t="e">
        <f>Global!K9+"$I0]!1}"</f>
        <v>#VALUE!</v>
      </c>
      <c r="HJ4" s="34" t="e">
        <f>Global!L9+"$I0]!1~"</f>
        <v>#VALUE!</v>
      </c>
      <c r="HK4" t="e">
        <f>Global!M9+"$I0]!2#"</f>
        <v>#VALUE!</v>
      </c>
      <c r="HL4" s="34" t="e">
        <f>Global!N9+"$I0]!2$"</f>
        <v>#VALUE!</v>
      </c>
      <c r="HM4" s="34" t="e">
        <f>Global!O9+"$I0]!2%"</f>
        <v>#VALUE!</v>
      </c>
      <c r="HN4" s="34" t="e">
        <f>Global!P9+"$I0]!2&amp;"</f>
        <v>#VALUE!</v>
      </c>
      <c r="HO4" s="34" t="e">
        <f>Global!Q9+"$I0]!2'"</f>
        <v>#VALUE!</v>
      </c>
      <c r="HP4" s="34" t="e">
        <f>Global!R9+"$I0]!2("</f>
        <v>#VALUE!</v>
      </c>
      <c r="HQ4" s="34" t="e">
        <f>Global!S9+"$I0]!2)"</f>
        <v>#VALUE!</v>
      </c>
      <c r="HR4" s="34" t="e">
        <f>Global!T9+"$I0]!2."</f>
        <v>#VALUE!</v>
      </c>
      <c r="HS4" s="34" t="e">
        <f>Global!U9+"$I0]!2/"</f>
        <v>#VALUE!</v>
      </c>
      <c r="HT4" s="34" t="e">
        <f>Global!V9+"$I0]!20"</f>
        <v>#VALUE!</v>
      </c>
      <c r="HU4" s="34" t="e">
        <f>Global!W9+"$I0]!21"</f>
        <v>#VALUE!</v>
      </c>
      <c r="HV4" s="34" t="e">
        <f>Global!X9+"$I0]!22"</f>
        <v>#VALUE!</v>
      </c>
      <c r="HW4" s="34" t="e">
        <f>Global!Y9+"$I0]!23"</f>
        <v>#VALUE!</v>
      </c>
      <c r="HX4" s="34" t="e">
        <f>Global!Z9+"$I0]!24"</f>
        <v>#VALUE!</v>
      </c>
      <c r="HY4" s="34" t="e">
        <f>Global!AA9+"$I0]!25"</f>
        <v>#VALUE!</v>
      </c>
      <c r="HZ4" s="34" t="e">
        <f>Global!AB9+"$I0]!26"</f>
        <v>#VALUE!</v>
      </c>
      <c r="IA4" s="34" t="e">
        <f>Global!AD9+"$I0]!27"</f>
        <v>#VALUE!</v>
      </c>
      <c r="IB4" s="34" t="e">
        <f>Global!AE9+"$I0]!28"</f>
        <v>#VALUE!</v>
      </c>
      <c r="IC4" s="34" t="e">
        <f>Global!AF9+"$I0]!29"</f>
        <v>#VALUE!</v>
      </c>
      <c r="ID4" s="34" t="e">
        <f>Global!AG9+"$I0]!2:"</f>
        <v>#VALUE!</v>
      </c>
      <c r="IE4" s="34" t="e">
        <f>Global!AH9+"$I0]!2;"</f>
        <v>#VALUE!</v>
      </c>
      <c r="IF4" s="34" t="e">
        <f>Global!AI9+"$I0]!2&lt;"</f>
        <v>#VALUE!</v>
      </c>
      <c r="IG4" s="34" t="e">
        <f>Global!AJ9+"$I0]!2="</f>
        <v>#VALUE!</v>
      </c>
      <c r="IH4" s="34" t="e">
        <f>Global!AK9+"$I0]!2&gt;"</f>
        <v>#VALUE!</v>
      </c>
      <c r="II4" s="34" t="e">
        <f>Global!AL9+"$I0]!2?"</f>
        <v>#VALUE!</v>
      </c>
      <c r="IJ4" s="34" t="e">
        <f>Global!AM9+"$I0]!2@"</f>
        <v>#VALUE!</v>
      </c>
      <c r="IK4" s="34" t="e">
        <f>Global!AN9+"$I0]!2A"</f>
        <v>#VALUE!</v>
      </c>
      <c r="IL4" s="34" t="e">
        <f>Global!AO9+"$I0]!2B"</f>
        <v>#VALUE!</v>
      </c>
      <c r="IM4" s="34" t="e">
        <f>Global!AP9+"$I0]!2C"</f>
        <v>#VALUE!</v>
      </c>
      <c r="IN4" s="34" t="e">
        <f>Global!AQ9+"$I0]!2D"</f>
        <v>#VALUE!</v>
      </c>
      <c r="IO4" s="34" t="e">
        <f>Global!AR9+"$I0]!2E"</f>
        <v>#VALUE!</v>
      </c>
      <c r="IP4" s="34" t="e">
        <f>Global!AS9+"$I0]!2F"</f>
        <v>#VALUE!</v>
      </c>
      <c r="IQ4" s="34" t="e">
        <f>Global!AT9+"$I0]!2G"</f>
        <v>#VALUE!</v>
      </c>
      <c r="IR4" s="34" t="e">
        <f>Global!AU9+"$I0]!2H"</f>
        <v>#VALUE!</v>
      </c>
      <c r="IS4" s="34" t="e">
        <f>Global!AV9+"$I0]!2I"</f>
        <v>#VALUE!</v>
      </c>
      <c r="IT4" s="34" t="e">
        <f>Global!AW9+"$I0]!2J"</f>
        <v>#VALUE!</v>
      </c>
      <c r="IU4" s="34" t="e">
        <f>Global!AX9+"$I0]!2K"</f>
        <v>#VALUE!</v>
      </c>
      <c r="IV4" s="34" t="e">
        <f>Global!AY9+"$I0]!2L"</f>
        <v>#VALUE!</v>
      </c>
    </row>
    <row r="5" spans="1:256" x14ac:dyDescent="0.25">
      <c r="F5" t="e">
        <f>Global!AZ9+"$I0]!2M"</f>
        <v>#VALUE!</v>
      </c>
      <c r="G5" s="34" t="e">
        <f>Global!BA9+"$I0]!2N"</f>
        <v>#VALUE!</v>
      </c>
      <c r="H5" s="34" t="e">
        <f>Global!BB9+"$I0]!2O"</f>
        <v>#VALUE!</v>
      </c>
      <c r="I5" s="34" t="e">
        <f>Global!BC9+"$I0]!2P"</f>
        <v>#VALUE!</v>
      </c>
      <c r="J5" s="34" t="e">
        <f>Global!BD9+"$I0]!2Q"</f>
        <v>#VALUE!</v>
      </c>
      <c r="K5" s="34" t="e">
        <f>Global!BE9+"$I0]!2R"</f>
        <v>#VALUE!</v>
      </c>
      <c r="L5" s="34" t="e">
        <f>Global!BF9+"$I0]!2S"</f>
        <v>#VALUE!</v>
      </c>
      <c r="M5" t="e">
        <f>Global!BG9+"$I0]!2T"</f>
        <v>#VALUE!</v>
      </c>
      <c r="N5" s="34" t="e">
        <f>Global!BH9+"$I0]!2U"</f>
        <v>#VALUE!</v>
      </c>
      <c r="O5" s="34" t="e">
        <f>Global!BI9+"$I0]!2V"</f>
        <v>#VALUE!</v>
      </c>
      <c r="P5" s="34" t="e">
        <f>Global!BJ9+"$I0]!2W"</f>
        <v>#VALUE!</v>
      </c>
      <c r="Q5" s="34" t="e">
        <f>Global!BK9+"$I0]!2X"</f>
        <v>#VALUE!</v>
      </c>
      <c r="R5" s="34" t="e">
        <f>Global!BL9+"$I0]!2Y"</f>
        <v>#VALUE!</v>
      </c>
      <c r="S5" s="34" t="e">
        <f>Global!BM9+"$I0]!2Z"</f>
        <v>#VALUE!</v>
      </c>
      <c r="T5" s="34" t="e">
        <f>Global!BN9+"$I0]!2["</f>
        <v>#VALUE!</v>
      </c>
      <c r="U5" s="34" t="e">
        <f>Global!BO9+"$I0]!2\"</f>
        <v>#VALUE!</v>
      </c>
      <c r="V5" s="34" t="e">
        <f>Global!BP9+"$I0]!2]"</f>
        <v>#VALUE!</v>
      </c>
      <c r="W5" s="34" t="e">
        <f>Global!BQ9+"$I0]!2^"</f>
        <v>#VALUE!</v>
      </c>
      <c r="X5" s="34" t="e">
        <f>Global!BR9+"$I0]!2_"</f>
        <v>#VALUE!</v>
      </c>
      <c r="Y5" s="34" t="e">
        <f>Global!BS9+"$I0]!2`"</f>
        <v>#VALUE!</v>
      </c>
      <c r="Z5" s="34" t="e">
        <f>Global!BT9+"$I0]!2a"</f>
        <v>#VALUE!</v>
      </c>
      <c r="AA5" s="34" t="e">
        <f>Global!BU9+"$I0]!2b"</f>
        <v>#VALUE!</v>
      </c>
      <c r="AB5" s="34" t="e">
        <f>Global!BW9+"$I0]!2c"</f>
        <v>#VALUE!</v>
      </c>
      <c r="AC5" s="34" t="e">
        <f>Global!BX9+"$I0]!2d"</f>
        <v>#VALUE!</v>
      </c>
      <c r="AD5" s="34" t="e">
        <f>Global!BY9+"$I0]!2e"</f>
        <v>#VALUE!</v>
      </c>
      <c r="AE5" s="34" t="e">
        <f>Global!A10+"$I0]!2f"</f>
        <v>#VALUE!</v>
      </c>
      <c r="AF5" s="34" t="e">
        <f>Global!B10+"$I0]!2g"</f>
        <v>#VALUE!</v>
      </c>
      <c r="AG5" s="34" t="e">
        <f>Global!C10+"$I0]!2h"</f>
        <v>#VALUE!</v>
      </c>
      <c r="AH5" s="34" t="e">
        <f>Global!D10+"$I0]!2i"</f>
        <v>#VALUE!</v>
      </c>
      <c r="AI5" s="34" t="e">
        <f>Global!E10+"$I0]!2j"</f>
        <v>#VALUE!</v>
      </c>
      <c r="AJ5" s="34" t="e">
        <f>Global!F10+"$I0]!2k"</f>
        <v>#VALUE!</v>
      </c>
      <c r="AK5" s="34" t="e">
        <f>Global!G10+"$I0]!2l"</f>
        <v>#VALUE!</v>
      </c>
      <c r="AL5" s="34" t="e">
        <f>Global!H10+"$I0]!2m"</f>
        <v>#VALUE!</v>
      </c>
      <c r="AM5" s="34" t="e">
        <f>Global!I10+"$I0]!2n"</f>
        <v>#VALUE!</v>
      </c>
      <c r="AN5" t="e">
        <f>Global!J10+"$I0]!2o"</f>
        <v>#VALUE!</v>
      </c>
      <c r="AO5" s="34" t="e">
        <f>Global!K10+"$I0]!2p"</f>
        <v>#VALUE!</v>
      </c>
      <c r="AP5" s="34" t="e">
        <f>Global!L10+"$I0]!2q"</f>
        <v>#VALUE!</v>
      </c>
      <c r="AQ5" t="e">
        <f>Global!M10+"$I0]!2r"</f>
        <v>#VALUE!</v>
      </c>
      <c r="AR5" s="34" t="e">
        <f>Global!N10+"$I0]!2s"</f>
        <v>#VALUE!</v>
      </c>
      <c r="AS5" s="34" t="e">
        <f>Global!O10+"$I0]!2t"</f>
        <v>#VALUE!</v>
      </c>
      <c r="AT5" s="34" t="e">
        <f>Global!P10+"$I0]!2u"</f>
        <v>#VALUE!</v>
      </c>
      <c r="AU5" s="34" t="e">
        <f>Global!Q10+"$I0]!2v"</f>
        <v>#VALUE!</v>
      </c>
      <c r="AV5" s="34" t="e">
        <f>Global!R10+"$I0]!2w"</f>
        <v>#VALUE!</v>
      </c>
      <c r="AW5" s="34" t="e">
        <f>Global!S10+"$I0]!2x"</f>
        <v>#VALUE!</v>
      </c>
      <c r="AX5" s="34" t="e">
        <f>Global!T10+"$I0]!2y"</f>
        <v>#VALUE!</v>
      </c>
      <c r="AY5" s="34" t="e">
        <f>Global!U10+"$I0]!2z"</f>
        <v>#VALUE!</v>
      </c>
      <c r="AZ5" s="34" t="e">
        <f>Global!V10+"$I0]!2{"</f>
        <v>#VALUE!</v>
      </c>
      <c r="BA5" s="34" t="e">
        <f>Global!W10+"$I0]!2|"</f>
        <v>#VALUE!</v>
      </c>
      <c r="BB5" s="34" t="e">
        <f>Global!X10+"$I0]!2}"</f>
        <v>#VALUE!</v>
      </c>
      <c r="BC5" s="34" t="e">
        <f>Global!Y10+"$I0]!2~"</f>
        <v>#VALUE!</v>
      </c>
      <c r="BD5" s="34" t="e">
        <f>Global!Z10+"$I0]!3#"</f>
        <v>#VALUE!</v>
      </c>
      <c r="BE5" s="34" t="e">
        <f>Global!AA10+"$I0]!3$"</f>
        <v>#VALUE!</v>
      </c>
      <c r="BF5" s="34" t="e">
        <f>Global!AB10+"$I0]!3%"</f>
        <v>#VALUE!</v>
      </c>
      <c r="BG5" s="34" t="e">
        <f>Global!AD10+"$I0]!3&amp;"</f>
        <v>#VALUE!</v>
      </c>
      <c r="BH5" s="34" t="e">
        <f>Global!AE10+"$I0]!3'"</f>
        <v>#VALUE!</v>
      </c>
      <c r="BI5" s="34" t="e">
        <f>Global!AF10+"$I0]!3("</f>
        <v>#VALUE!</v>
      </c>
      <c r="BJ5" s="34" t="e">
        <f>Global!AG10+"$I0]!3)"</f>
        <v>#VALUE!</v>
      </c>
      <c r="BK5" s="34" t="e">
        <f>Global!AH10+"$I0]!3."</f>
        <v>#VALUE!</v>
      </c>
      <c r="BL5" s="34" t="e">
        <f>Global!AI10+"$I0]!3/"</f>
        <v>#VALUE!</v>
      </c>
      <c r="BM5" s="34" t="e">
        <f>Global!AJ10+"$I0]!30"</f>
        <v>#VALUE!</v>
      </c>
      <c r="BN5" s="34" t="e">
        <f>Global!AK10+"$I0]!31"</f>
        <v>#VALUE!</v>
      </c>
      <c r="BO5" s="34" t="e">
        <f>Global!AL10+"$I0]!32"</f>
        <v>#VALUE!</v>
      </c>
      <c r="BP5" s="34" t="e">
        <f>Global!AM10+"$I0]!33"</f>
        <v>#VALUE!</v>
      </c>
      <c r="BQ5" s="34" t="e">
        <f>Global!AN10+"$I0]!34"</f>
        <v>#VALUE!</v>
      </c>
      <c r="BR5" s="34" t="e">
        <f>Global!AO10+"$I0]!35"</f>
        <v>#VALUE!</v>
      </c>
      <c r="BS5" s="34" t="e">
        <f>Global!AP10+"$I0]!36"</f>
        <v>#VALUE!</v>
      </c>
      <c r="BT5" s="34" t="e">
        <f>Global!AQ10+"$I0]!37"</f>
        <v>#VALUE!</v>
      </c>
      <c r="BU5" s="34" t="e">
        <f>Global!AR10+"$I0]!38"</f>
        <v>#VALUE!</v>
      </c>
      <c r="BV5" s="34" t="e">
        <f>Global!AS10+"$I0]!39"</f>
        <v>#VALUE!</v>
      </c>
      <c r="BW5" s="34" t="e">
        <f>Global!AT10+"$I0]!3:"</f>
        <v>#VALUE!</v>
      </c>
      <c r="BX5" s="34" t="e">
        <f>Global!AU10+"$I0]!3;"</f>
        <v>#VALUE!</v>
      </c>
      <c r="BY5" s="34" t="e">
        <f>Global!AV10+"$I0]!3&lt;"</f>
        <v>#VALUE!</v>
      </c>
      <c r="BZ5" s="34" t="e">
        <f>Global!AW10+"$I0]!3="</f>
        <v>#VALUE!</v>
      </c>
      <c r="CA5" s="34" t="e">
        <f>Global!AX10+"$I0]!3&gt;"</f>
        <v>#VALUE!</v>
      </c>
      <c r="CB5" s="34" t="e">
        <f>Global!AY10+"$I0]!3?"</f>
        <v>#VALUE!</v>
      </c>
      <c r="CC5" t="e">
        <f>Global!AZ10+"$I0]!3@"</f>
        <v>#VALUE!</v>
      </c>
      <c r="CD5" s="34" t="e">
        <f>Global!BA10+"$I0]!3A"</f>
        <v>#VALUE!</v>
      </c>
      <c r="CE5" s="34" t="e">
        <f>Global!BB10+"$I0]!3B"</f>
        <v>#VALUE!</v>
      </c>
      <c r="CF5" s="34" t="e">
        <f>Global!BC10+"$I0]!3C"</f>
        <v>#VALUE!</v>
      </c>
      <c r="CG5" s="34" t="e">
        <f>Global!BD10+"$I0]!3D"</f>
        <v>#VALUE!</v>
      </c>
      <c r="CH5" s="34" t="e">
        <f>Global!BE10+"$I0]!3E"</f>
        <v>#VALUE!</v>
      </c>
      <c r="CI5" s="34" t="e">
        <f>Global!BF10+"$I0]!3F"</f>
        <v>#VALUE!</v>
      </c>
      <c r="CJ5" t="e">
        <f>Global!BG10+"$I0]!3G"</f>
        <v>#VALUE!</v>
      </c>
      <c r="CK5" s="34" t="e">
        <f>Global!BH10+"$I0]!3H"</f>
        <v>#VALUE!</v>
      </c>
      <c r="CL5" s="34" t="e">
        <f>Global!BI10+"$I0]!3I"</f>
        <v>#VALUE!</v>
      </c>
      <c r="CM5" s="34" t="e">
        <f>Global!BJ10+"$I0]!3J"</f>
        <v>#VALUE!</v>
      </c>
      <c r="CN5" s="34" t="e">
        <f>Global!BK10+"$I0]!3K"</f>
        <v>#VALUE!</v>
      </c>
      <c r="CO5" s="34" t="e">
        <f>Global!BL10+"$I0]!3L"</f>
        <v>#VALUE!</v>
      </c>
      <c r="CP5" s="34" t="e">
        <f>Global!BM10+"$I0]!3M"</f>
        <v>#VALUE!</v>
      </c>
      <c r="CQ5" s="34" t="e">
        <f>Global!BN10+"$I0]!3N"</f>
        <v>#VALUE!</v>
      </c>
      <c r="CR5" s="34" t="e">
        <f>Global!BO10+"$I0]!3O"</f>
        <v>#VALUE!</v>
      </c>
      <c r="CS5" s="34" t="e">
        <f>Global!BP10+"$I0]!3P"</f>
        <v>#VALUE!</v>
      </c>
      <c r="CT5" s="34" t="e">
        <f>Global!BQ10+"$I0]!3Q"</f>
        <v>#VALUE!</v>
      </c>
      <c r="CU5" s="34" t="e">
        <f>Global!BR10+"$I0]!3R"</f>
        <v>#VALUE!</v>
      </c>
      <c r="CV5" s="34" t="e">
        <f>Global!BS10+"$I0]!3S"</f>
        <v>#VALUE!</v>
      </c>
      <c r="CW5" s="34" t="e">
        <f>Global!BT10+"$I0]!3T"</f>
        <v>#VALUE!</v>
      </c>
      <c r="CX5" s="34" t="e">
        <f>Global!BU10+"$I0]!3U"</f>
        <v>#VALUE!</v>
      </c>
      <c r="CY5" s="34" t="e">
        <f>Global!BW10+"$I0]!3V"</f>
        <v>#VALUE!</v>
      </c>
      <c r="CZ5" s="34" t="e">
        <f>Global!BX10+"$I0]!3W"</f>
        <v>#VALUE!</v>
      </c>
      <c r="DA5" s="34" t="e">
        <f>Global!BY10+"$I0]!3X"</f>
        <v>#VALUE!</v>
      </c>
      <c r="DB5" s="34" t="e">
        <f>Global!A11+"$I0]!3Y"</f>
        <v>#VALUE!</v>
      </c>
      <c r="DC5" s="34" t="e">
        <f>Global!B11+"$I0]!3Z"</f>
        <v>#VALUE!</v>
      </c>
      <c r="DD5" s="34" t="e">
        <f>Global!C11+"$I0]!3["</f>
        <v>#VALUE!</v>
      </c>
      <c r="DE5" s="34" t="e">
        <f>Global!D11+"$I0]!3\"</f>
        <v>#VALUE!</v>
      </c>
      <c r="DF5" s="34" t="e">
        <f>Global!E11+"$I0]!3]"</f>
        <v>#VALUE!</v>
      </c>
      <c r="DG5" s="34" t="e">
        <f>Global!F11+"$I0]!3^"</f>
        <v>#VALUE!</v>
      </c>
      <c r="DH5" s="34" t="e">
        <f>Global!G11+"$I0]!3_"</f>
        <v>#VALUE!</v>
      </c>
      <c r="DI5" s="34" t="e">
        <f>Global!H11+"$I0]!3`"</f>
        <v>#VALUE!</v>
      </c>
      <c r="DJ5" s="34" t="e">
        <f>Global!I11+"$I0]!3a"</f>
        <v>#VALUE!</v>
      </c>
      <c r="DK5" t="e">
        <f>Global!J11+"$I0]!3b"</f>
        <v>#VALUE!</v>
      </c>
      <c r="DL5" s="34" t="e">
        <f>Global!K11+"$I0]!3c"</f>
        <v>#VALUE!</v>
      </c>
      <c r="DM5" s="34" t="e">
        <f>Global!L11+"$I0]!3d"</f>
        <v>#VALUE!</v>
      </c>
      <c r="DN5" t="e">
        <f>Global!M11+"$I0]!3e"</f>
        <v>#VALUE!</v>
      </c>
      <c r="DO5" s="34" t="e">
        <f>Global!N11+"$I0]!3f"</f>
        <v>#VALUE!</v>
      </c>
      <c r="DP5" s="34" t="e">
        <f>Global!O11+"$I0]!3g"</f>
        <v>#VALUE!</v>
      </c>
      <c r="DQ5" s="34" t="e">
        <f>Global!P11+"$I0]!3h"</f>
        <v>#VALUE!</v>
      </c>
      <c r="DR5" s="34" t="e">
        <f>Global!Q11+"$I0]!3i"</f>
        <v>#VALUE!</v>
      </c>
      <c r="DS5" s="34" t="e">
        <f>Global!R11+"$I0]!3j"</f>
        <v>#VALUE!</v>
      </c>
      <c r="DT5" s="34" t="e">
        <f>Global!S11+"$I0]!3k"</f>
        <v>#VALUE!</v>
      </c>
      <c r="DU5" s="34" t="e">
        <f>Global!T11+"$I0]!3l"</f>
        <v>#VALUE!</v>
      </c>
      <c r="DV5" s="34" t="e">
        <f>Global!U11+"$I0]!3m"</f>
        <v>#VALUE!</v>
      </c>
      <c r="DW5" s="34" t="e">
        <f>Global!V11+"$I0]!3n"</f>
        <v>#VALUE!</v>
      </c>
      <c r="DX5" s="34" t="e">
        <f>Global!W11+"$I0]!3o"</f>
        <v>#VALUE!</v>
      </c>
      <c r="DY5" s="34" t="e">
        <f>Global!X11+"$I0]!3p"</f>
        <v>#VALUE!</v>
      </c>
      <c r="DZ5" s="34" t="e">
        <f>Global!Y11+"$I0]!3q"</f>
        <v>#VALUE!</v>
      </c>
      <c r="EA5" s="34" t="e">
        <f>Global!Z11+"$I0]!3r"</f>
        <v>#VALUE!</v>
      </c>
      <c r="EB5" s="34" t="e">
        <f>Global!AA11+"$I0]!3s"</f>
        <v>#VALUE!</v>
      </c>
      <c r="EC5" s="34" t="e">
        <f>Global!AB11+"$I0]!3t"</f>
        <v>#VALUE!</v>
      </c>
      <c r="ED5" s="34" t="e">
        <f>Global!AD11+"$I0]!3u"</f>
        <v>#VALUE!</v>
      </c>
      <c r="EE5" s="34" t="e">
        <f>Global!AE11+"$I0]!3v"</f>
        <v>#VALUE!</v>
      </c>
      <c r="EF5" s="34" t="e">
        <f>Global!AF11+"$I0]!3w"</f>
        <v>#VALUE!</v>
      </c>
      <c r="EG5" s="34" t="e">
        <f>Global!AG11+"$I0]!3x"</f>
        <v>#VALUE!</v>
      </c>
      <c r="EH5" s="34" t="e">
        <f>Global!AH11+"$I0]!3y"</f>
        <v>#VALUE!</v>
      </c>
      <c r="EI5" s="34" t="e">
        <f>Global!AI11+"$I0]!3z"</f>
        <v>#VALUE!</v>
      </c>
      <c r="EJ5" s="34" t="e">
        <f>Global!AJ11+"$I0]!3{"</f>
        <v>#VALUE!</v>
      </c>
      <c r="EK5" s="34" t="e">
        <f>Global!AK11+"$I0]!3|"</f>
        <v>#VALUE!</v>
      </c>
      <c r="EL5" s="34" t="e">
        <f>Global!AL11+"$I0]!3}"</f>
        <v>#VALUE!</v>
      </c>
      <c r="EM5" s="34" t="e">
        <f>Global!AM11+"$I0]!3~"</f>
        <v>#VALUE!</v>
      </c>
      <c r="EN5" s="34" t="e">
        <f>Global!AN11+"$I0]!4#"</f>
        <v>#VALUE!</v>
      </c>
      <c r="EO5" s="34" t="e">
        <f>Global!AO11+"$I0]!4$"</f>
        <v>#VALUE!</v>
      </c>
      <c r="EP5" s="34" t="e">
        <f>Global!AP11+"$I0]!4%"</f>
        <v>#VALUE!</v>
      </c>
      <c r="EQ5" s="34" t="e">
        <f>Global!AQ11+"$I0]!4&amp;"</f>
        <v>#VALUE!</v>
      </c>
      <c r="ER5" s="34" t="e">
        <f>Global!AR11+"$I0]!4'"</f>
        <v>#VALUE!</v>
      </c>
      <c r="ES5" s="34" t="e">
        <f>Global!AS11+"$I0]!4("</f>
        <v>#VALUE!</v>
      </c>
      <c r="ET5" s="34" t="e">
        <f>Global!AT11+"$I0]!4)"</f>
        <v>#VALUE!</v>
      </c>
      <c r="EU5" s="34" t="e">
        <f>Global!AU11+"$I0]!4."</f>
        <v>#VALUE!</v>
      </c>
      <c r="EV5" s="34" t="e">
        <f>Global!AV11+"$I0]!4/"</f>
        <v>#VALUE!</v>
      </c>
      <c r="EW5" s="34" t="e">
        <f>Global!AW11+"$I0]!40"</f>
        <v>#VALUE!</v>
      </c>
      <c r="EX5" s="34" t="e">
        <f>Global!AX11+"$I0]!41"</f>
        <v>#VALUE!</v>
      </c>
      <c r="EY5" s="34" t="e">
        <f>Global!AY11+"$I0]!42"</f>
        <v>#VALUE!</v>
      </c>
      <c r="EZ5" t="e">
        <f>Global!AZ11+"$I0]!43"</f>
        <v>#VALUE!</v>
      </c>
      <c r="FA5" s="34" t="e">
        <f>Global!BA11+"$I0]!44"</f>
        <v>#VALUE!</v>
      </c>
      <c r="FB5" s="34" t="e">
        <f>Global!BB11+"$I0]!45"</f>
        <v>#VALUE!</v>
      </c>
      <c r="FC5" s="34" t="e">
        <f>Global!BC11+"$I0]!46"</f>
        <v>#VALUE!</v>
      </c>
      <c r="FD5" s="34" t="e">
        <f>Global!BD11+"$I0]!47"</f>
        <v>#VALUE!</v>
      </c>
      <c r="FE5" s="34" t="e">
        <f>Global!BE11+"$I0]!48"</f>
        <v>#VALUE!</v>
      </c>
      <c r="FF5" s="34" t="e">
        <f>Global!BF11+"$I0]!49"</f>
        <v>#VALUE!</v>
      </c>
      <c r="FG5" t="e">
        <f>Global!BG11+"$I0]!4:"</f>
        <v>#VALUE!</v>
      </c>
      <c r="FH5" s="34" t="e">
        <f>Global!BH11+"$I0]!4;"</f>
        <v>#VALUE!</v>
      </c>
      <c r="FI5" s="34" t="e">
        <f>Global!BI11+"$I0]!4&lt;"</f>
        <v>#VALUE!</v>
      </c>
      <c r="FJ5" s="34" t="e">
        <f>Global!BJ11+"$I0]!4="</f>
        <v>#VALUE!</v>
      </c>
      <c r="FK5" s="34" t="e">
        <f>Global!BK11+"$I0]!4&gt;"</f>
        <v>#VALUE!</v>
      </c>
      <c r="FL5" s="34" t="e">
        <f>Global!BL11+"$I0]!4?"</f>
        <v>#VALUE!</v>
      </c>
      <c r="FM5" s="34" t="e">
        <f>Global!BM11+"$I0]!4@"</f>
        <v>#VALUE!</v>
      </c>
      <c r="FN5" s="34" t="e">
        <f>Global!BN11+"$I0]!4A"</f>
        <v>#VALUE!</v>
      </c>
      <c r="FO5" s="34" t="e">
        <f>Global!BO11+"$I0]!4B"</f>
        <v>#VALUE!</v>
      </c>
      <c r="FP5" s="34" t="e">
        <f>Global!BP11+"$I0]!4C"</f>
        <v>#VALUE!</v>
      </c>
      <c r="FQ5" s="34" t="e">
        <f>Global!BQ11+"$I0]!4D"</f>
        <v>#VALUE!</v>
      </c>
      <c r="FR5" s="34" t="e">
        <f>Global!BR11+"$I0]!4E"</f>
        <v>#VALUE!</v>
      </c>
      <c r="FS5" s="34" t="e">
        <f>Global!BS11+"$I0]!4F"</f>
        <v>#VALUE!</v>
      </c>
      <c r="FT5" s="34" t="e">
        <f>Global!BT11+"$I0]!4G"</f>
        <v>#VALUE!</v>
      </c>
      <c r="FU5" s="34" t="e">
        <f>Global!BU11+"$I0]!4H"</f>
        <v>#VALUE!</v>
      </c>
      <c r="FV5" s="34" t="e">
        <f>Global!BW11+"$I0]!4I"</f>
        <v>#VALUE!</v>
      </c>
      <c r="FW5" s="34" t="e">
        <f>Global!BX11+"$I0]!4J"</f>
        <v>#VALUE!</v>
      </c>
      <c r="FX5" s="34" t="e">
        <f>Global!BY11+"$I0]!4K"</f>
        <v>#VALUE!</v>
      </c>
      <c r="FY5" s="34" t="e">
        <f>Global!A12+"$I0]!4L"</f>
        <v>#VALUE!</v>
      </c>
      <c r="FZ5" s="34" t="e">
        <f>Global!B12+"$I0]!4M"</f>
        <v>#VALUE!</v>
      </c>
      <c r="GA5" s="34" t="e">
        <f>Global!C12+"$I0]!4N"</f>
        <v>#VALUE!</v>
      </c>
      <c r="GB5" s="34" t="e">
        <f>Global!D12+"$I0]!4O"</f>
        <v>#VALUE!</v>
      </c>
      <c r="GC5" s="34" t="e">
        <f>Global!E12+"$I0]!4P"</f>
        <v>#VALUE!</v>
      </c>
      <c r="GD5" s="34" t="e">
        <f>Global!F12+"$I0]!4Q"</f>
        <v>#VALUE!</v>
      </c>
      <c r="GE5" s="34" t="e">
        <f>Global!G12+"$I0]!4R"</f>
        <v>#VALUE!</v>
      </c>
      <c r="GF5" s="34" t="e">
        <f>Global!H12+"$I0]!4S"</f>
        <v>#VALUE!</v>
      </c>
      <c r="GG5" s="34" t="e">
        <f>Global!I12+"$I0]!4T"</f>
        <v>#VALUE!</v>
      </c>
      <c r="GH5" t="e">
        <f>Global!J12+"$I0]!4U"</f>
        <v>#VALUE!</v>
      </c>
      <c r="GI5" s="34" t="e">
        <f>Global!K12+"$I0]!4V"</f>
        <v>#VALUE!</v>
      </c>
      <c r="GJ5" s="34" t="e">
        <f>Global!L12+"$I0]!4W"</f>
        <v>#VALUE!</v>
      </c>
      <c r="GK5" t="e">
        <f>Global!M12+"$I0]!4X"</f>
        <v>#VALUE!</v>
      </c>
      <c r="GL5" s="34" t="e">
        <f>Global!N12+"$I0]!4Y"</f>
        <v>#VALUE!</v>
      </c>
      <c r="GM5" s="34" t="e">
        <f>Global!O12+"$I0]!4Z"</f>
        <v>#VALUE!</v>
      </c>
      <c r="GN5" s="34" t="e">
        <f>Global!P12+"$I0]!4["</f>
        <v>#VALUE!</v>
      </c>
      <c r="GO5" s="34" t="e">
        <f>Global!Q12+"$I0]!4\"</f>
        <v>#VALUE!</v>
      </c>
      <c r="GP5" s="34" t="e">
        <f>Global!R12+"$I0]!4]"</f>
        <v>#VALUE!</v>
      </c>
      <c r="GQ5" s="34" t="e">
        <f>Global!S12+"$I0]!4^"</f>
        <v>#VALUE!</v>
      </c>
      <c r="GR5" s="34" t="e">
        <f>Global!T12+"$I0]!4_"</f>
        <v>#VALUE!</v>
      </c>
      <c r="GS5" s="34" t="e">
        <f>Global!U12+"$I0]!4`"</f>
        <v>#VALUE!</v>
      </c>
      <c r="GT5" s="34" t="e">
        <f>Global!V12+"$I0]!4a"</f>
        <v>#VALUE!</v>
      </c>
      <c r="GU5" s="34" t="e">
        <f>Global!W12+"$I0]!4b"</f>
        <v>#VALUE!</v>
      </c>
      <c r="GV5" s="34" t="e">
        <f>Global!X12+"$I0]!4c"</f>
        <v>#VALUE!</v>
      </c>
      <c r="GW5" s="34" t="e">
        <f>Global!Y12+"$I0]!4d"</f>
        <v>#VALUE!</v>
      </c>
      <c r="GX5" s="34" t="e">
        <f>Global!Z12+"$I0]!4e"</f>
        <v>#VALUE!</v>
      </c>
      <c r="GY5" s="34" t="e">
        <f>Global!AA12+"$I0]!4f"</f>
        <v>#VALUE!</v>
      </c>
      <c r="GZ5" s="34" t="e">
        <f>Global!AB12+"$I0]!4g"</f>
        <v>#VALUE!</v>
      </c>
      <c r="HA5" s="34" t="e">
        <f>Global!AD12+"$I0]!4h"</f>
        <v>#VALUE!</v>
      </c>
      <c r="HB5" s="34" t="e">
        <f>Global!AE12+"$I0]!4i"</f>
        <v>#VALUE!</v>
      </c>
      <c r="HC5" s="34" t="e">
        <f>Global!AF12+"$I0]!4j"</f>
        <v>#VALUE!</v>
      </c>
      <c r="HD5" s="34" t="e">
        <f>Global!AG12+"$I0]!4k"</f>
        <v>#VALUE!</v>
      </c>
      <c r="HE5" s="34" t="e">
        <f>Global!AH12+"$I0]!4l"</f>
        <v>#VALUE!</v>
      </c>
      <c r="HF5" s="34" t="e">
        <f>Global!AI12+"$I0]!4m"</f>
        <v>#VALUE!</v>
      </c>
      <c r="HG5" s="34" t="e">
        <f>Global!AJ12+"$I0]!4n"</f>
        <v>#VALUE!</v>
      </c>
      <c r="HH5" s="34" t="e">
        <f>Global!AK12+"$I0]!4o"</f>
        <v>#VALUE!</v>
      </c>
      <c r="HI5" s="34" t="e">
        <f>Global!AL12+"$I0]!4p"</f>
        <v>#VALUE!</v>
      </c>
      <c r="HJ5" s="34" t="e">
        <f>Global!AM12+"$I0]!4q"</f>
        <v>#VALUE!</v>
      </c>
      <c r="HK5" s="34" t="e">
        <f>Global!AN12+"$I0]!4r"</f>
        <v>#VALUE!</v>
      </c>
      <c r="HL5" s="34" t="e">
        <f>Global!AO12+"$I0]!4s"</f>
        <v>#VALUE!</v>
      </c>
      <c r="HM5" s="34" t="e">
        <f>Global!AP12+"$I0]!4t"</f>
        <v>#VALUE!</v>
      </c>
      <c r="HN5" s="34" t="e">
        <f>Global!AQ12+"$I0]!4u"</f>
        <v>#VALUE!</v>
      </c>
      <c r="HO5" s="34" t="e">
        <f>Global!AR12+"$I0]!4v"</f>
        <v>#VALUE!</v>
      </c>
      <c r="HP5" s="34" t="e">
        <f>Global!AS12+"$I0]!4w"</f>
        <v>#VALUE!</v>
      </c>
      <c r="HQ5" s="34" t="e">
        <f>Global!AT12+"$I0]!4x"</f>
        <v>#VALUE!</v>
      </c>
      <c r="HR5" s="34" t="e">
        <f>Global!AU12+"$I0]!4y"</f>
        <v>#VALUE!</v>
      </c>
      <c r="HS5" s="34" t="e">
        <f>Global!AV12+"$I0]!4z"</f>
        <v>#VALUE!</v>
      </c>
      <c r="HT5" s="34" t="e">
        <f>Global!AW12+"$I0]!4{"</f>
        <v>#VALUE!</v>
      </c>
      <c r="HU5" s="34" t="e">
        <f>Global!AX12+"$I0]!4|"</f>
        <v>#VALUE!</v>
      </c>
      <c r="HV5" s="34" t="e">
        <f>Global!AY12+"$I0]!4}"</f>
        <v>#VALUE!</v>
      </c>
      <c r="HW5" t="e">
        <f>Global!AZ12+"$I0]!4~"</f>
        <v>#VALUE!</v>
      </c>
      <c r="HX5" s="34" t="e">
        <f>Global!BA12+"$I0]!5#"</f>
        <v>#VALUE!</v>
      </c>
      <c r="HY5" s="34" t="e">
        <f>Global!BB12+"$I0]!5$"</f>
        <v>#VALUE!</v>
      </c>
      <c r="HZ5" s="34" t="e">
        <f>Global!BC12+"$I0]!5%"</f>
        <v>#VALUE!</v>
      </c>
      <c r="IA5" s="34" t="e">
        <f>Global!BD12+"$I0]!5&amp;"</f>
        <v>#VALUE!</v>
      </c>
      <c r="IB5" s="34" t="e">
        <f>Global!BE12+"$I0]!5'"</f>
        <v>#VALUE!</v>
      </c>
      <c r="IC5" s="34" t="e">
        <f>Global!BF12+"$I0]!5("</f>
        <v>#VALUE!</v>
      </c>
      <c r="ID5" t="e">
        <f>Global!BG12+"$I0]!5)"</f>
        <v>#VALUE!</v>
      </c>
      <c r="IE5" s="34" t="e">
        <f>Global!BH12+"$I0]!5."</f>
        <v>#VALUE!</v>
      </c>
      <c r="IF5" s="34" t="e">
        <f>Global!BI12+"$I0]!5/"</f>
        <v>#VALUE!</v>
      </c>
      <c r="IG5" s="34" t="e">
        <f>Global!BJ12+"$I0]!50"</f>
        <v>#VALUE!</v>
      </c>
      <c r="IH5" s="34" t="e">
        <f>Global!BK12+"$I0]!51"</f>
        <v>#VALUE!</v>
      </c>
      <c r="II5" s="34" t="e">
        <f>Global!BL12+"$I0]!52"</f>
        <v>#VALUE!</v>
      </c>
      <c r="IJ5" s="34" t="e">
        <f>Global!BM12+"$I0]!53"</f>
        <v>#VALUE!</v>
      </c>
      <c r="IK5" s="34" t="e">
        <f>Global!BN12+"$I0]!54"</f>
        <v>#VALUE!</v>
      </c>
      <c r="IL5" s="34" t="e">
        <f>Global!BO12+"$I0]!55"</f>
        <v>#VALUE!</v>
      </c>
      <c r="IM5" s="34" t="e">
        <f>Global!BP12+"$I0]!56"</f>
        <v>#VALUE!</v>
      </c>
      <c r="IN5" s="34" t="e">
        <f>Global!BQ12+"$I0]!57"</f>
        <v>#VALUE!</v>
      </c>
      <c r="IO5" s="34" t="e">
        <f>Global!BR12+"$I0]!58"</f>
        <v>#VALUE!</v>
      </c>
      <c r="IP5" s="34" t="e">
        <f>Global!BS12+"$I0]!59"</f>
        <v>#VALUE!</v>
      </c>
      <c r="IQ5" s="34" t="e">
        <f>Global!BT12+"$I0]!5:"</f>
        <v>#VALUE!</v>
      </c>
      <c r="IR5" s="34" t="e">
        <f>Global!BU12+"$I0]!5;"</f>
        <v>#VALUE!</v>
      </c>
      <c r="IS5" s="34" t="e">
        <f>Global!BW12+"$I0]!5&lt;"</f>
        <v>#VALUE!</v>
      </c>
      <c r="IT5" s="34" t="e">
        <f>Global!BX12+"$I0]!5="</f>
        <v>#VALUE!</v>
      </c>
      <c r="IU5" s="34" t="e">
        <f>Global!BY12+"$I0]!5&gt;"</f>
        <v>#VALUE!</v>
      </c>
      <c r="IV5" s="34" t="e">
        <f>Global!A13+"$I0]!5?"</f>
        <v>#VALUE!</v>
      </c>
    </row>
    <row r="6" spans="1:256" x14ac:dyDescent="0.25">
      <c r="F6" s="34" t="e">
        <f>Global!B13+"$I0]!5@"</f>
        <v>#VALUE!</v>
      </c>
      <c r="G6" s="34" t="e">
        <f>Global!C13+"$I0]!5A"</f>
        <v>#VALUE!</v>
      </c>
      <c r="H6" s="34" t="e">
        <f>Global!D13+"$I0]!5B"</f>
        <v>#VALUE!</v>
      </c>
      <c r="I6" s="34" t="e">
        <f>Global!E13+"$I0]!5C"</f>
        <v>#VALUE!</v>
      </c>
      <c r="J6" s="34" t="e">
        <f>Global!F13+"$I0]!5D"</f>
        <v>#VALUE!</v>
      </c>
      <c r="K6" s="34" t="e">
        <f>Global!G13+"$I0]!5E"</f>
        <v>#VALUE!</v>
      </c>
      <c r="L6" s="34" t="e">
        <f>Global!H13+"$I0]!5F"</f>
        <v>#VALUE!</v>
      </c>
      <c r="M6" s="34" t="e">
        <f>Global!I13+"$I0]!5G"</f>
        <v>#VALUE!</v>
      </c>
      <c r="N6" t="e">
        <f>Global!J13+"$I0]!5H"</f>
        <v>#VALUE!</v>
      </c>
      <c r="O6" s="34" t="e">
        <f>Global!K13+"$I0]!5I"</f>
        <v>#VALUE!</v>
      </c>
      <c r="P6" s="34" t="e">
        <f>Global!L13+"$I0]!5J"</f>
        <v>#VALUE!</v>
      </c>
      <c r="Q6" t="e">
        <f>Global!M13+"$I0]!5K"</f>
        <v>#VALUE!</v>
      </c>
      <c r="R6" s="34" t="e">
        <f>Global!N13+"$I0]!5L"</f>
        <v>#VALUE!</v>
      </c>
      <c r="S6" s="34" t="e">
        <f>Global!O13+"$I0]!5M"</f>
        <v>#VALUE!</v>
      </c>
      <c r="T6" s="34" t="e">
        <f>Global!P13+"$I0]!5N"</f>
        <v>#VALUE!</v>
      </c>
      <c r="U6" s="34" t="e">
        <f>Global!Q13+"$I0]!5O"</f>
        <v>#VALUE!</v>
      </c>
      <c r="V6" s="34" t="e">
        <f>Global!R13+"$I0]!5P"</f>
        <v>#VALUE!</v>
      </c>
      <c r="W6" s="34" t="e">
        <f>Global!S13+"$I0]!5Q"</f>
        <v>#VALUE!</v>
      </c>
      <c r="X6" s="34" t="e">
        <f>Global!T13+"$I0]!5R"</f>
        <v>#VALUE!</v>
      </c>
      <c r="Y6" s="34" t="e">
        <f>Global!U13+"$I0]!5S"</f>
        <v>#VALUE!</v>
      </c>
      <c r="Z6" s="34" t="e">
        <f>Global!V13+"$I0]!5T"</f>
        <v>#VALUE!</v>
      </c>
      <c r="AA6" s="34" t="e">
        <f>Global!W13+"$I0]!5U"</f>
        <v>#VALUE!</v>
      </c>
      <c r="AB6" s="34" t="e">
        <f>Global!X13+"$I0]!5V"</f>
        <v>#VALUE!</v>
      </c>
      <c r="AC6" s="34" t="e">
        <f>Global!Y13+"$I0]!5W"</f>
        <v>#VALUE!</v>
      </c>
      <c r="AD6" s="34" t="e">
        <f>Global!Z13+"$I0]!5X"</f>
        <v>#VALUE!</v>
      </c>
      <c r="AE6" s="34" t="e">
        <f>Global!AA13+"$I0]!5Y"</f>
        <v>#VALUE!</v>
      </c>
      <c r="AF6" s="34" t="e">
        <f>Global!AB13+"$I0]!5Z"</f>
        <v>#VALUE!</v>
      </c>
      <c r="AG6" s="34" t="e">
        <f>Global!AD13+"$I0]!5["</f>
        <v>#VALUE!</v>
      </c>
      <c r="AH6" s="34" t="e">
        <f>Global!AE13+"$I0]!5\"</f>
        <v>#VALUE!</v>
      </c>
      <c r="AI6" s="34" t="e">
        <f>Global!AF13+"$I0]!5]"</f>
        <v>#VALUE!</v>
      </c>
      <c r="AJ6" s="34" t="e">
        <f>Global!AG13+"$I0]!5^"</f>
        <v>#VALUE!</v>
      </c>
      <c r="AK6" s="34" t="e">
        <f>Global!AH13+"$I0]!5_"</f>
        <v>#VALUE!</v>
      </c>
      <c r="AL6" s="34" t="e">
        <f>Global!AI13+"$I0]!5`"</f>
        <v>#VALUE!</v>
      </c>
      <c r="AM6" s="34" t="e">
        <f>Global!AJ13+"$I0]!5a"</f>
        <v>#VALUE!</v>
      </c>
      <c r="AN6" s="34" t="e">
        <f>Global!AK13+"$I0]!5b"</f>
        <v>#VALUE!</v>
      </c>
      <c r="AO6" s="34" t="e">
        <f>Global!AL13+"$I0]!5c"</f>
        <v>#VALUE!</v>
      </c>
      <c r="AP6" s="34" t="e">
        <f>Global!AM13+"$I0]!5d"</f>
        <v>#VALUE!</v>
      </c>
      <c r="AQ6" s="34" t="e">
        <f>Global!AN13+"$I0]!5e"</f>
        <v>#VALUE!</v>
      </c>
      <c r="AR6" s="34" t="e">
        <f>Global!AO13+"$I0]!5f"</f>
        <v>#VALUE!</v>
      </c>
      <c r="AS6" s="34" t="e">
        <f>Global!AP13+"$I0]!5g"</f>
        <v>#VALUE!</v>
      </c>
      <c r="AT6" s="34" t="e">
        <f>Global!AQ13+"$I0]!5h"</f>
        <v>#VALUE!</v>
      </c>
      <c r="AU6" s="34" t="e">
        <f>Global!AR13+"$I0]!5i"</f>
        <v>#VALUE!</v>
      </c>
      <c r="AV6" s="34" t="e">
        <f>Global!AS13+"$I0]!5j"</f>
        <v>#VALUE!</v>
      </c>
      <c r="AW6" s="34" t="e">
        <f>Global!AT13+"$I0]!5k"</f>
        <v>#VALUE!</v>
      </c>
      <c r="AX6" s="34" t="e">
        <f>Global!AU13+"$I0]!5l"</f>
        <v>#VALUE!</v>
      </c>
      <c r="AY6" s="34" t="e">
        <f>Global!AV13+"$I0]!5m"</f>
        <v>#VALUE!</v>
      </c>
      <c r="AZ6" s="34" t="e">
        <f>Global!AW13+"$I0]!5n"</f>
        <v>#VALUE!</v>
      </c>
      <c r="BA6" s="34" t="e">
        <f>Global!AX13+"$I0]!5o"</f>
        <v>#VALUE!</v>
      </c>
      <c r="BB6" s="34" t="e">
        <f>Global!AY13+"$I0]!5p"</f>
        <v>#VALUE!</v>
      </c>
      <c r="BC6" t="e">
        <f>Global!AZ13+"$I0]!5q"</f>
        <v>#VALUE!</v>
      </c>
      <c r="BD6" s="34" t="e">
        <f>Global!BA13+"$I0]!5r"</f>
        <v>#VALUE!</v>
      </c>
      <c r="BE6" s="34" t="e">
        <f>Global!BB13+"$I0]!5s"</f>
        <v>#VALUE!</v>
      </c>
      <c r="BF6" s="34" t="e">
        <f>Global!BC13+"$I0]!5t"</f>
        <v>#VALUE!</v>
      </c>
      <c r="BG6" s="34" t="e">
        <f>Global!BD13+"$I0]!5u"</f>
        <v>#VALUE!</v>
      </c>
      <c r="BH6" s="34" t="e">
        <f>Global!BE13+"$I0]!5v"</f>
        <v>#VALUE!</v>
      </c>
      <c r="BI6" s="34" t="e">
        <f>Global!BF13+"$I0]!5w"</f>
        <v>#VALUE!</v>
      </c>
      <c r="BJ6" t="e">
        <f>Global!BG13+"$I0]!5x"</f>
        <v>#VALUE!</v>
      </c>
      <c r="BK6" s="34" t="e">
        <f>Global!BH13+"$I0]!5y"</f>
        <v>#VALUE!</v>
      </c>
      <c r="BL6" s="34" t="e">
        <f>Global!BI13+"$I0]!5z"</f>
        <v>#VALUE!</v>
      </c>
      <c r="BM6" s="34" t="e">
        <f>Global!BJ13+"$I0]!5{"</f>
        <v>#VALUE!</v>
      </c>
      <c r="BN6" s="34" t="e">
        <f>Global!BK13+"$I0]!5|"</f>
        <v>#VALUE!</v>
      </c>
      <c r="BO6" s="34" t="e">
        <f>Global!BL13+"$I0]!5}"</f>
        <v>#VALUE!</v>
      </c>
      <c r="BP6" s="34" t="e">
        <f>Global!BM13+"$I0]!5~"</f>
        <v>#VALUE!</v>
      </c>
      <c r="BQ6" s="34" t="e">
        <f>Global!BN13+"$I0]!6#"</f>
        <v>#VALUE!</v>
      </c>
      <c r="BR6" s="34" t="e">
        <f>Global!BO13+"$I0]!6$"</f>
        <v>#VALUE!</v>
      </c>
      <c r="BS6" s="34" t="e">
        <f>Global!BP13+"$I0]!6%"</f>
        <v>#VALUE!</v>
      </c>
      <c r="BT6" s="34" t="e">
        <f>Global!BQ13+"$I0]!6&amp;"</f>
        <v>#VALUE!</v>
      </c>
      <c r="BU6" s="34" t="e">
        <f>Global!BR13+"$I0]!6'"</f>
        <v>#VALUE!</v>
      </c>
      <c r="BV6" s="34" t="e">
        <f>Global!BS13+"$I0]!6("</f>
        <v>#VALUE!</v>
      </c>
      <c r="BW6" s="34" t="e">
        <f>Global!BT13+"$I0]!6)"</f>
        <v>#VALUE!</v>
      </c>
      <c r="BX6" s="34" t="e">
        <f>Global!BU13+"$I0]!6."</f>
        <v>#VALUE!</v>
      </c>
      <c r="BY6" s="34" t="e">
        <f>Global!BW13+"$I0]!6/"</f>
        <v>#VALUE!</v>
      </c>
      <c r="BZ6" s="34" t="e">
        <f>Global!BX13+"$I0]!60"</f>
        <v>#VALUE!</v>
      </c>
      <c r="CA6" s="34" t="e">
        <f>Global!BY13+"$I0]!61"</f>
        <v>#VALUE!</v>
      </c>
      <c r="CB6" s="34" t="e">
        <f>Global!A14+"$I0]!62"</f>
        <v>#VALUE!</v>
      </c>
      <c r="CC6" s="34" t="e">
        <f>Global!B14+"$I0]!63"</f>
        <v>#VALUE!</v>
      </c>
      <c r="CD6" s="34" t="e">
        <f>Global!C14+"$I0]!64"</f>
        <v>#VALUE!</v>
      </c>
      <c r="CE6" s="34" t="e">
        <f>Global!D14+"$I0]!65"</f>
        <v>#VALUE!</v>
      </c>
      <c r="CF6" s="34" t="e">
        <f>Global!E14+"$I0]!66"</f>
        <v>#VALUE!</v>
      </c>
      <c r="CG6" s="34" t="e">
        <f>Global!F14+"$I0]!67"</f>
        <v>#VALUE!</v>
      </c>
      <c r="CH6" s="34" t="e">
        <f>Global!G14+"$I0]!68"</f>
        <v>#VALUE!</v>
      </c>
      <c r="CI6" s="34" t="e">
        <f>Global!H14+"$I0]!69"</f>
        <v>#VALUE!</v>
      </c>
      <c r="CJ6" s="34" t="e">
        <f>Global!I14+"$I0]!6:"</f>
        <v>#VALUE!</v>
      </c>
      <c r="CK6" t="e">
        <f>Global!J14+"$I0]!6;"</f>
        <v>#VALUE!</v>
      </c>
      <c r="CL6" s="34" t="e">
        <f>Global!K14+"$I0]!6&lt;"</f>
        <v>#VALUE!</v>
      </c>
      <c r="CM6" s="34" t="e">
        <f>Global!L14+"$I0]!6="</f>
        <v>#VALUE!</v>
      </c>
      <c r="CN6" t="e">
        <f>Global!M14+"$I0]!6&gt;"</f>
        <v>#VALUE!</v>
      </c>
      <c r="CO6" s="34" t="e">
        <f>Global!N14+"$I0]!6?"</f>
        <v>#VALUE!</v>
      </c>
      <c r="CP6" s="34" t="e">
        <f>Global!O14+"$I0]!6@"</f>
        <v>#VALUE!</v>
      </c>
      <c r="CQ6" s="34" t="e">
        <f>Global!P14+"$I0]!6A"</f>
        <v>#VALUE!</v>
      </c>
      <c r="CR6" s="34" t="e">
        <f>Global!Q14+"$I0]!6B"</f>
        <v>#VALUE!</v>
      </c>
      <c r="CS6" s="34" t="e">
        <f>Global!R14+"$I0]!6C"</f>
        <v>#VALUE!</v>
      </c>
      <c r="CT6" s="34" t="e">
        <f>Global!S14+"$I0]!6D"</f>
        <v>#VALUE!</v>
      </c>
      <c r="CU6" s="34" t="e">
        <f>Global!T14+"$I0]!6E"</f>
        <v>#VALUE!</v>
      </c>
      <c r="CV6" s="34" t="e">
        <f>Global!U14+"$I0]!6F"</f>
        <v>#VALUE!</v>
      </c>
      <c r="CW6" s="34" t="e">
        <f>Global!V14+"$I0]!6G"</f>
        <v>#VALUE!</v>
      </c>
      <c r="CX6" s="34" t="e">
        <f>Global!W14+"$I0]!6H"</f>
        <v>#VALUE!</v>
      </c>
      <c r="CY6" s="34" t="e">
        <f>Global!X14+"$I0]!6I"</f>
        <v>#VALUE!</v>
      </c>
      <c r="CZ6" s="34" t="e">
        <f>Global!Y14+"$I0]!6J"</f>
        <v>#VALUE!</v>
      </c>
      <c r="DA6" s="34" t="e">
        <f>Global!Z14+"$I0]!6K"</f>
        <v>#VALUE!</v>
      </c>
      <c r="DB6" s="34" t="e">
        <f>Global!AA14+"$I0]!6L"</f>
        <v>#VALUE!</v>
      </c>
      <c r="DC6" s="34" t="e">
        <f>Global!AB14+"$I0]!6M"</f>
        <v>#VALUE!</v>
      </c>
      <c r="DD6" s="34" t="e">
        <f>Global!AD14+"$I0]!6N"</f>
        <v>#VALUE!</v>
      </c>
      <c r="DE6" s="34" t="e">
        <f>Global!AE14+"$I0]!6O"</f>
        <v>#VALUE!</v>
      </c>
      <c r="DF6" s="34" t="e">
        <f>Global!AF14+"$I0]!6P"</f>
        <v>#VALUE!</v>
      </c>
      <c r="DG6" s="34" t="e">
        <f>Global!AG14+"$I0]!6Q"</f>
        <v>#VALUE!</v>
      </c>
      <c r="DH6" s="34" t="e">
        <f>Global!AH14+"$I0]!6R"</f>
        <v>#VALUE!</v>
      </c>
      <c r="DI6" s="34" t="e">
        <f>Global!AI14+"$I0]!6S"</f>
        <v>#VALUE!</v>
      </c>
      <c r="DJ6" s="34" t="e">
        <f>Global!AJ14+"$I0]!6T"</f>
        <v>#VALUE!</v>
      </c>
      <c r="DK6" s="34" t="e">
        <f>Global!AK14+"$I0]!6U"</f>
        <v>#VALUE!</v>
      </c>
      <c r="DL6" s="34" t="e">
        <f>Global!AL14+"$I0]!6V"</f>
        <v>#VALUE!</v>
      </c>
      <c r="DM6" s="34" t="e">
        <f>Global!AM14+"$I0]!6W"</f>
        <v>#VALUE!</v>
      </c>
      <c r="DN6" s="34" t="e">
        <f>Global!AN14+"$I0]!6X"</f>
        <v>#VALUE!</v>
      </c>
      <c r="DO6" s="34" t="e">
        <f>Global!AO14+"$I0]!6Y"</f>
        <v>#VALUE!</v>
      </c>
      <c r="DP6" s="34" t="e">
        <f>Global!AP14+"$I0]!6Z"</f>
        <v>#VALUE!</v>
      </c>
      <c r="DQ6" s="34" t="e">
        <f>Global!AQ14+"$I0]!6["</f>
        <v>#VALUE!</v>
      </c>
      <c r="DR6" s="34" t="e">
        <f>Global!AR14+"$I0]!6\"</f>
        <v>#VALUE!</v>
      </c>
      <c r="DS6" s="34" t="e">
        <f>Global!AS14+"$I0]!6]"</f>
        <v>#VALUE!</v>
      </c>
      <c r="DT6" s="34" t="e">
        <f>Global!AT14+"$I0]!6^"</f>
        <v>#VALUE!</v>
      </c>
      <c r="DU6" s="34" t="e">
        <f>Global!AU14+"$I0]!6_"</f>
        <v>#VALUE!</v>
      </c>
      <c r="DV6" s="34" t="e">
        <f>Global!AV14+"$I0]!6`"</f>
        <v>#VALUE!</v>
      </c>
      <c r="DW6" s="34" t="e">
        <f>Global!AW14+"$I0]!6a"</f>
        <v>#VALUE!</v>
      </c>
      <c r="DX6" s="34" t="e">
        <f>Global!AX14+"$I0]!6b"</f>
        <v>#VALUE!</v>
      </c>
      <c r="DY6" s="34" t="e">
        <f>Global!AY14+"$I0]!6c"</f>
        <v>#VALUE!</v>
      </c>
      <c r="DZ6" t="e">
        <f>Global!AZ14+"$I0]!6d"</f>
        <v>#VALUE!</v>
      </c>
      <c r="EA6" s="34" t="e">
        <f>Global!BA14+"$I0]!6e"</f>
        <v>#VALUE!</v>
      </c>
      <c r="EB6" s="34" t="e">
        <f>Global!BB14+"$I0]!6f"</f>
        <v>#VALUE!</v>
      </c>
      <c r="EC6" s="34" t="e">
        <f>Global!BC14+"$I0]!6g"</f>
        <v>#VALUE!</v>
      </c>
      <c r="ED6" s="34" t="e">
        <f>Global!BD14+"$I0]!6h"</f>
        <v>#VALUE!</v>
      </c>
      <c r="EE6" s="34" t="e">
        <f>Global!BE14+"$I0]!6i"</f>
        <v>#VALUE!</v>
      </c>
      <c r="EF6" s="34" t="e">
        <f>Global!BF14+"$I0]!6j"</f>
        <v>#VALUE!</v>
      </c>
      <c r="EG6" t="e">
        <f>Global!BG14+"$I0]!6k"</f>
        <v>#VALUE!</v>
      </c>
      <c r="EH6" s="34" t="e">
        <f>Global!BH14+"$I0]!6l"</f>
        <v>#VALUE!</v>
      </c>
      <c r="EI6" s="34" t="e">
        <f>Global!BI14+"$I0]!6m"</f>
        <v>#VALUE!</v>
      </c>
      <c r="EJ6" s="34" t="e">
        <f>Global!BJ14+"$I0]!6n"</f>
        <v>#VALUE!</v>
      </c>
      <c r="EK6" s="34" t="e">
        <f>Global!BK14+"$I0]!6o"</f>
        <v>#VALUE!</v>
      </c>
      <c r="EL6" s="34" t="e">
        <f>Global!BL14+"$I0]!6p"</f>
        <v>#VALUE!</v>
      </c>
      <c r="EM6" s="34" t="e">
        <f>Global!BM14+"$I0]!6q"</f>
        <v>#VALUE!</v>
      </c>
      <c r="EN6" s="34" t="e">
        <f>Global!BN14+"$I0]!6r"</f>
        <v>#VALUE!</v>
      </c>
      <c r="EO6" s="34" t="e">
        <f>Global!BO14+"$I0]!6s"</f>
        <v>#VALUE!</v>
      </c>
      <c r="EP6" s="34" t="e">
        <f>Global!BP14+"$I0]!6t"</f>
        <v>#VALUE!</v>
      </c>
      <c r="EQ6" s="34" t="e">
        <f>Global!BQ14+"$I0]!6u"</f>
        <v>#VALUE!</v>
      </c>
      <c r="ER6" s="34" t="e">
        <f>Global!BR14+"$I0]!6v"</f>
        <v>#VALUE!</v>
      </c>
      <c r="ES6" s="34" t="e">
        <f>Global!BS14+"$I0]!6w"</f>
        <v>#VALUE!</v>
      </c>
      <c r="ET6" s="34" t="e">
        <f>Global!BT14+"$I0]!6x"</f>
        <v>#VALUE!</v>
      </c>
      <c r="EU6" s="34" t="e">
        <f>Global!BU14+"$I0]!6y"</f>
        <v>#VALUE!</v>
      </c>
      <c r="EV6" s="34" t="e">
        <f>Global!BW14+"$I0]!6z"</f>
        <v>#VALUE!</v>
      </c>
      <c r="EW6" s="34" t="e">
        <f>Global!BX14+"$I0]!6{"</f>
        <v>#VALUE!</v>
      </c>
      <c r="EX6" s="34" t="e">
        <f>Global!BY14+"$I0]!6|"</f>
        <v>#VALUE!</v>
      </c>
      <c r="EY6" s="34" t="e">
        <f>Global!A15+"$I0]!6}"</f>
        <v>#VALUE!</v>
      </c>
      <c r="EZ6" s="34" t="e">
        <f>Global!B15+"$I0]!6~"</f>
        <v>#VALUE!</v>
      </c>
      <c r="FA6" s="34" t="e">
        <f>Global!C15+"$I0]!7#"</f>
        <v>#VALUE!</v>
      </c>
      <c r="FB6" s="34" t="e">
        <f>Global!D15+"$I0]!7$"</f>
        <v>#VALUE!</v>
      </c>
      <c r="FC6" s="34" t="e">
        <f>Global!E15+"$I0]!7%"</f>
        <v>#VALUE!</v>
      </c>
      <c r="FD6" s="34" t="e">
        <f>Global!F15+"$I0]!7&amp;"</f>
        <v>#VALUE!</v>
      </c>
      <c r="FE6" s="34" t="e">
        <f>Global!G15+"$I0]!7'"</f>
        <v>#VALUE!</v>
      </c>
      <c r="FF6" s="34" t="e">
        <f>Global!H15+"$I0]!7("</f>
        <v>#VALUE!</v>
      </c>
      <c r="FG6" s="34" t="e">
        <f>Global!I15+"$I0]!7)"</f>
        <v>#VALUE!</v>
      </c>
      <c r="FH6" t="e">
        <f>Global!J15+"$I0]!7."</f>
        <v>#VALUE!</v>
      </c>
      <c r="FI6" s="34" t="e">
        <f>Global!K15+"$I0]!7/"</f>
        <v>#VALUE!</v>
      </c>
      <c r="FJ6" s="34" t="e">
        <f>Global!L15+"$I0]!70"</f>
        <v>#VALUE!</v>
      </c>
      <c r="FK6" t="e">
        <f>Global!M15+"$I0]!71"</f>
        <v>#VALUE!</v>
      </c>
      <c r="FL6" s="34" t="e">
        <f>Global!N15+"$I0]!72"</f>
        <v>#VALUE!</v>
      </c>
      <c r="FM6" s="34" t="e">
        <f>Global!O15+"$I0]!73"</f>
        <v>#VALUE!</v>
      </c>
      <c r="FN6" s="34" t="e">
        <f>Global!P15+"$I0]!74"</f>
        <v>#VALUE!</v>
      </c>
      <c r="FO6" s="34" t="e">
        <f>Global!Q15+"$I0]!75"</f>
        <v>#VALUE!</v>
      </c>
      <c r="FP6" s="34" t="e">
        <f>Global!R15+"$I0]!76"</f>
        <v>#VALUE!</v>
      </c>
      <c r="FQ6" s="34" t="e">
        <f>Global!S15+"$I0]!77"</f>
        <v>#VALUE!</v>
      </c>
      <c r="FR6" s="34" t="e">
        <f>Global!T15+"$I0]!78"</f>
        <v>#VALUE!</v>
      </c>
      <c r="FS6" s="34" t="e">
        <f>Global!U15+"$I0]!79"</f>
        <v>#VALUE!</v>
      </c>
      <c r="FT6" s="34" t="e">
        <f>Global!V15+"$I0]!7:"</f>
        <v>#VALUE!</v>
      </c>
      <c r="FU6" s="34" t="e">
        <f>Global!W15+"$I0]!7;"</f>
        <v>#VALUE!</v>
      </c>
      <c r="FV6" s="34" t="e">
        <f>Global!X15+"$I0]!7&lt;"</f>
        <v>#VALUE!</v>
      </c>
      <c r="FW6" s="34" t="e">
        <f>Global!Y15+"$I0]!7="</f>
        <v>#VALUE!</v>
      </c>
      <c r="FX6" s="34" t="e">
        <f>Global!Z15+"$I0]!7&gt;"</f>
        <v>#VALUE!</v>
      </c>
      <c r="FY6" s="34" t="e">
        <f>Global!AA15+"$I0]!7?"</f>
        <v>#VALUE!</v>
      </c>
      <c r="FZ6" s="34" t="e">
        <f>Global!AB15+"$I0]!7@"</f>
        <v>#VALUE!</v>
      </c>
      <c r="GA6" s="34" t="e">
        <f>Global!AD15+"$I0]!7A"</f>
        <v>#VALUE!</v>
      </c>
      <c r="GB6" s="34" t="e">
        <f>Global!AE15+"$I0]!7B"</f>
        <v>#VALUE!</v>
      </c>
      <c r="GC6" s="34" t="e">
        <f>Global!AF15+"$I0]!7C"</f>
        <v>#VALUE!</v>
      </c>
      <c r="GD6" s="34" t="e">
        <f>Global!AG15+"$I0]!7D"</f>
        <v>#VALUE!</v>
      </c>
      <c r="GE6" s="34" t="e">
        <f>Global!AH15+"$I0]!7E"</f>
        <v>#VALUE!</v>
      </c>
      <c r="GF6" s="34" t="e">
        <f>Global!AI15+"$I0]!7F"</f>
        <v>#VALUE!</v>
      </c>
      <c r="GG6" s="34" t="e">
        <f>Global!AJ15+"$I0]!7G"</f>
        <v>#VALUE!</v>
      </c>
      <c r="GH6" s="34" t="e">
        <f>Global!AK15+"$I0]!7H"</f>
        <v>#VALUE!</v>
      </c>
      <c r="GI6" s="34" t="e">
        <f>Global!AL15+"$I0]!7I"</f>
        <v>#VALUE!</v>
      </c>
      <c r="GJ6" s="34" t="e">
        <f>Global!AM15+"$I0]!7J"</f>
        <v>#VALUE!</v>
      </c>
      <c r="GK6" s="34" t="e">
        <f>Global!AN15+"$I0]!7K"</f>
        <v>#VALUE!</v>
      </c>
      <c r="GL6" s="34" t="e">
        <f>Global!AO15+"$I0]!7L"</f>
        <v>#VALUE!</v>
      </c>
      <c r="GM6" s="34" t="e">
        <f>Global!AP15+"$I0]!7M"</f>
        <v>#VALUE!</v>
      </c>
      <c r="GN6" s="34" t="e">
        <f>Global!AQ15+"$I0]!7N"</f>
        <v>#VALUE!</v>
      </c>
      <c r="GO6" s="34" t="e">
        <f>Global!AR15+"$I0]!7O"</f>
        <v>#VALUE!</v>
      </c>
      <c r="GP6" s="34" t="e">
        <f>Global!AS15+"$I0]!7P"</f>
        <v>#VALUE!</v>
      </c>
      <c r="GQ6" s="34" t="e">
        <f>Global!AT15+"$I0]!7Q"</f>
        <v>#VALUE!</v>
      </c>
      <c r="GR6" s="34" t="e">
        <f>Global!AU15+"$I0]!7R"</f>
        <v>#VALUE!</v>
      </c>
      <c r="GS6" s="34" t="e">
        <f>Global!AV15+"$I0]!7S"</f>
        <v>#VALUE!</v>
      </c>
      <c r="GT6" s="34" t="e">
        <f>Global!AW15+"$I0]!7T"</f>
        <v>#VALUE!</v>
      </c>
      <c r="GU6" s="34" t="e">
        <f>Global!AX15+"$I0]!7U"</f>
        <v>#VALUE!</v>
      </c>
      <c r="GV6" s="34" t="e">
        <f>Global!AY15+"$I0]!7V"</f>
        <v>#VALUE!</v>
      </c>
      <c r="GW6" t="e">
        <f>Global!AZ15+"$I0]!7W"</f>
        <v>#VALUE!</v>
      </c>
      <c r="GX6" s="34" t="e">
        <f>Global!BA15+"$I0]!7X"</f>
        <v>#VALUE!</v>
      </c>
      <c r="GY6" s="34" t="e">
        <f>Global!BB15+"$I0]!7Y"</f>
        <v>#VALUE!</v>
      </c>
      <c r="GZ6" s="34" t="e">
        <f>Global!BC15+"$I0]!7Z"</f>
        <v>#VALUE!</v>
      </c>
      <c r="HA6" s="34" t="e">
        <f>Global!BD15+"$I0]!7["</f>
        <v>#VALUE!</v>
      </c>
      <c r="HB6" s="34" t="e">
        <f>Global!BE15+"$I0]!7\"</f>
        <v>#VALUE!</v>
      </c>
      <c r="HC6" s="34" t="e">
        <f>Global!BF15+"$I0]!7]"</f>
        <v>#VALUE!</v>
      </c>
      <c r="HD6" t="e">
        <f>Global!BG15+"$I0]!7^"</f>
        <v>#VALUE!</v>
      </c>
      <c r="HE6" s="34" t="e">
        <f>Global!BH15+"$I0]!7_"</f>
        <v>#VALUE!</v>
      </c>
      <c r="HF6" s="34" t="e">
        <f>Global!BI15+"$I0]!7`"</f>
        <v>#VALUE!</v>
      </c>
      <c r="HG6" s="34" t="e">
        <f>Global!BJ15+"$I0]!7a"</f>
        <v>#VALUE!</v>
      </c>
      <c r="HH6" s="34" t="e">
        <f>Global!BK15+"$I0]!7b"</f>
        <v>#VALUE!</v>
      </c>
      <c r="HI6" s="34" t="e">
        <f>Global!BL15+"$I0]!7c"</f>
        <v>#VALUE!</v>
      </c>
      <c r="HJ6" s="34" t="e">
        <f>Global!BM15+"$I0]!7d"</f>
        <v>#VALUE!</v>
      </c>
      <c r="HK6" s="34" t="e">
        <f>Global!BN15+"$I0]!7e"</f>
        <v>#VALUE!</v>
      </c>
      <c r="HL6" s="34" t="e">
        <f>Global!BO15+"$I0]!7f"</f>
        <v>#VALUE!</v>
      </c>
      <c r="HM6" s="34" t="e">
        <f>Global!BP15+"$I0]!7g"</f>
        <v>#VALUE!</v>
      </c>
      <c r="HN6" s="34" t="e">
        <f>Global!BQ15+"$I0]!7h"</f>
        <v>#VALUE!</v>
      </c>
      <c r="HO6" s="34" t="e">
        <f>Global!BR15+"$I0]!7i"</f>
        <v>#VALUE!</v>
      </c>
      <c r="HP6" s="34" t="e">
        <f>Global!BS15+"$I0]!7j"</f>
        <v>#VALUE!</v>
      </c>
      <c r="HQ6" s="34" t="e">
        <f>Global!BT15+"$I0]!7k"</f>
        <v>#VALUE!</v>
      </c>
      <c r="HR6" s="34" t="e">
        <f>Global!BU15+"$I0]!7l"</f>
        <v>#VALUE!</v>
      </c>
      <c r="HS6" s="34" t="e">
        <f>Global!BW15+"$I0]!7m"</f>
        <v>#VALUE!</v>
      </c>
      <c r="HT6" s="34" t="e">
        <f>Global!BX15+"$I0]!7n"</f>
        <v>#VALUE!</v>
      </c>
      <c r="HU6" s="34" t="e">
        <f>Global!BY15+"$I0]!7o"</f>
        <v>#VALUE!</v>
      </c>
      <c r="HV6" s="34" t="e">
        <f>Global!A16+"$I0]!7p"</f>
        <v>#VALUE!</v>
      </c>
      <c r="HW6" s="34" t="e">
        <f>Global!B16+"$I0]!7q"</f>
        <v>#VALUE!</v>
      </c>
      <c r="HX6" s="34" t="e">
        <f>Global!C16+"$I0]!7r"</f>
        <v>#VALUE!</v>
      </c>
      <c r="HY6" s="34" t="e">
        <f>Global!D16+"$I0]!7s"</f>
        <v>#VALUE!</v>
      </c>
      <c r="HZ6" s="34" t="e">
        <f>Global!E16+"$I0]!7t"</f>
        <v>#VALUE!</v>
      </c>
      <c r="IA6" s="34" t="e">
        <f>Global!F16+"$I0]!7u"</f>
        <v>#VALUE!</v>
      </c>
      <c r="IB6" s="34" t="e">
        <f>Global!G16+"$I0]!7v"</f>
        <v>#VALUE!</v>
      </c>
      <c r="IC6" s="34" t="e">
        <f>Global!H16+"$I0]!7w"</f>
        <v>#VALUE!</v>
      </c>
      <c r="ID6" s="34" t="e">
        <f>Global!I16+"$I0]!7x"</f>
        <v>#VALUE!</v>
      </c>
      <c r="IE6" t="e">
        <f>Global!J16+"$I0]!7y"</f>
        <v>#VALUE!</v>
      </c>
      <c r="IF6" s="34" t="e">
        <f>Global!K16+"$I0]!7z"</f>
        <v>#VALUE!</v>
      </c>
      <c r="IG6" s="34" t="e">
        <f>Global!L16+"$I0]!7{"</f>
        <v>#VALUE!</v>
      </c>
      <c r="IH6" t="e">
        <f>Global!M16+"$I0]!7|"</f>
        <v>#VALUE!</v>
      </c>
      <c r="II6" s="34" t="e">
        <f>Global!N16+"$I0]!7}"</f>
        <v>#VALUE!</v>
      </c>
      <c r="IJ6" s="34" t="e">
        <f>Global!O16+"$I0]!7~"</f>
        <v>#VALUE!</v>
      </c>
      <c r="IK6" s="34" t="e">
        <f>Global!P16+"$I0]!8#"</f>
        <v>#VALUE!</v>
      </c>
      <c r="IL6" s="34" t="e">
        <f>Global!Q16+"$I0]!8$"</f>
        <v>#VALUE!</v>
      </c>
      <c r="IM6" s="34" t="e">
        <f>Global!R16+"$I0]!8%"</f>
        <v>#VALUE!</v>
      </c>
      <c r="IN6" s="34" t="e">
        <f>Global!S16+"$I0]!8&amp;"</f>
        <v>#VALUE!</v>
      </c>
      <c r="IO6" s="34" t="e">
        <f>Global!T16+"$I0]!8'"</f>
        <v>#VALUE!</v>
      </c>
      <c r="IP6" s="34" t="e">
        <f>Global!U16+"$I0]!8("</f>
        <v>#VALUE!</v>
      </c>
      <c r="IQ6" s="34" t="e">
        <f>Global!V16+"$I0]!8)"</f>
        <v>#VALUE!</v>
      </c>
      <c r="IR6" s="34" t="e">
        <f>Global!W16+"$I0]!8."</f>
        <v>#VALUE!</v>
      </c>
      <c r="IS6" s="34" t="e">
        <f>Global!X16+"$I0]!8/"</f>
        <v>#VALUE!</v>
      </c>
      <c r="IT6" s="34" t="e">
        <f>Global!Y16+"$I0]!80"</f>
        <v>#VALUE!</v>
      </c>
      <c r="IU6" s="34" t="e">
        <f>Global!Z16+"$I0]!81"</f>
        <v>#VALUE!</v>
      </c>
      <c r="IV6" s="34" t="e">
        <f>Global!AA16+"$I0]!82"</f>
        <v>#VALUE!</v>
      </c>
    </row>
    <row r="7" spans="1:256" x14ac:dyDescent="0.25">
      <c r="F7" s="34" t="e">
        <f>Global!AB16+"$I0]!83"</f>
        <v>#VALUE!</v>
      </c>
      <c r="G7" s="34" t="e">
        <f>Global!AD16+"$I0]!84"</f>
        <v>#VALUE!</v>
      </c>
      <c r="H7" s="34" t="e">
        <f>Global!AE16+"$I0]!85"</f>
        <v>#VALUE!</v>
      </c>
      <c r="I7" s="34" t="e">
        <f>Global!AF16+"$I0]!86"</f>
        <v>#VALUE!</v>
      </c>
      <c r="J7" s="34" t="e">
        <f>Global!AG16+"$I0]!87"</f>
        <v>#VALUE!</v>
      </c>
      <c r="K7" s="34" t="e">
        <f>Global!AH16+"$I0]!88"</f>
        <v>#VALUE!</v>
      </c>
      <c r="L7" s="34" t="e">
        <f>Global!AI16+"$I0]!89"</f>
        <v>#VALUE!</v>
      </c>
      <c r="M7" s="34" t="e">
        <f>Global!AJ16+"$I0]!8:"</f>
        <v>#VALUE!</v>
      </c>
      <c r="N7" s="34" t="e">
        <f>Global!AK16+"$I0]!8;"</f>
        <v>#VALUE!</v>
      </c>
      <c r="O7" s="34" t="e">
        <f>Global!AL16+"$I0]!8&lt;"</f>
        <v>#VALUE!</v>
      </c>
      <c r="P7" s="34" t="e">
        <f>Global!AM16+"$I0]!8="</f>
        <v>#VALUE!</v>
      </c>
      <c r="Q7" s="34" t="e">
        <f>Global!AN16+"$I0]!8&gt;"</f>
        <v>#VALUE!</v>
      </c>
      <c r="R7" s="34" t="e">
        <f>Global!AO16+"$I0]!8?"</f>
        <v>#VALUE!</v>
      </c>
      <c r="S7" s="34" t="e">
        <f>Global!AP16+"$I0]!8@"</f>
        <v>#VALUE!</v>
      </c>
      <c r="T7" s="34" t="e">
        <f>Global!AQ16+"$I0]!8A"</f>
        <v>#VALUE!</v>
      </c>
      <c r="U7" s="34" t="e">
        <f>Global!AR16+"$I0]!8B"</f>
        <v>#VALUE!</v>
      </c>
      <c r="V7" s="34" t="e">
        <f>Global!AS16+"$I0]!8C"</f>
        <v>#VALUE!</v>
      </c>
      <c r="W7" s="34" t="e">
        <f>Global!AT16+"$I0]!8D"</f>
        <v>#VALUE!</v>
      </c>
      <c r="X7" s="34" t="e">
        <f>Global!AU16+"$I0]!8E"</f>
        <v>#VALUE!</v>
      </c>
      <c r="Y7" s="34" t="e">
        <f>Global!AV16+"$I0]!8F"</f>
        <v>#VALUE!</v>
      </c>
      <c r="Z7" s="34" t="e">
        <f>Global!AW16+"$I0]!8G"</f>
        <v>#VALUE!</v>
      </c>
      <c r="AA7" s="34" t="e">
        <f>Global!AX16+"$I0]!8H"</f>
        <v>#VALUE!</v>
      </c>
      <c r="AB7" s="34" t="e">
        <f>Global!AY16+"$I0]!8I"</f>
        <v>#VALUE!</v>
      </c>
      <c r="AC7" t="e">
        <f>Global!AZ16+"$I0]!8J"</f>
        <v>#VALUE!</v>
      </c>
      <c r="AD7" s="34" t="e">
        <f>Global!BA16+"$I0]!8K"</f>
        <v>#VALUE!</v>
      </c>
      <c r="AE7" s="34" t="e">
        <f>Global!BB16+"$I0]!8L"</f>
        <v>#VALUE!</v>
      </c>
      <c r="AF7" s="34" t="e">
        <f>Global!BC16+"$I0]!8M"</f>
        <v>#VALUE!</v>
      </c>
      <c r="AG7" s="34" t="e">
        <f>Global!BD16+"$I0]!8N"</f>
        <v>#VALUE!</v>
      </c>
      <c r="AH7" s="34" t="e">
        <f>Global!BE16+"$I0]!8O"</f>
        <v>#VALUE!</v>
      </c>
      <c r="AI7" s="34" t="e">
        <f>Global!BF16+"$I0]!8P"</f>
        <v>#VALUE!</v>
      </c>
      <c r="AJ7" t="e">
        <f>Global!BG16+"$I0]!8Q"</f>
        <v>#VALUE!</v>
      </c>
      <c r="AK7" s="34" t="e">
        <f>Global!BH16+"$I0]!8R"</f>
        <v>#VALUE!</v>
      </c>
      <c r="AL7" s="34" t="e">
        <f>Global!BI16+"$I0]!8S"</f>
        <v>#VALUE!</v>
      </c>
      <c r="AM7" s="34" t="e">
        <f>Global!BJ16+"$I0]!8T"</f>
        <v>#VALUE!</v>
      </c>
      <c r="AN7" s="34" t="e">
        <f>Global!BK16+"$I0]!8U"</f>
        <v>#VALUE!</v>
      </c>
      <c r="AO7" s="34" t="e">
        <f>Global!BL16+"$I0]!8V"</f>
        <v>#VALUE!</v>
      </c>
      <c r="AP7" s="34" t="e">
        <f>Global!BM16+"$I0]!8W"</f>
        <v>#VALUE!</v>
      </c>
      <c r="AQ7" s="34" t="e">
        <f>Global!BN16+"$I0]!8X"</f>
        <v>#VALUE!</v>
      </c>
      <c r="AR7" s="34" t="e">
        <f>Global!BO16+"$I0]!8Y"</f>
        <v>#VALUE!</v>
      </c>
      <c r="AS7" s="34" t="e">
        <f>Global!BP16+"$I0]!8Z"</f>
        <v>#VALUE!</v>
      </c>
      <c r="AT7" s="34" t="e">
        <f>Global!BQ16+"$I0]!8["</f>
        <v>#VALUE!</v>
      </c>
      <c r="AU7" s="34" t="e">
        <f>Global!BR16+"$I0]!8\"</f>
        <v>#VALUE!</v>
      </c>
      <c r="AV7" s="34" t="e">
        <f>Global!BS16+"$I0]!8]"</f>
        <v>#VALUE!</v>
      </c>
      <c r="AW7" s="34" t="e">
        <f>Global!BT16+"$I0]!8^"</f>
        <v>#VALUE!</v>
      </c>
      <c r="AX7" s="34" t="e">
        <f>Global!BU16+"$I0]!8_"</f>
        <v>#VALUE!</v>
      </c>
      <c r="AY7" s="34" t="e">
        <f>Global!BW16+"$I0]!8`"</f>
        <v>#VALUE!</v>
      </c>
      <c r="AZ7" s="34" t="e">
        <f>Global!BY16+"$I0]!8a"</f>
        <v>#VALUE!</v>
      </c>
      <c r="BA7" s="34" t="e">
        <f>Global!A17+"$I0]!8b"</f>
        <v>#VALUE!</v>
      </c>
      <c r="BB7" s="34" t="e">
        <f>Global!B17+"$I0]!8c"</f>
        <v>#VALUE!</v>
      </c>
      <c r="BC7" s="34" t="e">
        <f>Global!C17+"$I0]!8d"</f>
        <v>#VALUE!</v>
      </c>
      <c r="BD7" s="34" t="e">
        <f>Global!D17+"$I0]!8e"</f>
        <v>#VALUE!</v>
      </c>
      <c r="BE7" s="34" t="e">
        <f>Global!E17+"$I0]!8f"</f>
        <v>#VALUE!</v>
      </c>
      <c r="BF7" s="34" t="e">
        <f>Global!F17+"$I0]!8g"</f>
        <v>#VALUE!</v>
      </c>
      <c r="BG7" s="34" t="e">
        <f>Global!G17+"$I0]!8h"</f>
        <v>#VALUE!</v>
      </c>
      <c r="BH7" s="34" t="e">
        <f>Global!H17+"$I0]!8i"</f>
        <v>#VALUE!</v>
      </c>
      <c r="BI7" s="34" t="e">
        <f>Global!I17+"$I0]!8j"</f>
        <v>#VALUE!</v>
      </c>
      <c r="BJ7" t="e">
        <f>Global!J17+"$I0]!8k"</f>
        <v>#VALUE!</v>
      </c>
      <c r="BK7" s="34" t="e">
        <f>Global!K17+"$I0]!8l"</f>
        <v>#VALUE!</v>
      </c>
      <c r="BL7" s="34" t="e">
        <f>Global!L17+"$I0]!8m"</f>
        <v>#VALUE!</v>
      </c>
      <c r="BM7" t="e">
        <f>Global!M17+"$I0]!8n"</f>
        <v>#VALUE!</v>
      </c>
      <c r="BN7" s="34" t="e">
        <f>Global!N17+"$I0]!8o"</f>
        <v>#VALUE!</v>
      </c>
      <c r="BO7" s="34" t="e">
        <f>Global!O17+"$I0]!8p"</f>
        <v>#VALUE!</v>
      </c>
      <c r="BP7" s="34" t="e">
        <f>Global!P17+"$I0]!8q"</f>
        <v>#VALUE!</v>
      </c>
      <c r="BQ7" s="34" t="e">
        <f>Global!Q17+"$I0]!8r"</f>
        <v>#VALUE!</v>
      </c>
      <c r="BR7" s="34" t="e">
        <f>Global!R17+"$I0]!8s"</f>
        <v>#VALUE!</v>
      </c>
      <c r="BS7" s="34" t="e">
        <f>Global!S17+"$I0]!8t"</f>
        <v>#VALUE!</v>
      </c>
      <c r="BT7" s="34" t="e">
        <f>Global!T17+"$I0]!8u"</f>
        <v>#VALUE!</v>
      </c>
      <c r="BU7" s="34" t="e">
        <f>Global!U17+"$I0]!8v"</f>
        <v>#VALUE!</v>
      </c>
      <c r="BV7" s="34" t="e">
        <f>Global!V17+"$I0]!8w"</f>
        <v>#VALUE!</v>
      </c>
      <c r="BW7" s="34" t="e">
        <f>Global!W17+"$I0]!8x"</f>
        <v>#VALUE!</v>
      </c>
      <c r="BX7" s="34" t="e">
        <f>Global!X17+"$I0]!8y"</f>
        <v>#VALUE!</v>
      </c>
      <c r="BY7" s="34" t="e">
        <f>Global!Y17+"$I0]!8z"</f>
        <v>#VALUE!</v>
      </c>
      <c r="BZ7" s="34" t="e">
        <f>Global!Z17+"$I0]!8{"</f>
        <v>#VALUE!</v>
      </c>
      <c r="CA7" s="34" t="e">
        <f>Global!AA17+"$I0]!8|"</f>
        <v>#VALUE!</v>
      </c>
      <c r="CB7" s="34" t="e">
        <f>Global!AB17+"$I0]!8}"</f>
        <v>#VALUE!</v>
      </c>
      <c r="CC7" s="34" t="e">
        <f>Global!AD17+"$I0]!8~"</f>
        <v>#VALUE!</v>
      </c>
      <c r="CD7" s="34" t="e">
        <f>Global!AE17+"$I0]!9#"</f>
        <v>#VALUE!</v>
      </c>
      <c r="CE7" s="34" t="e">
        <f>Global!AF17+"$I0]!9$"</f>
        <v>#VALUE!</v>
      </c>
      <c r="CF7" s="34" t="e">
        <f>Global!AG17+"$I0]!9%"</f>
        <v>#VALUE!</v>
      </c>
      <c r="CG7" s="34" t="e">
        <f>Global!AH17+"$I0]!9&amp;"</f>
        <v>#VALUE!</v>
      </c>
      <c r="CH7" s="34" t="e">
        <f>Global!AI17+"$I0]!9'"</f>
        <v>#VALUE!</v>
      </c>
      <c r="CI7" s="34" t="e">
        <f>Global!AJ17+"$I0]!9("</f>
        <v>#VALUE!</v>
      </c>
      <c r="CJ7" s="34" t="e">
        <f>Global!AK17+"$I0]!9)"</f>
        <v>#VALUE!</v>
      </c>
      <c r="CK7" s="34" t="e">
        <f>Global!AL17+"$I0]!9."</f>
        <v>#VALUE!</v>
      </c>
      <c r="CL7" s="34" t="e">
        <f>Global!AM17+"$I0]!9/"</f>
        <v>#VALUE!</v>
      </c>
      <c r="CM7" s="34" t="e">
        <f>Global!AN17+"$I0]!90"</f>
        <v>#VALUE!</v>
      </c>
      <c r="CN7" s="34" t="e">
        <f>Global!AO17+"$I0]!91"</f>
        <v>#VALUE!</v>
      </c>
      <c r="CO7" s="34" t="e">
        <f>Global!AP17+"$I0]!92"</f>
        <v>#VALUE!</v>
      </c>
      <c r="CP7" s="34" t="e">
        <f>Global!AQ17+"$I0]!93"</f>
        <v>#VALUE!</v>
      </c>
      <c r="CQ7" s="34" t="e">
        <f>Global!AR17+"$I0]!94"</f>
        <v>#VALUE!</v>
      </c>
      <c r="CR7" s="34" t="e">
        <f>Global!AS17+"$I0]!95"</f>
        <v>#VALUE!</v>
      </c>
      <c r="CS7" s="34" t="e">
        <f>Global!AT17+"$I0]!96"</f>
        <v>#VALUE!</v>
      </c>
      <c r="CT7" s="34" t="e">
        <f>Global!AU17+"$I0]!97"</f>
        <v>#VALUE!</v>
      </c>
      <c r="CU7" s="34" t="e">
        <f>Global!AV17+"$I0]!98"</f>
        <v>#VALUE!</v>
      </c>
      <c r="CV7" s="34" t="e">
        <f>Global!AW17+"$I0]!99"</f>
        <v>#VALUE!</v>
      </c>
      <c r="CW7" s="34" t="e">
        <f>Global!AX17+"$I0]!9:"</f>
        <v>#VALUE!</v>
      </c>
      <c r="CX7" s="34" t="e">
        <f>Global!AY17+"$I0]!9;"</f>
        <v>#VALUE!</v>
      </c>
      <c r="CY7" t="e">
        <f>Global!AZ17+"$I0]!9&lt;"</f>
        <v>#VALUE!</v>
      </c>
      <c r="CZ7" s="34" t="e">
        <f>Global!BA17+"$I0]!9="</f>
        <v>#VALUE!</v>
      </c>
      <c r="DA7" s="34" t="e">
        <f>Global!BB17+"$I0]!9&gt;"</f>
        <v>#VALUE!</v>
      </c>
      <c r="DB7" s="34" t="e">
        <f>Global!BC17+"$I0]!9?"</f>
        <v>#VALUE!</v>
      </c>
      <c r="DC7" s="34" t="e">
        <f>Global!BD17+"$I0]!9@"</f>
        <v>#VALUE!</v>
      </c>
      <c r="DD7" s="34" t="e">
        <f>Global!BE17+"$I0]!9A"</f>
        <v>#VALUE!</v>
      </c>
      <c r="DE7" s="34" t="e">
        <f>Global!BF17+"$I0]!9B"</f>
        <v>#VALUE!</v>
      </c>
      <c r="DF7" t="e">
        <f>Global!BG17+"$I0]!9C"</f>
        <v>#VALUE!</v>
      </c>
      <c r="DG7" s="34" t="e">
        <f>Global!BH17+"$I0]!9D"</f>
        <v>#VALUE!</v>
      </c>
      <c r="DH7" s="34" t="e">
        <f>Global!BI17+"$I0]!9E"</f>
        <v>#VALUE!</v>
      </c>
      <c r="DI7" s="34" t="e">
        <f>Global!BJ17+"$I0]!9F"</f>
        <v>#VALUE!</v>
      </c>
      <c r="DJ7" s="34" t="e">
        <f>Global!BK17+"$I0]!9G"</f>
        <v>#VALUE!</v>
      </c>
      <c r="DK7" s="34" t="e">
        <f>Global!BL17+"$I0]!9H"</f>
        <v>#VALUE!</v>
      </c>
      <c r="DL7" s="34" t="e">
        <f>Global!BM17+"$I0]!9I"</f>
        <v>#VALUE!</v>
      </c>
      <c r="DM7" s="34" t="e">
        <f>Global!BN17+"$I0]!9J"</f>
        <v>#VALUE!</v>
      </c>
      <c r="DN7" s="34" t="e">
        <f>Global!BO17+"$I0]!9K"</f>
        <v>#VALUE!</v>
      </c>
      <c r="DO7" s="34" t="e">
        <f>Global!BP17+"$I0]!9L"</f>
        <v>#VALUE!</v>
      </c>
      <c r="DP7" s="34" t="e">
        <f>Global!BQ17+"$I0]!9M"</f>
        <v>#VALUE!</v>
      </c>
      <c r="DQ7" s="34" t="e">
        <f>Global!BR17+"$I0]!9N"</f>
        <v>#VALUE!</v>
      </c>
      <c r="DR7" s="34" t="e">
        <f>Global!BS17+"$I0]!9O"</f>
        <v>#VALUE!</v>
      </c>
      <c r="DS7" s="34" t="e">
        <f>Global!BT17+"$I0]!9P"</f>
        <v>#VALUE!</v>
      </c>
      <c r="DT7" s="34" t="e">
        <f>Global!BU17+"$I0]!9Q"</f>
        <v>#VALUE!</v>
      </c>
      <c r="DU7" s="34" t="e">
        <f>Global!BW17+"$I0]!9R"</f>
        <v>#VALUE!</v>
      </c>
      <c r="DV7" s="34" t="e">
        <f>Global!BY17+"$I0]!9S"</f>
        <v>#VALUE!</v>
      </c>
      <c r="DW7" s="34" t="e">
        <f>Global!A18+"$I0]!9T"</f>
        <v>#VALUE!</v>
      </c>
      <c r="DX7" s="34" t="e">
        <f>Global!B18+"$I0]!9U"</f>
        <v>#VALUE!</v>
      </c>
      <c r="DY7" s="34" t="e">
        <f>Global!C18+"$I0]!9V"</f>
        <v>#VALUE!</v>
      </c>
      <c r="DZ7" s="34" t="e">
        <f>Global!D18+"$I0]!9W"</f>
        <v>#VALUE!</v>
      </c>
      <c r="EA7" s="34" t="e">
        <f>Global!E18+"$I0]!9X"</f>
        <v>#VALUE!</v>
      </c>
      <c r="EB7" s="34" t="e">
        <f>Global!F18+"$I0]!9Y"</f>
        <v>#VALUE!</v>
      </c>
      <c r="EC7" s="34" t="e">
        <f>Global!G18+"$I0]!9Z"</f>
        <v>#VALUE!</v>
      </c>
      <c r="ED7" s="34" t="e">
        <f>Global!H18+"$I0]!9["</f>
        <v>#VALUE!</v>
      </c>
      <c r="EE7" s="34" t="e">
        <f>Global!I18+"$I0]!9\"</f>
        <v>#VALUE!</v>
      </c>
      <c r="EF7" t="e">
        <f>Global!J18+"$I0]!9]"</f>
        <v>#VALUE!</v>
      </c>
      <c r="EG7" s="34" t="e">
        <f>Global!K18+"$I0]!9^"</f>
        <v>#VALUE!</v>
      </c>
      <c r="EH7" s="34" t="e">
        <f>Global!L18+"$I0]!9_"</f>
        <v>#VALUE!</v>
      </c>
      <c r="EI7" t="e">
        <f>Global!M18+"$I0]!9`"</f>
        <v>#VALUE!</v>
      </c>
      <c r="EJ7" s="34" t="e">
        <f>Global!N18+"$I0]!9a"</f>
        <v>#VALUE!</v>
      </c>
      <c r="EK7" s="34" t="e">
        <f>Global!O18+"$I0]!9b"</f>
        <v>#VALUE!</v>
      </c>
      <c r="EL7" s="34" t="e">
        <f>Global!P18+"$I0]!9c"</f>
        <v>#VALUE!</v>
      </c>
      <c r="EM7" s="34" t="e">
        <f>Global!Q18+"$I0]!9d"</f>
        <v>#VALUE!</v>
      </c>
      <c r="EN7" s="34" t="e">
        <f>Global!R18+"$I0]!9e"</f>
        <v>#VALUE!</v>
      </c>
      <c r="EO7" s="34" t="e">
        <f>Global!S18+"$I0]!9f"</f>
        <v>#VALUE!</v>
      </c>
      <c r="EP7" s="34" t="e">
        <f>Global!T18+"$I0]!9g"</f>
        <v>#VALUE!</v>
      </c>
      <c r="EQ7" s="34" t="e">
        <f>Global!U18+"$I0]!9h"</f>
        <v>#VALUE!</v>
      </c>
      <c r="ER7" s="34" t="e">
        <f>Global!V18+"$I0]!9i"</f>
        <v>#VALUE!</v>
      </c>
      <c r="ES7" s="34" t="e">
        <f>Global!W18+"$I0]!9j"</f>
        <v>#VALUE!</v>
      </c>
      <c r="ET7" s="34" t="e">
        <f>Global!X18+"$I0]!9k"</f>
        <v>#VALUE!</v>
      </c>
      <c r="EU7" s="34" t="e">
        <f>Global!Y18+"$I0]!9l"</f>
        <v>#VALUE!</v>
      </c>
      <c r="EV7" s="34" t="e">
        <f>Global!Z18+"$I0]!9m"</f>
        <v>#VALUE!</v>
      </c>
      <c r="EW7" s="34" t="e">
        <f>Global!AA18+"$I0]!9n"</f>
        <v>#VALUE!</v>
      </c>
      <c r="EX7" s="34" t="e">
        <f>Global!AB18+"$I0]!9o"</f>
        <v>#VALUE!</v>
      </c>
      <c r="EY7" s="34" t="e">
        <f>Global!AD18+"$I0]!9p"</f>
        <v>#VALUE!</v>
      </c>
      <c r="EZ7" s="34" t="e">
        <f>Global!AE18+"$I0]!9q"</f>
        <v>#VALUE!</v>
      </c>
      <c r="FA7" s="34" t="e">
        <f>Global!AF18+"$I0]!9r"</f>
        <v>#VALUE!</v>
      </c>
      <c r="FB7" s="34" t="e">
        <f>Global!AG18+"$I0]!9s"</f>
        <v>#VALUE!</v>
      </c>
      <c r="FC7" s="34" t="e">
        <f>Global!AH18+"$I0]!9t"</f>
        <v>#VALUE!</v>
      </c>
      <c r="FD7" s="34" t="e">
        <f>Global!AI18+"$I0]!9u"</f>
        <v>#VALUE!</v>
      </c>
      <c r="FE7" s="34" t="e">
        <f>Global!AJ18+"$I0]!9v"</f>
        <v>#VALUE!</v>
      </c>
      <c r="FF7" s="34" t="e">
        <f>Global!AK18+"$I0]!9w"</f>
        <v>#VALUE!</v>
      </c>
      <c r="FG7" s="34" t="e">
        <f>Global!AL18+"$I0]!9x"</f>
        <v>#VALUE!</v>
      </c>
      <c r="FH7" s="34" t="e">
        <f>Global!AM18+"$I0]!9y"</f>
        <v>#VALUE!</v>
      </c>
      <c r="FI7" s="34" t="e">
        <f>Global!AN18+"$I0]!9z"</f>
        <v>#VALUE!</v>
      </c>
      <c r="FJ7" s="34" t="e">
        <f>Global!AO18+"$I0]!9{"</f>
        <v>#VALUE!</v>
      </c>
      <c r="FK7" s="34" t="e">
        <f>Global!AP18+"$I0]!9|"</f>
        <v>#VALUE!</v>
      </c>
      <c r="FL7" s="34" t="e">
        <f>Global!AQ18+"$I0]!9}"</f>
        <v>#VALUE!</v>
      </c>
      <c r="FM7" s="34" t="e">
        <f>Global!AR18+"$I0]!9~"</f>
        <v>#VALUE!</v>
      </c>
      <c r="FN7" s="34" t="e">
        <f>Global!AS18+"$I0]!:#"</f>
        <v>#VALUE!</v>
      </c>
      <c r="FO7" s="34" t="e">
        <f>Global!AT18+"$I0]!:$"</f>
        <v>#VALUE!</v>
      </c>
      <c r="FP7" s="34" t="e">
        <f>Global!AU18+"$I0]!:%"</f>
        <v>#VALUE!</v>
      </c>
      <c r="FQ7" s="34" t="e">
        <f>Global!AV18+"$I0]!:&amp;"</f>
        <v>#VALUE!</v>
      </c>
      <c r="FR7" s="34" t="e">
        <f>Global!AW18+"$I0]!:'"</f>
        <v>#VALUE!</v>
      </c>
      <c r="FS7" s="34" t="e">
        <f>Global!AX18+"$I0]!:("</f>
        <v>#VALUE!</v>
      </c>
      <c r="FT7" s="34" t="e">
        <f>Global!AY18+"$I0]!:)"</f>
        <v>#VALUE!</v>
      </c>
      <c r="FU7" t="e">
        <f>Global!AZ18+"$I0]!:."</f>
        <v>#VALUE!</v>
      </c>
      <c r="FV7" s="34" t="e">
        <f>Global!BA18+"$I0]!:/"</f>
        <v>#VALUE!</v>
      </c>
      <c r="FW7" s="34" t="e">
        <f>Global!BB18+"$I0]!:0"</f>
        <v>#VALUE!</v>
      </c>
      <c r="FX7" s="34" t="e">
        <f>Global!BC18+"$I0]!:1"</f>
        <v>#VALUE!</v>
      </c>
      <c r="FY7" s="34" t="e">
        <f>Global!BD18+"$I0]!:2"</f>
        <v>#VALUE!</v>
      </c>
      <c r="FZ7" s="34" t="e">
        <f>Global!BE18+"$I0]!:3"</f>
        <v>#VALUE!</v>
      </c>
      <c r="GA7" s="34" t="e">
        <f>Global!BF18+"$I0]!:4"</f>
        <v>#VALUE!</v>
      </c>
      <c r="GB7" t="e">
        <f>Global!BG18+"$I0]!:5"</f>
        <v>#VALUE!</v>
      </c>
      <c r="GC7" s="34" t="e">
        <f>Global!BH18+"$I0]!:6"</f>
        <v>#VALUE!</v>
      </c>
      <c r="GD7" s="34" t="e">
        <f>Global!BI18+"$I0]!:7"</f>
        <v>#VALUE!</v>
      </c>
      <c r="GE7" s="34" t="e">
        <f>Global!BJ18+"$I0]!:8"</f>
        <v>#VALUE!</v>
      </c>
      <c r="GF7" s="34" t="e">
        <f>Global!BK18+"$I0]!:9"</f>
        <v>#VALUE!</v>
      </c>
      <c r="GG7" s="34" t="e">
        <f>Global!BL18+"$I0]!::"</f>
        <v>#VALUE!</v>
      </c>
      <c r="GH7" s="34" t="e">
        <f>Global!BM18+"$I0]!:;"</f>
        <v>#VALUE!</v>
      </c>
      <c r="GI7" s="34" t="e">
        <f>Global!BN18+"$I0]!:&lt;"</f>
        <v>#VALUE!</v>
      </c>
      <c r="GJ7" s="34" t="e">
        <f>Global!BO18+"$I0]!:="</f>
        <v>#VALUE!</v>
      </c>
      <c r="GK7" s="34" t="e">
        <f>Global!BP18+"$I0]!:&gt;"</f>
        <v>#VALUE!</v>
      </c>
      <c r="GL7" s="34" t="e">
        <f>Global!BQ18+"$I0]!:?"</f>
        <v>#VALUE!</v>
      </c>
      <c r="GM7" s="34" t="e">
        <f>Global!BR18+"$I0]!:@"</f>
        <v>#VALUE!</v>
      </c>
      <c r="GN7" s="34" t="e">
        <f>Global!BS18+"$I0]!:A"</f>
        <v>#VALUE!</v>
      </c>
      <c r="GO7" s="34" t="e">
        <f>Global!BT18+"$I0]!:B"</f>
        <v>#VALUE!</v>
      </c>
      <c r="GP7" s="34" t="e">
        <f>Global!BU18+"$I0]!:C"</f>
        <v>#VALUE!</v>
      </c>
      <c r="GQ7" s="34" t="e">
        <f>Global!BW18+"$I0]!:D"</f>
        <v>#VALUE!</v>
      </c>
      <c r="GR7" s="34" t="e">
        <f>Global!BX18+"$I0]!:E"</f>
        <v>#VALUE!</v>
      </c>
      <c r="GS7" s="34" t="e">
        <f>Global!BY18+"$I0]!:F"</f>
        <v>#VALUE!</v>
      </c>
      <c r="GT7" s="34" t="e">
        <f>Global!A19+"$I0]!:G"</f>
        <v>#VALUE!</v>
      </c>
      <c r="GU7" s="34" t="e">
        <f>Global!B19+"$I0]!:H"</f>
        <v>#VALUE!</v>
      </c>
      <c r="GV7" s="34" t="e">
        <f>Global!C19+"$I0]!:I"</f>
        <v>#VALUE!</v>
      </c>
      <c r="GW7" s="34" t="e">
        <f>Global!D19+"$I0]!:J"</f>
        <v>#VALUE!</v>
      </c>
      <c r="GX7" s="34" t="e">
        <f>Global!E19+"$I0]!:K"</f>
        <v>#VALUE!</v>
      </c>
      <c r="GY7" s="34" t="e">
        <f>Global!F19+"$I0]!:L"</f>
        <v>#VALUE!</v>
      </c>
      <c r="GZ7" s="34" t="e">
        <f>Global!G19+"$I0]!:M"</f>
        <v>#VALUE!</v>
      </c>
      <c r="HA7" s="34" t="e">
        <f>Global!H19+"$I0]!:N"</f>
        <v>#VALUE!</v>
      </c>
      <c r="HB7" s="34" t="e">
        <f>Global!I19+"$I0]!:O"</f>
        <v>#VALUE!</v>
      </c>
      <c r="HC7" t="e">
        <f>Global!J19+"$I0]!:P"</f>
        <v>#VALUE!</v>
      </c>
      <c r="HD7" s="34" t="e">
        <f>Global!K19+"$I0]!:Q"</f>
        <v>#VALUE!</v>
      </c>
      <c r="HE7" s="34" t="e">
        <f>Global!L19+"$I0]!:R"</f>
        <v>#VALUE!</v>
      </c>
      <c r="HF7" t="e">
        <f>Global!M19+"$I0]!:S"</f>
        <v>#VALUE!</v>
      </c>
      <c r="HG7" s="34" t="e">
        <f>Global!N19+"$I0]!:T"</f>
        <v>#VALUE!</v>
      </c>
      <c r="HH7" s="34" t="e">
        <f>Global!O19+"$I0]!:U"</f>
        <v>#VALUE!</v>
      </c>
      <c r="HI7" s="34" t="e">
        <f>Global!P19+"$I0]!:V"</f>
        <v>#VALUE!</v>
      </c>
      <c r="HJ7" s="34" t="e">
        <f>Global!Q19+"$I0]!:W"</f>
        <v>#VALUE!</v>
      </c>
      <c r="HK7" s="34" t="e">
        <f>Global!R19+"$I0]!:X"</f>
        <v>#VALUE!</v>
      </c>
      <c r="HL7" s="34" t="e">
        <f>Global!S19+"$I0]!:Y"</f>
        <v>#VALUE!</v>
      </c>
      <c r="HM7" s="34" t="e">
        <f>Global!T19+"$I0]!:Z"</f>
        <v>#VALUE!</v>
      </c>
      <c r="HN7" s="34" t="e">
        <f>Global!U19+"$I0]!:["</f>
        <v>#VALUE!</v>
      </c>
      <c r="HO7" s="34" t="e">
        <f>Global!V19+"$I0]!:\"</f>
        <v>#VALUE!</v>
      </c>
      <c r="HP7" s="34" t="e">
        <f>Global!W19+"$I0]!:]"</f>
        <v>#VALUE!</v>
      </c>
      <c r="HQ7" s="34" t="e">
        <f>Global!X19+"$I0]!:^"</f>
        <v>#VALUE!</v>
      </c>
      <c r="HR7" s="34" t="e">
        <f>Global!Y19+"$I0]!:_"</f>
        <v>#VALUE!</v>
      </c>
      <c r="HS7" s="34" t="e">
        <f>Global!Z19+"$I0]!:`"</f>
        <v>#VALUE!</v>
      </c>
      <c r="HT7" s="34" t="e">
        <f>Global!AA19+"$I0]!:a"</f>
        <v>#VALUE!</v>
      </c>
      <c r="HU7" s="34" t="e">
        <f>Global!AB19+"$I0]!:b"</f>
        <v>#VALUE!</v>
      </c>
      <c r="HV7" s="34" t="e">
        <f>Global!AD19+"$I0]!:c"</f>
        <v>#VALUE!</v>
      </c>
      <c r="HW7" s="34" t="e">
        <f>Global!AE19+"$I0]!:d"</f>
        <v>#VALUE!</v>
      </c>
      <c r="HX7" s="34" t="e">
        <f>Global!AF19+"$I0]!:e"</f>
        <v>#VALUE!</v>
      </c>
      <c r="HY7" s="34" t="e">
        <f>Global!AG19+"$I0]!:f"</f>
        <v>#VALUE!</v>
      </c>
      <c r="HZ7" s="34" t="e">
        <f>Global!AH19+"$I0]!:g"</f>
        <v>#VALUE!</v>
      </c>
      <c r="IA7" s="34" t="e">
        <f>Global!AI19+"$I0]!:h"</f>
        <v>#VALUE!</v>
      </c>
      <c r="IB7" s="34" t="e">
        <f>Global!AJ19+"$I0]!:i"</f>
        <v>#VALUE!</v>
      </c>
      <c r="IC7" s="34" t="e">
        <f>Global!AK19+"$I0]!:j"</f>
        <v>#VALUE!</v>
      </c>
      <c r="ID7" s="34" t="e">
        <f>Global!AL19+"$I0]!:k"</f>
        <v>#VALUE!</v>
      </c>
      <c r="IE7" s="34" t="e">
        <f>Global!AM19+"$I0]!:l"</f>
        <v>#VALUE!</v>
      </c>
      <c r="IF7" s="34" t="e">
        <f>Global!AN19+"$I0]!:m"</f>
        <v>#VALUE!</v>
      </c>
      <c r="IG7" s="34" t="e">
        <f>Global!AO19+"$I0]!:n"</f>
        <v>#VALUE!</v>
      </c>
      <c r="IH7" s="34" t="e">
        <f>Global!AP19+"$I0]!:o"</f>
        <v>#VALUE!</v>
      </c>
      <c r="II7" s="34" t="e">
        <f>Global!AQ19+"$I0]!:p"</f>
        <v>#VALUE!</v>
      </c>
      <c r="IJ7" s="34" t="e">
        <f>Global!AR19+"$I0]!:q"</f>
        <v>#VALUE!</v>
      </c>
      <c r="IK7" s="34" t="e">
        <f>Global!AS19+"$I0]!:r"</f>
        <v>#VALUE!</v>
      </c>
      <c r="IL7" s="34" t="e">
        <f>Global!AT19+"$I0]!:s"</f>
        <v>#VALUE!</v>
      </c>
      <c r="IM7" s="34" t="e">
        <f>Global!AU19+"$I0]!:t"</f>
        <v>#VALUE!</v>
      </c>
      <c r="IN7" s="34" t="e">
        <f>Global!AV19+"$I0]!:u"</f>
        <v>#VALUE!</v>
      </c>
      <c r="IO7" s="34" t="e">
        <f>Global!AW19+"$I0]!:v"</f>
        <v>#VALUE!</v>
      </c>
      <c r="IP7" s="34" t="e">
        <f>Global!AX19+"$I0]!:w"</f>
        <v>#VALUE!</v>
      </c>
      <c r="IQ7" s="34" t="e">
        <f>Global!AY19+"$I0]!:x"</f>
        <v>#VALUE!</v>
      </c>
      <c r="IR7" t="e">
        <f>Global!AZ19+"$I0]!:y"</f>
        <v>#VALUE!</v>
      </c>
      <c r="IS7" s="34" t="e">
        <f>Global!BA19+"$I0]!:z"</f>
        <v>#VALUE!</v>
      </c>
      <c r="IT7" s="34" t="e">
        <f>Global!BB19+"$I0]!:{"</f>
        <v>#VALUE!</v>
      </c>
      <c r="IU7" s="34" t="e">
        <f>Global!BC19+"$I0]!:|"</f>
        <v>#VALUE!</v>
      </c>
      <c r="IV7" s="34" t="e">
        <f>Global!BD19+"$I0]!:}"</f>
        <v>#VALUE!</v>
      </c>
    </row>
    <row r="8" spans="1:256" x14ac:dyDescent="0.25">
      <c r="F8" s="34" t="e">
        <f>Global!BE19+"$I0]!:~"</f>
        <v>#VALUE!</v>
      </c>
      <c r="G8" s="34" t="e">
        <f>Global!BF19+"$I0]!;#"</f>
        <v>#VALUE!</v>
      </c>
      <c r="H8" t="e">
        <f>Global!BG19+"$I0]!;$"</f>
        <v>#VALUE!</v>
      </c>
      <c r="I8" s="34" t="e">
        <f>Global!BH19+"$I0]!;%"</f>
        <v>#VALUE!</v>
      </c>
      <c r="J8" s="34" t="e">
        <f>Global!BI19+"$I0]!;&amp;"</f>
        <v>#VALUE!</v>
      </c>
      <c r="K8" s="34" t="e">
        <f>Global!BJ19+"$I0]!;'"</f>
        <v>#VALUE!</v>
      </c>
      <c r="L8" s="34" t="e">
        <f>Global!BK19+"$I0]!;("</f>
        <v>#VALUE!</v>
      </c>
      <c r="M8" s="34" t="e">
        <f>Global!BL19+"$I0]!;)"</f>
        <v>#VALUE!</v>
      </c>
      <c r="N8" s="34" t="e">
        <f>Global!BM19+"$I0]!;."</f>
        <v>#VALUE!</v>
      </c>
      <c r="O8" s="34" t="e">
        <f>Global!BN19+"$I0]!;/"</f>
        <v>#VALUE!</v>
      </c>
      <c r="P8" s="34" t="e">
        <f>Global!BO19+"$I0]!;0"</f>
        <v>#VALUE!</v>
      </c>
      <c r="Q8" s="34" t="e">
        <f>Global!BP19+"$I0]!;1"</f>
        <v>#VALUE!</v>
      </c>
      <c r="R8" s="34" t="e">
        <f>Global!BQ19+"$I0]!;2"</f>
        <v>#VALUE!</v>
      </c>
      <c r="S8" s="34" t="e">
        <f>Global!BR19+"$I0]!;3"</f>
        <v>#VALUE!</v>
      </c>
      <c r="T8" s="34" t="e">
        <f>Global!BS19+"$I0]!;4"</f>
        <v>#VALUE!</v>
      </c>
      <c r="U8" s="34" t="e">
        <f>Global!BT19+"$I0]!;5"</f>
        <v>#VALUE!</v>
      </c>
      <c r="V8" s="34" t="e">
        <f>Global!BU19+"$I0]!;6"</f>
        <v>#VALUE!</v>
      </c>
      <c r="W8" s="34" t="e">
        <f>Global!BW19+"$I0]!;7"</f>
        <v>#VALUE!</v>
      </c>
      <c r="X8" s="34" t="e">
        <f>Global!BX19+"$I0]!;8"</f>
        <v>#VALUE!</v>
      </c>
      <c r="Y8" s="34" t="e">
        <f>Global!BY19+"$I0]!;9"</f>
        <v>#VALUE!</v>
      </c>
      <c r="Z8" s="34" t="e">
        <f>Global!A20+"$I0]!;:"</f>
        <v>#VALUE!</v>
      </c>
      <c r="AA8" s="34" t="e">
        <f>Global!B20+"$I0]!;;"</f>
        <v>#VALUE!</v>
      </c>
      <c r="AB8" s="34" t="e">
        <f>Global!C20+"$I0]!;&lt;"</f>
        <v>#VALUE!</v>
      </c>
      <c r="AC8" s="34" t="e">
        <f>Global!D20+"$I0]!;="</f>
        <v>#VALUE!</v>
      </c>
      <c r="AD8" s="34" t="e">
        <f>Global!E20+"$I0]!;&gt;"</f>
        <v>#VALUE!</v>
      </c>
      <c r="AE8" s="34" t="e">
        <f>Global!F20+"$I0]!;?"</f>
        <v>#VALUE!</v>
      </c>
      <c r="AF8" s="34" t="e">
        <f>Global!G20+"$I0]!;@"</f>
        <v>#VALUE!</v>
      </c>
      <c r="AG8" s="34" t="e">
        <f>Global!H20+"$I0]!;A"</f>
        <v>#VALUE!</v>
      </c>
      <c r="AH8" s="34" t="e">
        <f>Global!I20+"$I0]!;B"</f>
        <v>#VALUE!</v>
      </c>
      <c r="AI8" t="e">
        <f>Global!J20+"$I0]!;C"</f>
        <v>#VALUE!</v>
      </c>
      <c r="AJ8" s="34" t="e">
        <f>Global!K20+"$I0]!;D"</f>
        <v>#VALUE!</v>
      </c>
      <c r="AK8" s="34" t="e">
        <f>Global!L20+"$I0]!;E"</f>
        <v>#VALUE!</v>
      </c>
      <c r="AL8" t="e">
        <f>Global!M20+"$I0]!;F"</f>
        <v>#VALUE!</v>
      </c>
      <c r="AM8" s="34" t="e">
        <f>Global!N20+"$I0]!;G"</f>
        <v>#VALUE!</v>
      </c>
      <c r="AN8" s="34" t="e">
        <f>Global!O20+"$I0]!;H"</f>
        <v>#VALUE!</v>
      </c>
      <c r="AO8" s="34" t="e">
        <f>Global!P20+"$I0]!;I"</f>
        <v>#VALUE!</v>
      </c>
      <c r="AP8" s="34" t="e">
        <f>Global!Q20+"$I0]!;J"</f>
        <v>#VALUE!</v>
      </c>
      <c r="AQ8" s="34" t="e">
        <f>Global!R20+"$I0]!;K"</f>
        <v>#VALUE!</v>
      </c>
      <c r="AR8" s="34" t="e">
        <f>Global!S20+"$I0]!;L"</f>
        <v>#VALUE!</v>
      </c>
      <c r="AS8" s="34" t="e">
        <f>Global!T20+"$I0]!;M"</f>
        <v>#VALUE!</v>
      </c>
      <c r="AT8" s="34" t="e">
        <f>Global!U20+"$I0]!;N"</f>
        <v>#VALUE!</v>
      </c>
      <c r="AU8" s="34" t="e">
        <f>Global!V20+"$I0]!;O"</f>
        <v>#VALUE!</v>
      </c>
      <c r="AV8" s="34" t="e">
        <f>Global!W20+"$I0]!;P"</f>
        <v>#VALUE!</v>
      </c>
      <c r="AW8" s="34" t="e">
        <f>Global!X20+"$I0]!;Q"</f>
        <v>#VALUE!</v>
      </c>
      <c r="AX8" s="34" t="e">
        <f>Global!Y20+"$I0]!;R"</f>
        <v>#VALUE!</v>
      </c>
      <c r="AY8" s="34" t="e">
        <f>Global!Z20+"$I0]!;S"</f>
        <v>#VALUE!</v>
      </c>
      <c r="AZ8" s="34" t="e">
        <f>Global!AA20+"$I0]!;T"</f>
        <v>#VALUE!</v>
      </c>
      <c r="BA8" s="34" t="e">
        <f>Global!AB20+"$I0]!;U"</f>
        <v>#VALUE!</v>
      </c>
      <c r="BB8" s="34" t="e">
        <f>Global!AD20+"$I0]!;V"</f>
        <v>#VALUE!</v>
      </c>
      <c r="BC8" s="34" t="e">
        <f>Global!AE20+"$I0]!;W"</f>
        <v>#VALUE!</v>
      </c>
      <c r="BD8" s="34" t="e">
        <f>Global!AF20+"$I0]!;X"</f>
        <v>#VALUE!</v>
      </c>
      <c r="BE8" s="34" t="e">
        <f>Global!AG20+"$I0]!;Y"</f>
        <v>#VALUE!</v>
      </c>
      <c r="BF8" s="34" t="e">
        <f>Global!AH20+"$I0]!;Z"</f>
        <v>#VALUE!</v>
      </c>
      <c r="BG8" s="34" t="e">
        <f>Global!AI20+"$I0]!;["</f>
        <v>#VALUE!</v>
      </c>
      <c r="BH8" s="34" t="e">
        <f>Global!AJ20+"$I0]!;\"</f>
        <v>#VALUE!</v>
      </c>
      <c r="BI8" s="34" t="e">
        <f>Global!AK20+"$I0]!;]"</f>
        <v>#VALUE!</v>
      </c>
      <c r="BJ8" s="34" t="e">
        <f>Global!AL20+"$I0]!;^"</f>
        <v>#VALUE!</v>
      </c>
      <c r="BK8" s="34" t="e">
        <f>Global!AM20+"$I0]!;_"</f>
        <v>#VALUE!</v>
      </c>
      <c r="BL8" s="34" t="e">
        <f>Global!AN20+"$I0]!;`"</f>
        <v>#VALUE!</v>
      </c>
      <c r="BM8" s="34" t="e">
        <f>Global!AO20+"$I0]!;a"</f>
        <v>#VALUE!</v>
      </c>
      <c r="BN8" s="34" t="e">
        <f>Global!AP20+"$I0]!;b"</f>
        <v>#VALUE!</v>
      </c>
      <c r="BO8" s="34" t="e">
        <f>Global!AQ20+"$I0]!;c"</f>
        <v>#VALUE!</v>
      </c>
      <c r="BP8" s="34" t="e">
        <f>Global!AR20+"$I0]!;d"</f>
        <v>#VALUE!</v>
      </c>
      <c r="BQ8" s="34" t="e">
        <f>Global!AS20+"$I0]!;e"</f>
        <v>#VALUE!</v>
      </c>
      <c r="BR8" s="34" t="e">
        <f>Global!AT20+"$I0]!;f"</f>
        <v>#VALUE!</v>
      </c>
      <c r="BS8" s="34" t="e">
        <f>Global!AU20+"$I0]!;g"</f>
        <v>#VALUE!</v>
      </c>
      <c r="BT8" s="34" t="e">
        <f>Global!AV20+"$I0]!;h"</f>
        <v>#VALUE!</v>
      </c>
      <c r="BU8" s="34" t="e">
        <f>Global!AW20+"$I0]!;i"</f>
        <v>#VALUE!</v>
      </c>
      <c r="BV8" s="34" t="e">
        <f>Global!AX20+"$I0]!;j"</f>
        <v>#VALUE!</v>
      </c>
      <c r="BW8" s="34" t="e">
        <f>Global!AY20+"$I0]!;k"</f>
        <v>#VALUE!</v>
      </c>
      <c r="BX8" t="e">
        <f>Global!AZ20+"$I0]!;l"</f>
        <v>#VALUE!</v>
      </c>
      <c r="BY8" s="34" t="e">
        <f>Global!BA20+"$I0]!;m"</f>
        <v>#VALUE!</v>
      </c>
      <c r="BZ8" s="34" t="e">
        <f>Global!BB20+"$I0]!;n"</f>
        <v>#VALUE!</v>
      </c>
      <c r="CA8" s="34" t="e">
        <f>Global!BC20+"$I0]!;o"</f>
        <v>#VALUE!</v>
      </c>
      <c r="CB8" s="34" t="e">
        <f>Global!BD20+"$I0]!;p"</f>
        <v>#VALUE!</v>
      </c>
      <c r="CC8" s="34" t="e">
        <f>Global!BE20+"$I0]!;q"</f>
        <v>#VALUE!</v>
      </c>
      <c r="CD8" s="34" t="e">
        <f>Global!BF20+"$I0]!;r"</f>
        <v>#VALUE!</v>
      </c>
      <c r="CE8" t="e">
        <f>Global!BG20+"$I0]!;s"</f>
        <v>#VALUE!</v>
      </c>
      <c r="CF8" s="34" t="e">
        <f>Global!BH20+"$I0]!;t"</f>
        <v>#VALUE!</v>
      </c>
      <c r="CG8" s="34" t="e">
        <f>Global!BI20+"$I0]!;u"</f>
        <v>#VALUE!</v>
      </c>
      <c r="CH8" s="34" t="e">
        <f>Global!BJ20+"$I0]!;v"</f>
        <v>#VALUE!</v>
      </c>
      <c r="CI8" s="34" t="e">
        <f>Global!BK20+"$I0]!;w"</f>
        <v>#VALUE!</v>
      </c>
      <c r="CJ8" s="34" t="e">
        <f>Global!BL20+"$I0]!;x"</f>
        <v>#VALUE!</v>
      </c>
      <c r="CK8" s="34" t="e">
        <f>Global!BM20+"$I0]!;y"</f>
        <v>#VALUE!</v>
      </c>
      <c r="CL8" s="34" t="e">
        <f>Global!BN20+"$I0]!;z"</f>
        <v>#VALUE!</v>
      </c>
      <c r="CM8" s="34" t="e">
        <f>Global!BO20+"$I0]!;{"</f>
        <v>#VALUE!</v>
      </c>
      <c r="CN8" s="34" t="e">
        <f>Global!BP20+"$I0]!;|"</f>
        <v>#VALUE!</v>
      </c>
      <c r="CO8" s="34" t="e">
        <f>Global!BQ20+"$I0]!;}"</f>
        <v>#VALUE!</v>
      </c>
      <c r="CP8" s="34" t="e">
        <f>Global!BR20+"$I0]!;~"</f>
        <v>#VALUE!</v>
      </c>
      <c r="CQ8" s="34" t="e">
        <f>Global!BS20+"$I0]!&lt;#"</f>
        <v>#VALUE!</v>
      </c>
      <c r="CR8" s="34" t="e">
        <f>Global!BT20+"$I0]!&lt;$"</f>
        <v>#VALUE!</v>
      </c>
      <c r="CS8" s="34" t="e">
        <f>Global!BU20+"$I0]!&lt;%"</f>
        <v>#VALUE!</v>
      </c>
      <c r="CT8" s="34" t="e">
        <f>Global!BW20+"$I0]!&lt;&amp;"</f>
        <v>#VALUE!</v>
      </c>
      <c r="CU8" s="34" t="e">
        <f>Global!BY20+"$I0]!&lt;'"</f>
        <v>#VALUE!</v>
      </c>
      <c r="CV8" s="34" t="e">
        <f>Global!A21+"$I0]!&lt;("</f>
        <v>#VALUE!</v>
      </c>
      <c r="CW8" s="34" t="e">
        <f>Global!B21+"$I0]!&lt;)"</f>
        <v>#VALUE!</v>
      </c>
      <c r="CX8" s="34" t="e">
        <f>Global!C21+"$I0]!&lt;."</f>
        <v>#VALUE!</v>
      </c>
      <c r="CY8" s="34" t="e">
        <f>Global!D21+"$I0]!&lt;/"</f>
        <v>#VALUE!</v>
      </c>
      <c r="CZ8" s="34" t="e">
        <f>Global!E21+"$I0]!&lt;0"</f>
        <v>#VALUE!</v>
      </c>
      <c r="DA8" s="34" t="e">
        <f>Global!F21+"$I0]!&lt;1"</f>
        <v>#VALUE!</v>
      </c>
      <c r="DB8" s="34" t="e">
        <f>Global!G21+"$I0]!&lt;2"</f>
        <v>#VALUE!</v>
      </c>
      <c r="DC8" s="34" t="e">
        <f>Global!H21+"$I0]!&lt;3"</f>
        <v>#VALUE!</v>
      </c>
      <c r="DD8" s="34" t="e">
        <f>Global!I21+"$I0]!&lt;4"</f>
        <v>#VALUE!</v>
      </c>
      <c r="DE8" t="e">
        <f>Global!J21+"$I0]!&lt;5"</f>
        <v>#VALUE!</v>
      </c>
      <c r="DF8" s="34" t="e">
        <f>Global!K21+"$I0]!&lt;6"</f>
        <v>#VALUE!</v>
      </c>
      <c r="DG8" s="34" t="e">
        <f>Global!L21+"$I0]!&lt;7"</f>
        <v>#VALUE!</v>
      </c>
      <c r="DH8" t="e">
        <f>Global!M21+"$I0]!&lt;8"</f>
        <v>#VALUE!</v>
      </c>
      <c r="DI8" s="34" t="e">
        <f>Global!N21+"$I0]!&lt;9"</f>
        <v>#VALUE!</v>
      </c>
      <c r="DJ8" s="34" t="e">
        <f>Global!O21+"$I0]!&lt;:"</f>
        <v>#VALUE!</v>
      </c>
      <c r="DK8" s="34" t="e">
        <f>Global!P21+"$I0]!&lt;;"</f>
        <v>#VALUE!</v>
      </c>
      <c r="DL8" s="34" t="e">
        <f>Global!Q21+"$I0]!&lt;&lt;"</f>
        <v>#VALUE!</v>
      </c>
      <c r="DM8" s="34" t="e">
        <f>Global!R21+"$I0]!&lt;="</f>
        <v>#VALUE!</v>
      </c>
      <c r="DN8" s="34" t="e">
        <f>Global!S21+"$I0]!&lt;&gt;"</f>
        <v>#VALUE!</v>
      </c>
      <c r="DO8" s="34" t="e">
        <f>Global!T21+"$I0]!&lt;?"</f>
        <v>#VALUE!</v>
      </c>
      <c r="DP8" s="34" t="e">
        <f>Global!U21+"$I0]!&lt;@"</f>
        <v>#VALUE!</v>
      </c>
      <c r="DQ8" s="34" t="e">
        <f>Global!V21+"$I0]!&lt;A"</f>
        <v>#VALUE!</v>
      </c>
      <c r="DR8" s="34" t="e">
        <f>Global!W21+"$I0]!&lt;B"</f>
        <v>#VALUE!</v>
      </c>
      <c r="DS8" s="34" t="e">
        <f>Global!X21+"$I0]!&lt;C"</f>
        <v>#VALUE!</v>
      </c>
      <c r="DT8" s="34" t="e">
        <f>Global!Y21+"$I0]!&lt;D"</f>
        <v>#VALUE!</v>
      </c>
      <c r="DU8" s="34" t="e">
        <f>Global!Z21+"$I0]!&lt;E"</f>
        <v>#VALUE!</v>
      </c>
      <c r="DV8" s="34" t="e">
        <f>Global!AA21+"$I0]!&lt;F"</f>
        <v>#VALUE!</v>
      </c>
      <c r="DW8" s="34" t="e">
        <f>Global!AB21+"$I0]!&lt;G"</f>
        <v>#VALUE!</v>
      </c>
      <c r="DX8" s="34" t="e">
        <f>Global!AD21+"$I0]!&lt;H"</f>
        <v>#VALUE!</v>
      </c>
      <c r="DY8" s="34" t="e">
        <f>Global!AE21+"$I0]!&lt;I"</f>
        <v>#VALUE!</v>
      </c>
      <c r="DZ8" s="34" t="e">
        <f>Global!AF21+"$I0]!&lt;J"</f>
        <v>#VALUE!</v>
      </c>
      <c r="EA8" s="34" t="e">
        <f>Global!AG21+"$I0]!&lt;K"</f>
        <v>#VALUE!</v>
      </c>
      <c r="EB8" s="34" t="e">
        <f>Global!AH21+"$I0]!&lt;L"</f>
        <v>#VALUE!</v>
      </c>
      <c r="EC8" s="34" t="e">
        <f>Global!AI21+"$I0]!&lt;M"</f>
        <v>#VALUE!</v>
      </c>
      <c r="ED8" s="34" t="e">
        <f>Global!AJ21+"$I0]!&lt;N"</f>
        <v>#VALUE!</v>
      </c>
      <c r="EE8" s="34" t="e">
        <f>Global!AK21+"$I0]!&lt;O"</f>
        <v>#VALUE!</v>
      </c>
      <c r="EF8" s="34" t="e">
        <f>Global!AL21+"$I0]!&lt;P"</f>
        <v>#VALUE!</v>
      </c>
      <c r="EG8" s="34" t="e">
        <f>Global!AM21+"$I0]!&lt;Q"</f>
        <v>#VALUE!</v>
      </c>
      <c r="EH8" s="34" t="e">
        <f>Global!AN21+"$I0]!&lt;R"</f>
        <v>#VALUE!</v>
      </c>
      <c r="EI8" s="34" t="e">
        <f>Global!AO21+"$I0]!&lt;S"</f>
        <v>#VALUE!</v>
      </c>
      <c r="EJ8" s="34" t="e">
        <f>Global!AP21+"$I0]!&lt;T"</f>
        <v>#VALUE!</v>
      </c>
      <c r="EK8" s="34" t="e">
        <f>Global!AQ21+"$I0]!&lt;U"</f>
        <v>#VALUE!</v>
      </c>
      <c r="EL8" s="34" t="e">
        <f>Global!AR21+"$I0]!&lt;V"</f>
        <v>#VALUE!</v>
      </c>
      <c r="EM8" s="34" t="e">
        <f>Global!AS21+"$I0]!&lt;W"</f>
        <v>#VALUE!</v>
      </c>
      <c r="EN8" s="34" t="e">
        <f>Global!AT21+"$I0]!&lt;X"</f>
        <v>#VALUE!</v>
      </c>
      <c r="EO8" s="34" t="e">
        <f>Global!AU21+"$I0]!&lt;Y"</f>
        <v>#VALUE!</v>
      </c>
      <c r="EP8" s="34" t="e">
        <f>Global!AV21+"$I0]!&lt;Z"</f>
        <v>#VALUE!</v>
      </c>
      <c r="EQ8" s="34" t="e">
        <f>Global!AW21+"$I0]!&lt;["</f>
        <v>#VALUE!</v>
      </c>
      <c r="ER8" s="34" t="e">
        <f>Global!AX21+"$I0]!&lt;\"</f>
        <v>#VALUE!</v>
      </c>
      <c r="ES8" s="34" t="e">
        <f>Global!AY21+"$I0]!&lt;]"</f>
        <v>#VALUE!</v>
      </c>
      <c r="ET8" t="e">
        <f>Global!AZ21+"$I0]!&lt;^"</f>
        <v>#VALUE!</v>
      </c>
      <c r="EU8" s="34" t="e">
        <f>Global!BA21+"$I0]!&lt;_"</f>
        <v>#VALUE!</v>
      </c>
      <c r="EV8" s="34" t="e">
        <f>Global!BB21+"$I0]!&lt;`"</f>
        <v>#VALUE!</v>
      </c>
      <c r="EW8" s="34" t="e">
        <f>Global!BC21+"$I0]!&lt;a"</f>
        <v>#VALUE!</v>
      </c>
      <c r="EX8" s="34" t="e">
        <f>Global!BD21+"$I0]!&lt;b"</f>
        <v>#VALUE!</v>
      </c>
      <c r="EY8" s="34" t="e">
        <f>Global!BE21+"$I0]!&lt;c"</f>
        <v>#VALUE!</v>
      </c>
      <c r="EZ8" s="34" t="e">
        <f>Global!BF21+"$I0]!&lt;d"</f>
        <v>#VALUE!</v>
      </c>
      <c r="FA8" t="e">
        <f>Global!BG21+"$I0]!&lt;e"</f>
        <v>#VALUE!</v>
      </c>
      <c r="FB8" s="34" t="e">
        <f>Global!BH21+"$I0]!&lt;f"</f>
        <v>#VALUE!</v>
      </c>
      <c r="FC8" s="34" t="e">
        <f>Global!BI21+"$I0]!&lt;g"</f>
        <v>#VALUE!</v>
      </c>
      <c r="FD8" s="34" t="e">
        <f>Global!BJ21+"$I0]!&lt;h"</f>
        <v>#VALUE!</v>
      </c>
      <c r="FE8" s="34" t="e">
        <f>Global!BK21+"$I0]!&lt;i"</f>
        <v>#VALUE!</v>
      </c>
      <c r="FF8" s="34" t="e">
        <f>Global!BL21+"$I0]!&lt;j"</f>
        <v>#VALUE!</v>
      </c>
      <c r="FG8" s="34" t="e">
        <f>Global!BM21+"$I0]!&lt;k"</f>
        <v>#VALUE!</v>
      </c>
      <c r="FH8" s="34" t="e">
        <f>Global!BN21+"$I0]!&lt;l"</f>
        <v>#VALUE!</v>
      </c>
      <c r="FI8" s="34" t="e">
        <f>Global!BO21+"$I0]!&lt;m"</f>
        <v>#VALUE!</v>
      </c>
      <c r="FJ8" s="34" t="e">
        <f>Global!BP21+"$I0]!&lt;n"</f>
        <v>#VALUE!</v>
      </c>
      <c r="FK8" s="34" t="e">
        <f>Global!BQ21+"$I0]!&lt;o"</f>
        <v>#VALUE!</v>
      </c>
      <c r="FL8" s="34" t="e">
        <f>Global!BR21+"$I0]!&lt;p"</f>
        <v>#VALUE!</v>
      </c>
      <c r="FM8" s="34" t="e">
        <f>Global!BS21+"$I0]!&lt;q"</f>
        <v>#VALUE!</v>
      </c>
      <c r="FN8" s="34" t="e">
        <f>Global!BT21+"$I0]!&lt;r"</f>
        <v>#VALUE!</v>
      </c>
      <c r="FO8" s="34" t="e">
        <f>Global!BU21+"$I0]!&lt;s"</f>
        <v>#VALUE!</v>
      </c>
      <c r="FP8" s="34" t="e">
        <f>Global!BW21+"$I0]!&lt;t"</f>
        <v>#VALUE!</v>
      </c>
      <c r="FQ8" s="34" t="e">
        <f>Global!BX21+"$I0]!&lt;u"</f>
        <v>#VALUE!</v>
      </c>
      <c r="FR8" s="34" t="e">
        <f>Global!BY21+"$I0]!&lt;v"</f>
        <v>#VALUE!</v>
      </c>
      <c r="FS8" s="34" t="e">
        <f>Global!A22+"$I0]!&lt;w"</f>
        <v>#VALUE!</v>
      </c>
      <c r="FT8" s="34" t="e">
        <f>Global!B22+"$I0]!&lt;x"</f>
        <v>#VALUE!</v>
      </c>
      <c r="FU8" s="34" t="e">
        <f>Global!C22+"$I0]!&lt;y"</f>
        <v>#VALUE!</v>
      </c>
      <c r="FV8" s="34" t="e">
        <f>Global!D22+"$I0]!&lt;z"</f>
        <v>#VALUE!</v>
      </c>
      <c r="FW8" s="34" t="e">
        <f>Global!E22+"$I0]!&lt;{"</f>
        <v>#VALUE!</v>
      </c>
      <c r="FX8" s="34" t="e">
        <f>Global!F22+"$I0]!&lt;|"</f>
        <v>#VALUE!</v>
      </c>
      <c r="FY8" s="34" t="e">
        <f>Global!G22+"$I0]!&lt;}"</f>
        <v>#VALUE!</v>
      </c>
      <c r="FZ8" s="34" t="e">
        <f>Global!H22+"$I0]!&lt;~"</f>
        <v>#VALUE!</v>
      </c>
      <c r="GA8" s="34" t="e">
        <f>Global!I22+"$I0]!=#"</f>
        <v>#VALUE!</v>
      </c>
      <c r="GB8" t="e">
        <f>Global!J22+"$I0]!=$"</f>
        <v>#VALUE!</v>
      </c>
      <c r="GC8" s="34" t="e">
        <f>Global!K22+"$I0]!=%"</f>
        <v>#VALUE!</v>
      </c>
      <c r="GD8" s="34" t="e">
        <f>Global!L22+"$I0]!=&amp;"</f>
        <v>#VALUE!</v>
      </c>
      <c r="GE8" t="e">
        <f>Global!M22+"$I0]!='"</f>
        <v>#VALUE!</v>
      </c>
      <c r="GF8" s="34" t="e">
        <f>Global!N22+"$I0]!=("</f>
        <v>#VALUE!</v>
      </c>
      <c r="GG8" s="34" t="e">
        <f>Global!O22+"$I0]!=)"</f>
        <v>#VALUE!</v>
      </c>
      <c r="GH8" s="34" t="e">
        <f>Global!P22+"$I0]!=."</f>
        <v>#VALUE!</v>
      </c>
      <c r="GI8" s="34" t="e">
        <f>Global!Q22+"$I0]!=/"</f>
        <v>#VALUE!</v>
      </c>
      <c r="GJ8" s="34" t="e">
        <f>Global!R22+"$I0]!=0"</f>
        <v>#VALUE!</v>
      </c>
      <c r="GK8" s="34" t="e">
        <f>Global!S22+"$I0]!=1"</f>
        <v>#VALUE!</v>
      </c>
      <c r="GL8" s="34" t="e">
        <f>Global!T22+"$I0]!=2"</f>
        <v>#VALUE!</v>
      </c>
      <c r="GM8" s="34" t="e">
        <f>Global!U22+"$I0]!=3"</f>
        <v>#VALUE!</v>
      </c>
      <c r="GN8" s="34" t="e">
        <f>Global!V22+"$I0]!=4"</f>
        <v>#VALUE!</v>
      </c>
      <c r="GO8" s="34" t="e">
        <f>Global!W22+"$I0]!=5"</f>
        <v>#VALUE!</v>
      </c>
      <c r="GP8" s="34" t="e">
        <f>Global!X22+"$I0]!=6"</f>
        <v>#VALUE!</v>
      </c>
      <c r="GQ8" s="34" t="e">
        <f>Global!Y22+"$I0]!=7"</f>
        <v>#VALUE!</v>
      </c>
      <c r="GR8" s="34" t="e">
        <f>Global!Z22+"$I0]!=8"</f>
        <v>#VALUE!</v>
      </c>
      <c r="GS8" s="34" t="e">
        <f>Global!AA22+"$I0]!=9"</f>
        <v>#VALUE!</v>
      </c>
      <c r="GT8" s="34" t="e">
        <f>Global!AB22+"$I0]!=:"</f>
        <v>#VALUE!</v>
      </c>
      <c r="GU8" s="34" t="e">
        <f>Global!AD22+"$I0]!=;"</f>
        <v>#VALUE!</v>
      </c>
      <c r="GV8" s="34" t="e">
        <f>Global!AE22+"$I0]!=&lt;"</f>
        <v>#VALUE!</v>
      </c>
      <c r="GW8" s="34" t="e">
        <f>Global!AF22+"$I0]!=="</f>
        <v>#VALUE!</v>
      </c>
      <c r="GX8" s="34" t="e">
        <f>Global!AG22+"$I0]!=&gt;"</f>
        <v>#VALUE!</v>
      </c>
      <c r="GY8" s="34" t="e">
        <f>Global!AH22+"$I0]!=?"</f>
        <v>#VALUE!</v>
      </c>
      <c r="GZ8" s="34" t="e">
        <f>Global!AI22+"$I0]!=@"</f>
        <v>#VALUE!</v>
      </c>
      <c r="HA8" s="34" t="e">
        <f>Global!AJ22+"$I0]!=A"</f>
        <v>#VALUE!</v>
      </c>
      <c r="HB8" s="34" t="e">
        <f>Global!AK22+"$I0]!=B"</f>
        <v>#VALUE!</v>
      </c>
      <c r="HC8" s="34" t="e">
        <f>Global!AL22+"$I0]!=C"</f>
        <v>#VALUE!</v>
      </c>
      <c r="HD8" s="34" t="e">
        <f>Global!AM22+"$I0]!=D"</f>
        <v>#VALUE!</v>
      </c>
      <c r="HE8" s="34" t="e">
        <f>Global!AN22+"$I0]!=E"</f>
        <v>#VALUE!</v>
      </c>
      <c r="HF8" s="34" t="e">
        <f>Global!AO22+"$I0]!=F"</f>
        <v>#VALUE!</v>
      </c>
      <c r="HG8" s="34" t="e">
        <f>Global!AP22+"$I0]!=G"</f>
        <v>#VALUE!</v>
      </c>
      <c r="HH8" s="34" t="e">
        <f>Global!AQ22+"$I0]!=H"</f>
        <v>#VALUE!</v>
      </c>
      <c r="HI8" s="34" t="e">
        <f>Global!AR22+"$I0]!=I"</f>
        <v>#VALUE!</v>
      </c>
      <c r="HJ8" s="34" t="e">
        <f>Global!AS22+"$I0]!=J"</f>
        <v>#VALUE!</v>
      </c>
      <c r="HK8" s="34" t="e">
        <f>Global!AT22+"$I0]!=K"</f>
        <v>#VALUE!</v>
      </c>
      <c r="HL8" s="34" t="e">
        <f>Global!AU22+"$I0]!=L"</f>
        <v>#VALUE!</v>
      </c>
      <c r="HM8" s="34" t="e">
        <f>Global!AV22+"$I0]!=M"</f>
        <v>#VALUE!</v>
      </c>
      <c r="HN8" s="34" t="e">
        <f>Global!AW22+"$I0]!=N"</f>
        <v>#VALUE!</v>
      </c>
      <c r="HO8" s="34" t="e">
        <f>Global!AX22+"$I0]!=O"</f>
        <v>#VALUE!</v>
      </c>
      <c r="HP8" s="34" t="e">
        <f>Global!AY22+"$I0]!=P"</f>
        <v>#VALUE!</v>
      </c>
      <c r="HQ8" t="e">
        <f>Global!AZ22+"$I0]!=Q"</f>
        <v>#VALUE!</v>
      </c>
      <c r="HR8" s="34" t="e">
        <f>Global!BA22+"$I0]!=R"</f>
        <v>#VALUE!</v>
      </c>
      <c r="HS8" s="34" t="e">
        <f>Global!BB22+"$I0]!=S"</f>
        <v>#VALUE!</v>
      </c>
      <c r="HT8" s="34" t="e">
        <f>Global!BC22+"$I0]!=T"</f>
        <v>#VALUE!</v>
      </c>
      <c r="HU8" s="34" t="e">
        <f>Global!BD22+"$I0]!=U"</f>
        <v>#VALUE!</v>
      </c>
      <c r="HV8" s="34" t="e">
        <f>Global!BE22+"$I0]!=V"</f>
        <v>#VALUE!</v>
      </c>
      <c r="HW8" s="34" t="e">
        <f>Global!BF22+"$I0]!=W"</f>
        <v>#VALUE!</v>
      </c>
      <c r="HX8" t="e">
        <f>Global!BG22+"$I0]!=X"</f>
        <v>#VALUE!</v>
      </c>
      <c r="HY8" s="34" t="e">
        <f>Global!BH22+"$I0]!=Y"</f>
        <v>#VALUE!</v>
      </c>
      <c r="HZ8" s="34" t="e">
        <f>Global!BI22+"$I0]!=Z"</f>
        <v>#VALUE!</v>
      </c>
      <c r="IA8" s="34" t="e">
        <f>Global!BJ22+"$I0]!=["</f>
        <v>#VALUE!</v>
      </c>
      <c r="IB8" s="34" t="e">
        <f>Global!BK22+"$I0]!=\"</f>
        <v>#VALUE!</v>
      </c>
      <c r="IC8" s="34" t="e">
        <f>Global!BL22+"$I0]!=]"</f>
        <v>#VALUE!</v>
      </c>
      <c r="ID8" s="34" t="e">
        <f>Global!BM22+"$I0]!=^"</f>
        <v>#VALUE!</v>
      </c>
      <c r="IE8" s="34" t="e">
        <f>Global!BN22+"$I0]!=_"</f>
        <v>#VALUE!</v>
      </c>
      <c r="IF8" s="34" t="e">
        <f>Global!BO22+"$I0]!=`"</f>
        <v>#VALUE!</v>
      </c>
      <c r="IG8" s="34" t="e">
        <f>Global!BP22+"$I0]!=a"</f>
        <v>#VALUE!</v>
      </c>
      <c r="IH8" s="34" t="e">
        <f>Global!BQ22+"$I0]!=b"</f>
        <v>#VALUE!</v>
      </c>
      <c r="II8" s="34" t="e">
        <f>Global!BR22+"$I0]!=c"</f>
        <v>#VALUE!</v>
      </c>
      <c r="IJ8" s="34" t="e">
        <f>Global!BS22+"$I0]!=d"</f>
        <v>#VALUE!</v>
      </c>
      <c r="IK8" s="34" t="e">
        <f>Global!BT22+"$I0]!=e"</f>
        <v>#VALUE!</v>
      </c>
      <c r="IL8" s="34" t="e">
        <f>Global!BU22+"$I0]!=f"</f>
        <v>#VALUE!</v>
      </c>
      <c r="IM8" s="34" t="e">
        <f>Global!BW22+"$I0]!=g"</f>
        <v>#VALUE!</v>
      </c>
      <c r="IN8" s="34" t="e">
        <f>Global!BX22+"$I0]!=h"</f>
        <v>#VALUE!</v>
      </c>
      <c r="IO8" s="34" t="e">
        <f>Global!BY22+"$I0]!=i"</f>
        <v>#VALUE!</v>
      </c>
      <c r="IP8" s="34" t="e">
        <f>Global!A23+"$I0]!=j"</f>
        <v>#VALUE!</v>
      </c>
      <c r="IQ8" s="34" t="e">
        <f>Global!B23+"$I0]!=k"</f>
        <v>#VALUE!</v>
      </c>
      <c r="IR8" s="34" t="e">
        <f>Global!C23+"$I0]!=l"</f>
        <v>#VALUE!</v>
      </c>
      <c r="IS8" s="34" t="e">
        <f>Global!D23+"$I0]!=m"</f>
        <v>#VALUE!</v>
      </c>
      <c r="IT8" s="34" t="e">
        <f>Global!E23+"$I0]!=n"</f>
        <v>#VALUE!</v>
      </c>
      <c r="IU8" s="34" t="e">
        <f>Global!F23+"$I0]!=o"</f>
        <v>#VALUE!</v>
      </c>
      <c r="IV8" s="34" t="e">
        <f>Global!G23+"$I0]!=p"</f>
        <v>#VALUE!</v>
      </c>
    </row>
    <row r="9" spans="1:256" x14ac:dyDescent="0.25">
      <c r="F9" s="34" t="e">
        <f>Global!H23+"$I0]!=q"</f>
        <v>#VALUE!</v>
      </c>
      <c r="G9" s="34" t="e">
        <f>Global!I23+"$I0]!=r"</f>
        <v>#VALUE!</v>
      </c>
      <c r="H9" t="e">
        <f>Global!J23+"$I0]!=s"</f>
        <v>#VALUE!</v>
      </c>
      <c r="I9" s="34" t="e">
        <f>Global!K23+"$I0]!=t"</f>
        <v>#VALUE!</v>
      </c>
      <c r="J9" s="34" t="e">
        <f>Global!L23+"$I0]!=u"</f>
        <v>#VALUE!</v>
      </c>
      <c r="K9" t="e">
        <f>Global!M23+"$I0]!=v"</f>
        <v>#VALUE!</v>
      </c>
      <c r="L9" s="34" t="e">
        <f>Global!N23+"$I0]!=w"</f>
        <v>#VALUE!</v>
      </c>
      <c r="M9" s="34" t="e">
        <f>Global!O23+"$I0]!=x"</f>
        <v>#VALUE!</v>
      </c>
      <c r="N9" s="34" t="e">
        <f>Global!P23+"$I0]!=y"</f>
        <v>#VALUE!</v>
      </c>
      <c r="O9" s="34" t="e">
        <f>Global!Q23+"$I0]!=z"</f>
        <v>#VALUE!</v>
      </c>
      <c r="P9" s="34" t="e">
        <f>Global!R23+"$I0]!={"</f>
        <v>#VALUE!</v>
      </c>
      <c r="Q9" s="34" t="e">
        <f>Global!S23+"$I0]!=|"</f>
        <v>#VALUE!</v>
      </c>
      <c r="R9" s="34" t="e">
        <f>Global!T23+"$I0]!=}"</f>
        <v>#VALUE!</v>
      </c>
      <c r="S9" s="34" t="e">
        <f>Global!U23+"$I0]!=~"</f>
        <v>#VALUE!</v>
      </c>
      <c r="T9" s="34" t="e">
        <f>Global!V23+"$I0]!&gt;#"</f>
        <v>#VALUE!</v>
      </c>
      <c r="U9" s="34" t="e">
        <f>Global!W23+"$I0]!&gt;$"</f>
        <v>#VALUE!</v>
      </c>
      <c r="V9" s="34" t="e">
        <f>Global!X23+"$I0]!&gt;%"</f>
        <v>#VALUE!</v>
      </c>
      <c r="W9" s="34" t="e">
        <f>Global!Y23+"$I0]!&gt;&amp;"</f>
        <v>#VALUE!</v>
      </c>
      <c r="X9" s="34" t="e">
        <f>Global!Z23+"$I0]!&gt;'"</f>
        <v>#VALUE!</v>
      </c>
      <c r="Y9" s="34" t="e">
        <f>Global!AA23+"$I0]!&gt;("</f>
        <v>#VALUE!</v>
      </c>
      <c r="Z9" s="34" t="e">
        <f>Global!AB23+"$I0]!&gt;)"</f>
        <v>#VALUE!</v>
      </c>
      <c r="AA9" s="34" t="e">
        <f>Global!AD23+"$I0]!&gt;."</f>
        <v>#VALUE!</v>
      </c>
      <c r="AB9" s="34" t="e">
        <f>Global!AE23+"$I0]!&gt;/"</f>
        <v>#VALUE!</v>
      </c>
      <c r="AC9" s="34" t="e">
        <f>Global!AF23+"$I0]!&gt;0"</f>
        <v>#VALUE!</v>
      </c>
      <c r="AD9" s="34" t="e">
        <f>Global!AG23+"$I0]!&gt;1"</f>
        <v>#VALUE!</v>
      </c>
      <c r="AE9" s="34" t="e">
        <f>Global!AH23+"$I0]!&gt;2"</f>
        <v>#VALUE!</v>
      </c>
      <c r="AF9" s="34" t="e">
        <f>Global!AI23+"$I0]!&gt;3"</f>
        <v>#VALUE!</v>
      </c>
      <c r="AG9" s="34" t="e">
        <f>Global!AJ23+"$I0]!&gt;4"</f>
        <v>#VALUE!</v>
      </c>
      <c r="AH9" s="34" t="e">
        <f>Global!AK23+"$I0]!&gt;5"</f>
        <v>#VALUE!</v>
      </c>
      <c r="AI9" s="34" t="e">
        <f>Global!AL23+"$I0]!&gt;6"</f>
        <v>#VALUE!</v>
      </c>
      <c r="AJ9" s="34" t="e">
        <f>Global!AM23+"$I0]!&gt;7"</f>
        <v>#VALUE!</v>
      </c>
      <c r="AK9" s="34" t="e">
        <f>Global!AN23+"$I0]!&gt;8"</f>
        <v>#VALUE!</v>
      </c>
      <c r="AL9" s="34" t="e">
        <f>Global!AO23+"$I0]!&gt;9"</f>
        <v>#VALUE!</v>
      </c>
      <c r="AM9" s="34" t="e">
        <f>Global!AP23+"$I0]!&gt;:"</f>
        <v>#VALUE!</v>
      </c>
      <c r="AN9" s="34" t="e">
        <f>Global!AQ23+"$I0]!&gt;;"</f>
        <v>#VALUE!</v>
      </c>
      <c r="AO9" s="34" t="e">
        <f>Global!AR23+"$I0]!&gt;&lt;"</f>
        <v>#VALUE!</v>
      </c>
      <c r="AP9" s="34" t="e">
        <f>Global!AS23+"$I0]!&gt;="</f>
        <v>#VALUE!</v>
      </c>
      <c r="AQ9" s="34" t="e">
        <f>Global!AT23+"$I0]!&gt;&gt;"</f>
        <v>#VALUE!</v>
      </c>
      <c r="AR9" s="34" t="e">
        <f>Global!AU23+"$I0]!&gt;?"</f>
        <v>#VALUE!</v>
      </c>
      <c r="AS9" s="34" t="e">
        <f>Global!AV23+"$I0]!&gt;@"</f>
        <v>#VALUE!</v>
      </c>
      <c r="AT9" s="34" t="e">
        <f>Global!AW23+"$I0]!&gt;A"</f>
        <v>#VALUE!</v>
      </c>
      <c r="AU9" s="34" t="e">
        <f>Global!AX23+"$I0]!&gt;B"</f>
        <v>#VALUE!</v>
      </c>
      <c r="AV9" s="34" t="e">
        <f>Global!AY23+"$I0]!&gt;C"</f>
        <v>#VALUE!</v>
      </c>
      <c r="AW9" t="e">
        <f>Global!AZ23+"$I0]!&gt;D"</f>
        <v>#VALUE!</v>
      </c>
      <c r="AX9" s="34" t="e">
        <f>Global!BA23+"$I0]!&gt;E"</f>
        <v>#VALUE!</v>
      </c>
      <c r="AY9" s="34" t="e">
        <f>Global!BB23+"$I0]!&gt;F"</f>
        <v>#VALUE!</v>
      </c>
      <c r="AZ9" s="34" t="e">
        <f>Global!BC23+"$I0]!&gt;G"</f>
        <v>#VALUE!</v>
      </c>
      <c r="BA9" s="34" t="e">
        <f>Global!BD23+"$I0]!&gt;H"</f>
        <v>#VALUE!</v>
      </c>
      <c r="BB9" s="34" t="e">
        <f>Global!BE23+"$I0]!&gt;I"</f>
        <v>#VALUE!</v>
      </c>
      <c r="BC9" s="34" t="e">
        <f>Global!BF23+"$I0]!&gt;J"</f>
        <v>#VALUE!</v>
      </c>
      <c r="BD9" t="e">
        <f>Global!BG23+"$I0]!&gt;K"</f>
        <v>#VALUE!</v>
      </c>
      <c r="BE9" s="34" t="e">
        <f>Global!BH23+"$I0]!&gt;L"</f>
        <v>#VALUE!</v>
      </c>
      <c r="BF9" s="34" t="e">
        <f>Global!BI23+"$I0]!&gt;M"</f>
        <v>#VALUE!</v>
      </c>
      <c r="BG9" s="34" t="e">
        <f>Global!BJ23+"$I0]!&gt;N"</f>
        <v>#VALUE!</v>
      </c>
      <c r="BH9" s="34" t="e">
        <f>Global!BK23+"$I0]!&gt;O"</f>
        <v>#VALUE!</v>
      </c>
      <c r="BI9" s="34" t="e">
        <f>Global!BL23+"$I0]!&gt;P"</f>
        <v>#VALUE!</v>
      </c>
      <c r="BJ9" s="34" t="e">
        <f>Global!BM23+"$I0]!&gt;Q"</f>
        <v>#VALUE!</v>
      </c>
      <c r="BK9" s="34" t="e">
        <f>Global!BN23+"$I0]!&gt;R"</f>
        <v>#VALUE!</v>
      </c>
      <c r="BL9" s="34" t="e">
        <f>Global!BO23+"$I0]!&gt;S"</f>
        <v>#VALUE!</v>
      </c>
      <c r="BM9" s="34" t="e">
        <f>Global!BP23+"$I0]!&gt;T"</f>
        <v>#VALUE!</v>
      </c>
      <c r="BN9" s="34" t="e">
        <f>Global!BQ23+"$I0]!&gt;U"</f>
        <v>#VALUE!</v>
      </c>
      <c r="BO9" s="34" t="e">
        <f>Global!BR23+"$I0]!&gt;V"</f>
        <v>#VALUE!</v>
      </c>
      <c r="BP9" s="34" t="e">
        <f>Global!BS23+"$I0]!&gt;W"</f>
        <v>#VALUE!</v>
      </c>
      <c r="BQ9" s="34" t="e">
        <f>Global!BT23+"$I0]!&gt;X"</f>
        <v>#VALUE!</v>
      </c>
      <c r="BR9" s="34" t="e">
        <f>Global!BU23+"$I0]!&gt;Y"</f>
        <v>#VALUE!</v>
      </c>
      <c r="BS9" s="34" t="e">
        <f>Global!BW23+"$I0]!&gt;Z"</f>
        <v>#VALUE!</v>
      </c>
      <c r="BT9" s="34" t="e">
        <f>Global!BX23+"$I0]!&gt;["</f>
        <v>#VALUE!</v>
      </c>
      <c r="BU9" s="34" t="e">
        <f>Global!BY23+"$I0]!&gt;\"</f>
        <v>#VALUE!</v>
      </c>
      <c r="BV9" s="34" t="e">
        <f>Global!A24+"$I0]!&gt;]"</f>
        <v>#VALUE!</v>
      </c>
      <c r="BW9" s="34" t="e">
        <f>Global!B24+"$I0]!&gt;^"</f>
        <v>#VALUE!</v>
      </c>
      <c r="BX9" s="34" t="e">
        <f>Global!C24+"$I0]!&gt;_"</f>
        <v>#VALUE!</v>
      </c>
      <c r="BY9" s="34" t="e">
        <f>Global!D24+"$I0]!&gt;`"</f>
        <v>#VALUE!</v>
      </c>
      <c r="BZ9" s="34" t="e">
        <f>Global!E24+"$I0]!&gt;a"</f>
        <v>#VALUE!</v>
      </c>
      <c r="CA9" s="34" t="e">
        <f>Global!F24+"$I0]!&gt;b"</f>
        <v>#VALUE!</v>
      </c>
      <c r="CB9" s="34" t="e">
        <f>Global!G24+"$I0]!&gt;c"</f>
        <v>#VALUE!</v>
      </c>
      <c r="CC9" s="34" t="e">
        <f>Global!H24+"$I0]!&gt;d"</f>
        <v>#VALUE!</v>
      </c>
      <c r="CD9" s="34" t="e">
        <f>Global!I24+"$I0]!&gt;e"</f>
        <v>#VALUE!</v>
      </c>
      <c r="CE9" t="e">
        <f>Global!J24+"$I0]!&gt;f"</f>
        <v>#VALUE!</v>
      </c>
      <c r="CF9" s="34" t="e">
        <f>Global!K24+"$I0]!&gt;g"</f>
        <v>#VALUE!</v>
      </c>
      <c r="CG9" s="34" t="e">
        <f>Global!L24+"$I0]!&gt;h"</f>
        <v>#VALUE!</v>
      </c>
      <c r="CH9" t="e">
        <f>Global!M24+"$I0]!&gt;i"</f>
        <v>#VALUE!</v>
      </c>
      <c r="CI9" s="34" t="e">
        <f>Global!N24+"$I0]!&gt;j"</f>
        <v>#VALUE!</v>
      </c>
      <c r="CJ9" s="34" t="e">
        <f>Global!O24+"$I0]!&gt;k"</f>
        <v>#VALUE!</v>
      </c>
      <c r="CK9" s="34" t="e">
        <f>Global!P24+"$I0]!&gt;l"</f>
        <v>#VALUE!</v>
      </c>
      <c r="CL9" s="34" t="e">
        <f>Global!Q24+"$I0]!&gt;m"</f>
        <v>#VALUE!</v>
      </c>
      <c r="CM9" s="34" t="e">
        <f>Global!R24+"$I0]!&gt;n"</f>
        <v>#VALUE!</v>
      </c>
      <c r="CN9" s="34" t="e">
        <f>Global!S24+"$I0]!&gt;o"</f>
        <v>#VALUE!</v>
      </c>
      <c r="CO9" s="34" t="e">
        <f>Global!T24+"$I0]!&gt;p"</f>
        <v>#VALUE!</v>
      </c>
      <c r="CP9" s="34" t="e">
        <f>Global!U24+"$I0]!&gt;q"</f>
        <v>#VALUE!</v>
      </c>
      <c r="CQ9" s="34" t="e">
        <f>Global!V24+"$I0]!&gt;r"</f>
        <v>#VALUE!</v>
      </c>
      <c r="CR9" s="34" t="e">
        <f>Global!W24+"$I0]!&gt;s"</f>
        <v>#VALUE!</v>
      </c>
      <c r="CS9" s="34" t="e">
        <f>Global!X24+"$I0]!&gt;t"</f>
        <v>#VALUE!</v>
      </c>
      <c r="CT9" s="34" t="e">
        <f>Global!Y24+"$I0]!&gt;u"</f>
        <v>#VALUE!</v>
      </c>
      <c r="CU9" s="34" t="e">
        <f>Global!Z24+"$I0]!&gt;v"</f>
        <v>#VALUE!</v>
      </c>
      <c r="CV9" s="34" t="e">
        <f>Global!AA24+"$I0]!&gt;w"</f>
        <v>#VALUE!</v>
      </c>
      <c r="CW9" s="34" t="e">
        <f>Global!AB24+"$I0]!&gt;x"</f>
        <v>#VALUE!</v>
      </c>
      <c r="CX9" s="34" t="e">
        <f>Global!AD24+"$I0]!&gt;y"</f>
        <v>#VALUE!</v>
      </c>
      <c r="CY9" s="34" t="e">
        <f>Global!AE24+"$I0]!&gt;z"</f>
        <v>#VALUE!</v>
      </c>
      <c r="CZ9" s="34" t="e">
        <f>Global!AF24+"$I0]!&gt;{"</f>
        <v>#VALUE!</v>
      </c>
      <c r="DA9" s="34" t="e">
        <f>Global!AG24+"$I0]!&gt;|"</f>
        <v>#VALUE!</v>
      </c>
      <c r="DB9" s="34" t="e">
        <f>Global!AH24+"$I0]!&gt;}"</f>
        <v>#VALUE!</v>
      </c>
      <c r="DC9" s="34" t="e">
        <f>Global!AI24+"$I0]!&gt;~"</f>
        <v>#VALUE!</v>
      </c>
      <c r="DD9" s="34" t="e">
        <f>Global!AJ24+"$I0]!?#"</f>
        <v>#VALUE!</v>
      </c>
      <c r="DE9" s="34" t="e">
        <f>Global!AK24+"$I0]!?$"</f>
        <v>#VALUE!</v>
      </c>
      <c r="DF9" s="34" t="e">
        <f>Global!AL24+"$I0]!?%"</f>
        <v>#VALUE!</v>
      </c>
      <c r="DG9" s="34" t="e">
        <f>Global!AM24+"$I0]!?&amp;"</f>
        <v>#VALUE!</v>
      </c>
      <c r="DH9" s="34" t="e">
        <f>Global!AN24+"$I0]!?'"</f>
        <v>#VALUE!</v>
      </c>
      <c r="DI9" s="34" t="e">
        <f>Global!AO24+"$I0]!?("</f>
        <v>#VALUE!</v>
      </c>
      <c r="DJ9" s="34" t="e">
        <f>Global!AP24+"$I0]!?)"</f>
        <v>#VALUE!</v>
      </c>
      <c r="DK9" s="34" t="e">
        <f>Global!AQ24+"$I0]!?."</f>
        <v>#VALUE!</v>
      </c>
      <c r="DL9" s="34" t="e">
        <f>Global!AR24+"$I0]!?/"</f>
        <v>#VALUE!</v>
      </c>
      <c r="DM9" s="34" t="e">
        <f>Global!AS24+"$I0]!?0"</f>
        <v>#VALUE!</v>
      </c>
      <c r="DN9" s="34" t="e">
        <f>Global!AT24+"$I0]!?1"</f>
        <v>#VALUE!</v>
      </c>
      <c r="DO9" s="34" t="e">
        <f>Global!AU24+"$I0]!?2"</f>
        <v>#VALUE!</v>
      </c>
      <c r="DP9" s="34" t="e">
        <f>Global!AV24+"$I0]!?3"</f>
        <v>#VALUE!</v>
      </c>
      <c r="DQ9" s="34" t="e">
        <f>Global!AW24+"$I0]!?4"</f>
        <v>#VALUE!</v>
      </c>
      <c r="DR9" s="34" t="e">
        <f>Global!AX24+"$I0]!?5"</f>
        <v>#VALUE!</v>
      </c>
      <c r="DS9" s="34" t="e">
        <f>Global!AY24+"$I0]!?6"</f>
        <v>#VALUE!</v>
      </c>
      <c r="DT9" t="e">
        <f>Global!AZ24+"$I0]!?7"</f>
        <v>#VALUE!</v>
      </c>
      <c r="DU9" s="34" t="e">
        <f>Global!BA24+"$I0]!?8"</f>
        <v>#VALUE!</v>
      </c>
      <c r="DV9" s="34" t="e">
        <f>Global!BB24+"$I0]!?9"</f>
        <v>#VALUE!</v>
      </c>
      <c r="DW9" s="34" t="e">
        <f>Global!BC24+"$I0]!?:"</f>
        <v>#VALUE!</v>
      </c>
      <c r="DX9" s="34" t="e">
        <f>Global!BD24+"$I0]!?;"</f>
        <v>#VALUE!</v>
      </c>
      <c r="DY9" s="34" t="e">
        <f>Global!BE24+"$I0]!?&lt;"</f>
        <v>#VALUE!</v>
      </c>
      <c r="DZ9" s="34" t="e">
        <f>Global!BF24+"$I0]!?="</f>
        <v>#VALUE!</v>
      </c>
      <c r="EA9" t="e">
        <f>Global!BG24+"$I0]!?&gt;"</f>
        <v>#VALUE!</v>
      </c>
      <c r="EB9" s="34" t="e">
        <f>Global!BH24+"$I0]!??"</f>
        <v>#VALUE!</v>
      </c>
      <c r="EC9" s="34" t="e">
        <f>Global!BI24+"$I0]!?@"</f>
        <v>#VALUE!</v>
      </c>
      <c r="ED9" s="34" t="e">
        <f>Global!BJ24+"$I0]!?A"</f>
        <v>#VALUE!</v>
      </c>
      <c r="EE9" s="34" t="e">
        <f>Global!BK24+"$I0]!?B"</f>
        <v>#VALUE!</v>
      </c>
      <c r="EF9" s="34" t="e">
        <f>Global!BL24+"$I0]!?C"</f>
        <v>#VALUE!</v>
      </c>
      <c r="EG9" s="34" t="e">
        <f>Global!BM24+"$I0]!?D"</f>
        <v>#VALUE!</v>
      </c>
      <c r="EH9" s="34" t="e">
        <f>Global!BN24+"$I0]!?E"</f>
        <v>#VALUE!</v>
      </c>
      <c r="EI9" s="34" t="e">
        <f>Global!BO24+"$I0]!?F"</f>
        <v>#VALUE!</v>
      </c>
      <c r="EJ9" s="34" t="e">
        <f>Global!BP24+"$I0]!?G"</f>
        <v>#VALUE!</v>
      </c>
      <c r="EK9" s="34" t="e">
        <f>Global!BQ24+"$I0]!?H"</f>
        <v>#VALUE!</v>
      </c>
      <c r="EL9" s="34" t="e">
        <f>Global!BR24+"$I0]!?I"</f>
        <v>#VALUE!</v>
      </c>
      <c r="EM9" s="34" t="e">
        <f>Global!BS24+"$I0]!?J"</f>
        <v>#VALUE!</v>
      </c>
      <c r="EN9" s="34" t="e">
        <f>Global!BT24+"$I0]!?K"</f>
        <v>#VALUE!</v>
      </c>
      <c r="EO9" s="34" t="e">
        <f>Global!BU24+"$I0]!?L"</f>
        <v>#VALUE!</v>
      </c>
      <c r="EP9" s="34" t="e">
        <f>Global!BW24+"$I0]!?M"</f>
        <v>#VALUE!</v>
      </c>
      <c r="EQ9" s="34" t="e">
        <f>Global!BX24+"$I0]!?N"</f>
        <v>#VALUE!</v>
      </c>
      <c r="ER9" s="34" t="e">
        <f>Global!BY24+"$I0]!?O"</f>
        <v>#VALUE!</v>
      </c>
      <c r="ES9" s="34" t="e">
        <f>Global!A25+"$I0]!?P"</f>
        <v>#VALUE!</v>
      </c>
      <c r="ET9" s="34" t="e">
        <f>Global!B25+"$I0]!?Q"</f>
        <v>#VALUE!</v>
      </c>
      <c r="EU9" s="34" t="e">
        <f>Global!C25+"$I0]!?R"</f>
        <v>#VALUE!</v>
      </c>
      <c r="EV9" s="34" t="e">
        <f>Global!D25+"$I0]!?S"</f>
        <v>#VALUE!</v>
      </c>
      <c r="EW9" s="34" t="e">
        <f>Global!E25+"$I0]!?T"</f>
        <v>#VALUE!</v>
      </c>
      <c r="EX9" s="34" t="e">
        <f>Global!F25+"$I0]!?U"</f>
        <v>#VALUE!</v>
      </c>
      <c r="EY9" s="34" t="e">
        <f>Global!G25+"$I0]!?V"</f>
        <v>#VALUE!</v>
      </c>
      <c r="EZ9" s="34" t="e">
        <f>Global!H25+"$I0]!?W"</f>
        <v>#VALUE!</v>
      </c>
      <c r="FA9" s="34" t="e">
        <f>Global!I25+"$I0]!?X"</f>
        <v>#VALUE!</v>
      </c>
      <c r="FB9" t="e">
        <f>Global!J25+"$I0]!?Y"</f>
        <v>#VALUE!</v>
      </c>
      <c r="FC9" s="34" t="e">
        <f>Global!K25+"$I0]!?Z"</f>
        <v>#VALUE!</v>
      </c>
      <c r="FD9" s="34" t="e">
        <f>Global!L25+"$I0]!?["</f>
        <v>#VALUE!</v>
      </c>
      <c r="FE9" t="e">
        <f>Global!M25+"$I0]!?\"</f>
        <v>#VALUE!</v>
      </c>
      <c r="FF9" s="34" t="e">
        <f>Global!N25+"$I0]!?]"</f>
        <v>#VALUE!</v>
      </c>
      <c r="FG9" s="34" t="e">
        <f>Global!O25+"$I0]!?^"</f>
        <v>#VALUE!</v>
      </c>
      <c r="FH9" s="34" t="e">
        <f>Global!P25+"$I0]!?_"</f>
        <v>#VALUE!</v>
      </c>
      <c r="FI9" s="34" t="e">
        <f>Global!Q25+"$I0]!?`"</f>
        <v>#VALUE!</v>
      </c>
      <c r="FJ9" s="34" t="e">
        <f>Global!R25+"$I0]!?a"</f>
        <v>#VALUE!</v>
      </c>
      <c r="FK9" s="34" t="e">
        <f>Global!S25+"$I0]!?b"</f>
        <v>#VALUE!</v>
      </c>
      <c r="FL9" s="34" t="e">
        <f>Global!T25+"$I0]!?c"</f>
        <v>#VALUE!</v>
      </c>
      <c r="FM9" s="34" t="e">
        <f>Global!U25+"$I0]!?d"</f>
        <v>#VALUE!</v>
      </c>
      <c r="FN9" s="34" t="e">
        <f>Global!V25+"$I0]!?e"</f>
        <v>#VALUE!</v>
      </c>
      <c r="FO9" s="34" t="e">
        <f>Global!W25+"$I0]!?f"</f>
        <v>#VALUE!</v>
      </c>
      <c r="FP9" s="34" t="e">
        <f>Global!X25+"$I0]!?g"</f>
        <v>#VALUE!</v>
      </c>
      <c r="FQ9" s="34" t="e">
        <f>Global!Y25+"$I0]!?h"</f>
        <v>#VALUE!</v>
      </c>
      <c r="FR9" s="34" t="e">
        <f>Global!Z25+"$I0]!?i"</f>
        <v>#VALUE!</v>
      </c>
      <c r="FS9" s="34" t="e">
        <f>Global!AA25+"$I0]!?j"</f>
        <v>#VALUE!</v>
      </c>
      <c r="FT9" s="34" t="e">
        <f>Global!AB25+"$I0]!?k"</f>
        <v>#VALUE!</v>
      </c>
      <c r="FU9" s="34" t="e">
        <f>Global!AD25+"$I0]!?l"</f>
        <v>#VALUE!</v>
      </c>
      <c r="FV9" s="34" t="e">
        <f>Global!AE25+"$I0]!?m"</f>
        <v>#VALUE!</v>
      </c>
      <c r="FW9" s="34" t="e">
        <f>Global!AF25+"$I0]!?n"</f>
        <v>#VALUE!</v>
      </c>
      <c r="FX9" s="34" t="e">
        <f>Global!AG25+"$I0]!?o"</f>
        <v>#VALUE!</v>
      </c>
      <c r="FY9" s="34" t="e">
        <f>Global!AH25+"$I0]!?p"</f>
        <v>#VALUE!</v>
      </c>
      <c r="FZ9" s="34" t="e">
        <f>Global!AI25+"$I0]!?q"</f>
        <v>#VALUE!</v>
      </c>
      <c r="GA9" s="34" t="e">
        <f>Global!AJ25+"$I0]!?r"</f>
        <v>#VALUE!</v>
      </c>
      <c r="GB9" s="34" t="e">
        <f>Global!AK25+"$I0]!?s"</f>
        <v>#VALUE!</v>
      </c>
      <c r="GC9" s="34" t="e">
        <f>Global!AL25+"$I0]!?t"</f>
        <v>#VALUE!</v>
      </c>
      <c r="GD9" s="34" t="e">
        <f>Global!AM25+"$I0]!?u"</f>
        <v>#VALUE!</v>
      </c>
      <c r="GE9" s="34" t="e">
        <f>Global!AN25+"$I0]!?v"</f>
        <v>#VALUE!</v>
      </c>
      <c r="GF9" s="34" t="e">
        <f>Global!AO25+"$I0]!?w"</f>
        <v>#VALUE!</v>
      </c>
      <c r="GG9" s="34" t="e">
        <f>Global!AP25+"$I0]!?x"</f>
        <v>#VALUE!</v>
      </c>
      <c r="GH9" s="34" t="e">
        <f>Global!AQ25+"$I0]!?y"</f>
        <v>#VALUE!</v>
      </c>
      <c r="GI9" s="34" t="e">
        <f>Global!AR25+"$I0]!?z"</f>
        <v>#VALUE!</v>
      </c>
      <c r="GJ9" s="34" t="e">
        <f>Global!AS25+"$I0]!?{"</f>
        <v>#VALUE!</v>
      </c>
      <c r="GK9" s="34" t="e">
        <f>Global!AT25+"$I0]!?|"</f>
        <v>#VALUE!</v>
      </c>
      <c r="GL9" s="34" t="e">
        <f>Global!AU25+"$I0]!?}"</f>
        <v>#VALUE!</v>
      </c>
      <c r="GM9" s="34" t="e">
        <f>Global!AV25+"$I0]!?~"</f>
        <v>#VALUE!</v>
      </c>
      <c r="GN9" s="34" t="e">
        <f>Global!AW25+"$I0]!@#"</f>
        <v>#VALUE!</v>
      </c>
      <c r="GO9" s="34" t="e">
        <f>Global!AX25+"$I0]!@$"</f>
        <v>#VALUE!</v>
      </c>
      <c r="GP9" s="34" t="e">
        <f>Global!AY25+"$I0]!@%"</f>
        <v>#VALUE!</v>
      </c>
      <c r="GQ9" t="e">
        <f>Global!AZ25+"$I0]!@&amp;"</f>
        <v>#VALUE!</v>
      </c>
      <c r="GR9" s="34" t="e">
        <f>Global!BA25+"$I0]!@'"</f>
        <v>#VALUE!</v>
      </c>
      <c r="GS9" s="34" t="e">
        <f>Global!BB25+"$I0]!@("</f>
        <v>#VALUE!</v>
      </c>
      <c r="GT9" s="34" t="e">
        <f>Global!BC25+"$I0]!@)"</f>
        <v>#VALUE!</v>
      </c>
      <c r="GU9" s="34" t="e">
        <f>Global!BD25+"$I0]!@."</f>
        <v>#VALUE!</v>
      </c>
      <c r="GV9" s="34" t="e">
        <f>Global!BE25+"$I0]!@/"</f>
        <v>#VALUE!</v>
      </c>
      <c r="GW9" s="34" t="e">
        <f>Global!BF25+"$I0]!@0"</f>
        <v>#VALUE!</v>
      </c>
      <c r="GX9" t="e">
        <f>Global!BG25+"$I0]!@1"</f>
        <v>#VALUE!</v>
      </c>
      <c r="GY9" s="34" t="e">
        <f>Global!BH25+"$I0]!@2"</f>
        <v>#VALUE!</v>
      </c>
      <c r="GZ9" s="34" t="e">
        <f>Global!BI25+"$I0]!@3"</f>
        <v>#VALUE!</v>
      </c>
      <c r="HA9" s="34" t="e">
        <f>Global!BJ25+"$I0]!@4"</f>
        <v>#VALUE!</v>
      </c>
      <c r="HB9" s="34" t="e">
        <f>Global!BK25+"$I0]!@5"</f>
        <v>#VALUE!</v>
      </c>
      <c r="HC9" s="34" t="e">
        <f>Global!BL25+"$I0]!@6"</f>
        <v>#VALUE!</v>
      </c>
      <c r="HD9" s="34" t="e">
        <f>Global!BM25+"$I0]!@7"</f>
        <v>#VALUE!</v>
      </c>
      <c r="HE9" s="34" t="e">
        <f>Global!BN25+"$I0]!@8"</f>
        <v>#VALUE!</v>
      </c>
      <c r="HF9" s="34" t="e">
        <f>Global!BO25+"$I0]!@9"</f>
        <v>#VALUE!</v>
      </c>
      <c r="HG9" s="34" t="e">
        <f>Global!BP25+"$I0]!@:"</f>
        <v>#VALUE!</v>
      </c>
      <c r="HH9" s="34" t="e">
        <f>Global!BQ25+"$I0]!@;"</f>
        <v>#VALUE!</v>
      </c>
      <c r="HI9" s="34" t="e">
        <f>Global!BR25+"$I0]!@&lt;"</f>
        <v>#VALUE!</v>
      </c>
      <c r="HJ9" s="34" t="e">
        <f>Global!BS25+"$I0]!@="</f>
        <v>#VALUE!</v>
      </c>
      <c r="HK9" s="34" t="e">
        <f>Global!BT25+"$I0]!@&gt;"</f>
        <v>#VALUE!</v>
      </c>
      <c r="HL9" s="34" t="e">
        <f>Global!BU25+"$I0]!@?"</f>
        <v>#VALUE!</v>
      </c>
      <c r="HM9" s="34" t="e">
        <f>Global!BW25+"$I0]!@@"</f>
        <v>#VALUE!</v>
      </c>
      <c r="HN9" s="34" t="e">
        <f>Global!BX25+"$I0]!@A"</f>
        <v>#VALUE!</v>
      </c>
      <c r="HO9" s="34" t="e">
        <f>Global!BY25+"$I0]!@B"</f>
        <v>#VALUE!</v>
      </c>
      <c r="HP9" t="e">
        <f>'NGDM CSC Docs'!A:A*"$I0]!@C"</f>
        <v>#VALUE!</v>
      </c>
      <c r="HQ9" t="e">
        <f>'NGDM CSC Docs'!B:B*"$I0]!@D"</f>
        <v>#VALUE!</v>
      </c>
      <c r="HR9" t="e">
        <f>'NGDM CSC Docs'!C:C*"$I0]!@E"</f>
        <v>#VALUE!</v>
      </c>
      <c r="HS9" t="e">
        <f>'NGDM CSC Docs'!D:D*"$I0]!@F"</f>
        <v>#VALUE!</v>
      </c>
      <c r="HT9" t="e">
        <f>'NGDM CSC Docs'!E:E*"$I0]!@G"</f>
        <v>#VALUE!</v>
      </c>
      <c r="HU9" t="e">
        <f>'NGDM CSC Docs'!F:F*"$I0]!@H"</f>
        <v>#VALUE!</v>
      </c>
      <c r="HV9" t="e">
        <f>'NGDM CSC Docs'!G:G*"$I0]!@I"</f>
        <v>#VALUE!</v>
      </c>
      <c r="HW9" t="e">
        <f>'NGDM CSC Docs'!H:H*"$I0]!@J"</f>
        <v>#VALUE!</v>
      </c>
      <c r="HX9" t="e">
        <f>'NGDM CSC Docs'!I:I*"$I0]!@K"</f>
        <v>#VALUE!</v>
      </c>
      <c r="HY9" t="e">
        <f>'NGDM CSC Docs'!J:J*"$I0]!@L"</f>
        <v>#VALUE!</v>
      </c>
      <c r="HZ9" t="e">
        <f>'NGDM CSC Docs'!K:K*"$I0]!@M"</f>
        <v>#VALUE!</v>
      </c>
      <c r="IA9" t="e">
        <f>'NGDM CSC Docs'!L:L*"$I0]!@N"</f>
        <v>#VALUE!</v>
      </c>
      <c r="IB9" t="e">
        <f>'NGDM CSC Docs'!M:M*"$I0]!@O"</f>
        <v>#VALUE!</v>
      </c>
      <c r="IC9" t="e">
        <f>'NGDM CSC Docs'!N:N*"$I0]!@P"</f>
        <v>#VALUE!</v>
      </c>
      <c r="ID9" t="e">
        <f>'NGDM CSC Docs'!O:O*"$I0]!@Q"</f>
        <v>#VALUE!</v>
      </c>
      <c r="IE9" t="e">
        <f>'NGDM CSC Docs'!P:P*"$I0]!@R"</f>
        <v>#VALUE!</v>
      </c>
      <c r="IF9" t="e">
        <f>'NGDM CSC Docs'!Q:Q*"$I0]!@S"</f>
        <v>#VALUE!</v>
      </c>
      <c r="IG9" t="e">
        <f>'NGDM CSC Docs'!R:R*"$I0]!@T"</f>
        <v>#VALUE!</v>
      </c>
      <c r="IH9" t="e">
        <f>'NGDM CSC Docs'!S:S*"$I0]!@U"</f>
        <v>#VALUE!</v>
      </c>
      <c r="II9" t="e">
        <f>'NGDM CSC Docs'!T:T*"$I0]!@V"</f>
        <v>#VALUE!</v>
      </c>
      <c r="IJ9" t="e">
        <f>'NGDM CSC Docs'!U:U*"$I0]!@W"</f>
        <v>#VALUE!</v>
      </c>
      <c r="IK9" t="e">
        <f>'NGDM CSC Docs'!V:V*"$I0]!@X"</f>
        <v>#VALUE!</v>
      </c>
      <c r="IL9" t="e">
        <f>'NGDM CSC Docs'!W:W*"$I0]!@Y"</f>
        <v>#VALUE!</v>
      </c>
      <c r="IM9" t="e">
        <f>'NGDM CSC Docs'!X:X*"$I0]!@Z"</f>
        <v>#VALUE!</v>
      </c>
      <c r="IN9" t="e">
        <f>'NGDM CSC Docs'!Y:Y*"$I0]!@["</f>
        <v>#VALUE!</v>
      </c>
      <c r="IO9" t="e">
        <f>'NGDM CSC Docs'!Z:Z*"$I0]!@\"</f>
        <v>#VALUE!</v>
      </c>
      <c r="IP9" t="e">
        <f>'NGDM CSC Docs'!AA:AA*"$I0]!@]"</f>
        <v>#VALUE!</v>
      </c>
      <c r="IQ9" t="e">
        <f>'NGDM CSC Docs'!AB:AB*"$I0]!@^"</f>
        <v>#VALUE!</v>
      </c>
      <c r="IR9" t="e">
        <f>'NGDM CSC Docs'!AC:AC*"$I0]!@_"</f>
        <v>#VALUE!</v>
      </c>
      <c r="IS9" t="e">
        <f>'NGDM CSC Docs'!AD:AD*"$I0]!@`"</f>
        <v>#VALUE!</v>
      </c>
      <c r="IT9" t="e">
        <f>'NGDM CSC Docs'!AE:AE*"$I0]!@a"</f>
        <v>#VALUE!</v>
      </c>
      <c r="IU9" t="e">
        <f>'NGDM CSC Docs'!AF:AF*"$I0]!@b"</f>
        <v>#VALUE!</v>
      </c>
      <c r="IV9" t="e">
        <f>'NGDM CSC Docs'!AG:AG*"$I0]!@c"</f>
        <v>#VALUE!</v>
      </c>
    </row>
    <row r="10" spans="1:256" x14ac:dyDescent="0.25">
      <c r="F10" t="e">
        <f>'NGDM CSC Docs'!AH:AH*"$I0]!@d"</f>
        <v>#VALUE!</v>
      </c>
      <c r="G10" t="e">
        <f>'NGDM CSC Docs'!AI:AI*"$I0]!@e"</f>
        <v>#VALUE!</v>
      </c>
      <c r="H10" t="e">
        <f>'NGDM CSC Docs'!AJ:AJ*"$I0]!@f"</f>
        <v>#VALUE!</v>
      </c>
      <c r="I10" t="e">
        <f>'NGDM CSC Docs'!AK:AK*"$I0]!@g"</f>
        <v>#VALUE!</v>
      </c>
      <c r="J10" t="e">
        <f>'NGDM CSC Docs'!AL:AL*"$I0]!@h"</f>
        <v>#VALUE!</v>
      </c>
      <c r="K10" t="e">
        <f>'NGDM CSC Docs'!AM:AM*"$I0]!@i"</f>
        <v>#VALUE!</v>
      </c>
      <c r="L10" t="e">
        <f>'NGDM CSC Docs'!AN:AN*"$I0]!@j"</f>
        <v>#VALUE!</v>
      </c>
      <c r="M10" t="e">
        <f>'NGDM CSC Docs'!AO:AO*"$I0]!@k"</f>
        <v>#VALUE!</v>
      </c>
      <c r="N10" t="e">
        <f>'NGDM CSC Docs'!AP:AP*"$I0]!@l"</f>
        <v>#VALUE!</v>
      </c>
      <c r="O10" t="e">
        <f>'NGDM CSC Docs'!AQ:AQ*"$I0]!@m"</f>
        <v>#VALUE!</v>
      </c>
      <c r="P10" t="e">
        <f>'NGDM CSC Docs'!AR:AR*"$I0]!@n"</f>
        <v>#VALUE!</v>
      </c>
      <c r="Q10" t="e">
        <f>'NGDM CSC Docs'!AS:AS*"$I0]!@o"</f>
        <v>#VALUE!</v>
      </c>
      <c r="R10" t="e">
        <f>'NGDM CSC Docs'!AT:AT*"$I0]!@p"</f>
        <v>#VALUE!</v>
      </c>
      <c r="S10" t="e">
        <f>'NGDM CSC Docs'!AU:AU*"$I0]!@q"</f>
        <v>#VALUE!</v>
      </c>
      <c r="T10" t="e">
        <f>'NGDM CSC Docs'!AV:AV*"$I0]!@r"</f>
        <v>#VALUE!</v>
      </c>
      <c r="U10" t="e">
        <f>'NGDM CSC Docs'!AW:AW*"$I0]!@s"</f>
        <v>#VALUE!</v>
      </c>
      <c r="V10" t="e">
        <f>'NGDM CSC Docs'!AX:AX*"$I0]!@t"</f>
        <v>#VALUE!</v>
      </c>
      <c r="W10" t="e">
        <f>'NGDM CSC Docs'!AY:AY*"$I0]!@u"</f>
        <v>#VALUE!</v>
      </c>
      <c r="X10" t="e">
        <f>'NGDM CSC Docs'!AZ:AZ*"$I0]!@v"</f>
        <v>#VALUE!</v>
      </c>
      <c r="Y10" t="e">
        <f>'NGDM CSC Docs'!BA:BA*"$I0]!@w"</f>
        <v>#VALUE!</v>
      </c>
      <c r="Z10" t="e">
        <f>'NGDM CSC Docs'!BB:BB*"$I0]!@x"</f>
        <v>#VALUE!</v>
      </c>
      <c r="AA10" t="e">
        <f>'NGDM CSC Docs'!1:1-"$I0]!@y"</f>
        <v>#VALUE!</v>
      </c>
      <c r="AB10" t="e">
        <f>'NGDM CSC Docs'!2:2-"$I0]!@z"</f>
        <v>#VALUE!</v>
      </c>
      <c r="AC10" t="e">
        <f>'NGDM CSC Docs'!3:3-"$I0]!@{"</f>
        <v>#VALUE!</v>
      </c>
      <c r="AD10" t="e">
        <f>'NGDM CSC Docs'!4:4-"$I0]!@|"</f>
        <v>#VALUE!</v>
      </c>
      <c r="AE10" t="e">
        <f>'NGDM CSC Docs'!5:5-"$I0]!@}"</f>
        <v>#VALUE!</v>
      </c>
      <c r="AF10" t="e">
        <f>'NGDM CSC Docs'!6:6-"$I0]!@~"</f>
        <v>#VALUE!</v>
      </c>
      <c r="AG10" t="e">
        <f>'NGDM CSC Docs'!7:7-"$I0]!A#"</f>
        <v>#VALUE!</v>
      </c>
      <c r="AH10" t="e">
        <f>'NGDM CSC Docs'!8:8-"$I0]!A$"</f>
        <v>#VALUE!</v>
      </c>
      <c r="AI10" t="e">
        <f>'NGDM CSC Docs'!9:9-"$I0]!A%"</f>
        <v>#VALUE!</v>
      </c>
      <c r="AJ10" t="e">
        <f>'NGDM CSC Docs'!10:10-"$I0]!A&amp;"</f>
        <v>#VALUE!</v>
      </c>
      <c r="AK10" t="e">
        <f>'NGDM CSC Docs'!11:11-"$I0]!A'"</f>
        <v>#VALUE!</v>
      </c>
      <c r="AL10" t="e">
        <f>'NGDM CSC Docs'!12:12-"$I0]!A("</f>
        <v>#VALUE!</v>
      </c>
      <c r="AM10" t="e">
        <f>'NGDM CSC Docs'!13:13-"$I0]!A)"</f>
        <v>#VALUE!</v>
      </c>
      <c r="AN10" t="e">
        <f>'NGDM CSC Docs'!14:14-"$I0]!A."</f>
        <v>#VALUE!</v>
      </c>
      <c r="AO10" t="e">
        <f>'NGDM CSC Docs'!15:15-"$I0]!A/"</f>
        <v>#VALUE!</v>
      </c>
      <c r="AP10" t="e">
        <f>'NGDM CSC Docs'!16:16-"$I0]!A0"</f>
        <v>#VALUE!</v>
      </c>
      <c r="AQ10" t="e">
        <f>'NGDM CSC Docs'!17:17-"$I0]!A1"</f>
        <v>#VALUE!</v>
      </c>
      <c r="AR10" t="e">
        <f>'NGDM CSC Docs'!18:18-"$I0]!A2"</f>
        <v>#VALUE!</v>
      </c>
      <c r="AS10" t="e">
        <f>'NGDM CSC Docs'!19:19-"$I0]!A3"</f>
        <v>#VALUE!</v>
      </c>
      <c r="AT10" t="e">
        <f>'NGDM CSC Docs'!20:20-"$I0]!A4"</f>
        <v>#VALUE!</v>
      </c>
      <c r="AU10" t="e">
        <f>'NGDM CSC Docs'!21:21-"$I0]!A5"</f>
        <v>#VALUE!</v>
      </c>
      <c r="AV10" t="e">
        <f>'NGDM CSC Docs'!22:22-"$I0]!A6"</f>
        <v>#VALUE!</v>
      </c>
      <c r="AW10" t="e">
        <f>'NGDM CSC Docs'!23:23-"$I0]!A7"</f>
        <v>#VALUE!</v>
      </c>
      <c r="AX10" t="e">
        <f>'NGDM CSC Docs'!24:24-"$I0]!A8"</f>
        <v>#VALUE!</v>
      </c>
      <c r="AY10" t="e">
        <f>'NGDM CSC Docs'!25:25-"$I0]!A9"</f>
        <v>#VALUE!</v>
      </c>
      <c r="AZ10" t="e">
        <f>'NGDM CSC Docs'!26:26-"$I0]!A:"</f>
        <v>#VALUE!</v>
      </c>
      <c r="BA10" t="e">
        <f>'NGDM CSC Docs'!27:27-"$I0]!A;"</f>
        <v>#VALUE!</v>
      </c>
      <c r="BB10" t="e">
        <f>'NGDM CSC Docs'!28:28-"$I0]!A&lt;"</f>
        <v>#VALUE!</v>
      </c>
      <c r="BC10" t="e">
        <f>'NGDM CSC Docs'!29:29-"$I0]!A="</f>
        <v>#VALUE!</v>
      </c>
      <c r="BD10" t="e">
        <f>'NGDM CSC Docs'!30:30-"$I0]!A&gt;"</f>
        <v>#VALUE!</v>
      </c>
      <c r="BE10" t="e">
        <f>'NGDM CSC Docs'!31:31-"$I0]!A?"</f>
        <v>#VALUE!</v>
      </c>
      <c r="BF10" t="e">
        <f>'NGDM CSC Docs'!32:32-"$I0]!A@"</f>
        <v>#VALUE!</v>
      </c>
      <c r="BG10" t="e">
        <f>'NGDM CSC Docs'!33:33-"$I0]!AA"</f>
        <v>#VALUE!</v>
      </c>
      <c r="BH10" t="e">
        <f>'NGDM CSC Docs'!34:34-"$I0]!AB"</f>
        <v>#VALUE!</v>
      </c>
      <c r="BI10" t="e">
        <f>'NGDM CSC Docs'!35:35-"$I0]!AC"</f>
        <v>#VALUE!</v>
      </c>
      <c r="BJ10" t="e">
        <f>'NGDM CSC Docs'!36:36-"$I0]!AD"</f>
        <v>#VALUE!</v>
      </c>
      <c r="BK10" t="e">
        <f>'NGDM CSC Docs'!37:37-"$I0]!AE"</f>
        <v>#VALUE!</v>
      </c>
      <c r="BL10" t="e">
        <f>'NGDM CSC Docs'!38:38-"$I0]!AF"</f>
        <v>#VALUE!</v>
      </c>
      <c r="BM10" t="e">
        <f>'NGDM CSC Docs'!39:39-"$I0]!AG"</f>
        <v>#VALUE!</v>
      </c>
      <c r="BN10" t="e">
        <f>'NGDM CSC Docs'!40:40-"$I0]!AH"</f>
        <v>#VALUE!</v>
      </c>
      <c r="BO10" t="e">
        <f>'NGDM CSC Docs'!41:41-"$I0]!AI"</f>
        <v>#VALUE!</v>
      </c>
      <c r="BP10" t="e">
        <f>'NGDM CSC Docs'!42:42-"$I0]!AJ"</f>
        <v>#VALUE!</v>
      </c>
      <c r="BQ10" t="e">
        <f>'NGDM CSC Docs'!43:43-"$I0]!AK"</f>
        <v>#VALUE!</v>
      </c>
      <c r="BR10" t="e">
        <f>'NGDM CSC Docs'!44:44-"$I0]!AL"</f>
        <v>#VALUE!</v>
      </c>
      <c r="BS10" t="e">
        <f>'NGDM CSC Docs'!45:45-"$I0]!AM"</f>
        <v>#VALUE!</v>
      </c>
      <c r="BT10" t="e">
        <f>'NGDM CSC Docs'!46:46-"$I0]!AN"</f>
        <v>#VALUE!</v>
      </c>
      <c r="BU10" t="e">
        <f>'NGDM CSC Docs'!47:47-"$I0]!AO"</f>
        <v>#VALUE!</v>
      </c>
      <c r="BV10" t="e">
        <f>'NGDM CSC Docs'!48:48-"$I0]!AP"</f>
        <v>#VALUE!</v>
      </c>
      <c r="BW10" t="e">
        <f>'NGDM CSC Docs'!49:49-"$I0]!AQ"</f>
        <v>#VALUE!</v>
      </c>
      <c r="BX10" t="e">
        <f>'NGDM CSC Docs'!50:50-"$I0]!AR"</f>
        <v>#VALUE!</v>
      </c>
      <c r="BY10" t="e">
        <f>'NGDM CSC Docs'!51:51-"$I0]!AS"</f>
        <v>#VALUE!</v>
      </c>
      <c r="BZ10" t="e">
        <f>'NGDM CSC Docs'!52:52-"$I0]!AT"</f>
        <v>#VALUE!</v>
      </c>
      <c r="CA10" t="e">
        <f>'NGDM CSC Docs'!53:53-"$I0]!AU"</f>
        <v>#VALUE!</v>
      </c>
      <c r="CB10" t="e">
        <f>'NGDM CSC Docs'!54:54-"$I0]!AV"</f>
        <v>#VALUE!</v>
      </c>
      <c r="CC10" t="e">
        <f>'NGDM CSC Docs'!55:55-"$I0]!AW"</f>
        <v>#VALUE!</v>
      </c>
      <c r="CD10" t="e">
        <f>'NGDM CSC Docs'!56:56-"$I0]!AX"</f>
        <v>#VALUE!</v>
      </c>
      <c r="CE10" t="e">
        <f>'NGDM CSC Docs'!57:57-"$I0]!AY"</f>
        <v>#VALUE!</v>
      </c>
      <c r="CF10" t="e">
        <f>'NGDM CSC Docs'!58:58-"$I0]!AZ"</f>
        <v>#VALUE!</v>
      </c>
      <c r="CG10" t="e">
        <f>'NGDM CSC Docs'!59:59-"$I0]!A["</f>
        <v>#VALUE!</v>
      </c>
      <c r="CH10" t="e">
        <f>'NGDM CSC Docs'!60:60-"$I0]!A\"</f>
        <v>#VALUE!</v>
      </c>
      <c r="CI10" t="e">
        <f>'NGDM CSC Docs'!61:61-"$I0]!A]"</f>
        <v>#VALUE!</v>
      </c>
      <c r="CJ10" t="e">
        <f>'NGDM CSC Docs'!62:62-"$I0]!A^"</f>
        <v>#VALUE!</v>
      </c>
      <c r="CK10" t="e">
        <f>'NGDM CSC Docs'!63:63-"$I0]!A_"</f>
        <v>#VALUE!</v>
      </c>
      <c r="CL10" t="e">
        <f>'NGDM CSC Docs'!64:64-"$I0]!A`"</f>
        <v>#VALUE!</v>
      </c>
      <c r="CM10" t="e">
        <f>'NGDM CSC Docs'!65:65-"$I0]!Aa"</f>
        <v>#VALUE!</v>
      </c>
      <c r="CN10" t="e">
        <f>'NGDM CSC Docs'!66:66-"$I0]!Ab"</f>
        <v>#VALUE!</v>
      </c>
      <c r="CO10" t="e">
        <f>'NGDM CSC Docs'!67:67-"$I0]!Ac"</f>
        <v>#VALUE!</v>
      </c>
      <c r="CP10" t="e">
        <f>'NGDM CSC Docs'!68:68-"$I0]!Ad"</f>
        <v>#VALUE!</v>
      </c>
      <c r="CQ10" t="e">
        <f>'NGDM CSC Docs'!69:69-"$I0]!Ae"</f>
        <v>#VALUE!</v>
      </c>
      <c r="CR10" t="e">
        <f>'NGDM CSC Docs'!70:70-"$I0]!Af"</f>
        <v>#VALUE!</v>
      </c>
      <c r="CS10" t="e">
        <f>'NGDM CSC Docs'!71:71-"$I0]!Ag"</f>
        <v>#VALUE!</v>
      </c>
      <c r="CT10" t="e">
        <f>'NGDM CSC Docs'!72:72-"$I0]!Ah"</f>
        <v>#VALUE!</v>
      </c>
      <c r="CU10" t="e">
        <f>'NGDM CSC Docs'!73:73-"$I0]!Ai"</f>
        <v>#VALUE!</v>
      </c>
      <c r="CV10" t="e">
        <f>'NGDM CSC Docs'!74:74-"$I0]!Aj"</f>
        <v>#VALUE!</v>
      </c>
      <c r="CW10" t="e">
        <f>'NGDM CSC Docs'!75:75-"$I0]!Ak"</f>
        <v>#VALUE!</v>
      </c>
      <c r="CX10" t="e">
        <f>'NGDM CSC Docs'!76:76-"$I0]!Al"</f>
        <v>#VALUE!</v>
      </c>
      <c r="CY10" t="e">
        <f>'NGDM CSC Docs'!77:77-"$I0]!Am"</f>
        <v>#VALUE!</v>
      </c>
      <c r="CZ10" t="e">
        <f>'NGDM CSC Docs'!78:78-"$I0]!An"</f>
        <v>#VALUE!</v>
      </c>
      <c r="DA10" t="e">
        <f>'NGDM CSC Docs'!79:79-"$I0]!Ao"</f>
        <v>#VALUE!</v>
      </c>
      <c r="DB10" t="e">
        <f>'NGDM CSC Docs'!80:80-"$I0]!Ap"</f>
        <v>#VALUE!</v>
      </c>
      <c r="DC10" t="e">
        <f>'NGDM CSC Docs'!81:81-"$I0]!Aq"</f>
        <v>#VALUE!</v>
      </c>
      <c r="DD10" t="e">
        <f>'NGDM CSC Docs'!82:82-"$I0]!Ar"</f>
        <v>#VALUE!</v>
      </c>
      <c r="DE10" t="e">
        <f>'NGDM CSC Docs'!83:83-"$I0]!As"</f>
        <v>#VALUE!</v>
      </c>
      <c r="DF10" t="e">
        <f>'NGDM CSC Docs'!84:84-"$I0]!At"</f>
        <v>#VALUE!</v>
      </c>
      <c r="DG10" t="e">
        <f>'NGDM CSC Docs'!85:85-"$I0]!Au"</f>
        <v>#VALUE!</v>
      </c>
      <c r="DH10" t="e">
        <f>'NGDM CSC Docs'!86:86-"$I0]!Av"</f>
        <v>#VALUE!</v>
      </c>
      <c r="DI10" t="e">
        <f>'NGDM CSC Docs'!87:87-"$I0]!Aw"</f>
        <v>#VALUE!</v>
      </c>
      <c r="DJ10" t="e">
        <f>'NGDM CSC Docs'!88:88-"$I0]!Ax"</f>
        <v>#VALUE!</v>
      </c>
      <c r="DK10" t="e">
        <f>'NGDM CSC Docs'!89:89-"$I0]!Ay"</f>
        <v>#VALUE!</v>
      </c>
      <c r="DL10" t="e">
        <f>'NGDM CSC Docs'!90:90-"$I0]!Az"</f>
        <v>#VALUE!</v>
      </c>
      <c r="DM10" t="e">
        <f>'NGDM CSC Docs'!91:91-"$I0]!A{"</f>
        <v>#VALUE!</v>
      </c>
      <c r="DN10" t="e">
        <f>'NGDM CSC Docs'!92:92-"$I0]!A|"</f>
        <v>#VALUE!</v>
      </c>
      <c r="DO10" t="e">
        <f>'NGDM CSC Docs'!93:93-"$I0]!A}"</f>
        <v>#VALUE!</v>
      </c>
      <c r="DP10" t="e">
        <f>'NGDM CSC Docs'!94:94-"$I0]!A~"</f>
        <v>#VALUE!</v>
      </c>
      <c r="DQ10" t="e">
        <f>'NGDM CSC Docs'!95:95-"$I0]!B#"</f>
        <v>#VALUE!</v>
      </c>
      <c r="DR10" t="e">
        <f>'NGDM CSC Docs'!96:96-"$I0]!B$"</f>
        <v>#VALUE!</v>
      </c>
      <c r="DS10" t="e">
        <f>'NGDM CSC Docs'!97:97-"$I0]!B%"</f>
        <v>#VALUE!</v>
      </c>
      <c r="DT10" t="e">
        <f>'NGDM CSC Docs'!98:98-"$I0]!B&amp;"</f>
        <v>#VALUE!</v>
      </c>
      <c r="DU10" t="e">
        <f>'NGDM CSC Docs'!99:99-"$I0]!B'"</f>
        <v>#VALUE!</v>
      </c>
      <c r="DV10" t="e">
        <f>'NGDM CSC Docs'!100:100-"$I0]!B("</f>
        <v>#VALUE!</v>
      </c>
      <c r="DW10" t="e">
        <f>'NGDM CSC Docs'!101:101-"$I0]!B)"</f>
        <v>#VALUE!</v>
      </c>
      <c r="DX10" t="e">
        <f>'NGDM CSC Docs'!102:102-"$I0]!B."</f>
        <v>#VALUE!</v>
      </c>
      <c r="DY10" t="e">
        <f>'NGDM CSC Docs'!103:103-"$I0]!B/"</f>
        <v>#VALUE!</v>
      </c>
      <c r="DZ10" t="e">
        <f>'NGDM CSC Docs'!104:104-"$I0]!B0"</f>
        <v>#VALUE!</v>
      </c>
      <c r="EA10" t="e">
        <f>'NGDM CSC Docs'!105:105-"$I0]!B1"</f>
        <v>#VALUE!</v>
      </c>
      <c r="EB10" t="e">
        <f>'NGDM CSC Docs'!106:106-"$I0]!B2"</f>
        <v>#VALUE!</v>
      </c>
      <c r="EC10" t="e">
        <f>'NGDM CSC Docs'!107:107-"$I0]!B3"</f>
        <v>#VALUE!</v>
      </c>
      <c r="ED10" t="e">
        <f>'NGDM CSC Docs'!108:108-"$I0]!B4"</f>
        <v>#VALUE!</v>
      </c>
      <c r="EE10" t="e">
        <f>'NGDM CSC Docs'!109:109-"$I0]!B5"</f>
        <v>#VALUE!</v>
      </c>
      <c r="EF10" t="e">
        <f>'NGDM CSC Docs'!110:110-"$I0]!B6"</f>
        <v>#VALUE!</v>
      </c>
      <c r="EG10" t="e">
        <f>'NGDM CSC Docs'!111:111-"$I0]!B7"</f>
        <v>#VALUE!</v>
      </c>
      <c r="EH10" t="e">
        <f>'NGDM CSC Docs'!112:112-"$I0]!B8"</f>
        <v>#VALUE!</v>
      </c>
      <c r="EI10" t="e">
        <f>'NGDM CSC Docs'!113:113-"$I0]!B9"</f>
        <v>#VALUE!</v>
      </c>
      <c r="EJ10" t="e">
        <f>'NGDM CSC Docs'!114:114-"$I0]!B:"</f>
        <v>#VALUE!</v>
      </c>
      <c r="EK10" t="e">
        <f>'NGDM CSC Docs'!115:115-"$I0]!B;"</f>
        <v>#VALUE!</v>
      </c>
      <c r="EL10" t="e">
        <f>'NGDM CSC Docs'!116:116-"$I0]!B&lt;"</f>
        <v>#VALUE!</v>
      </c>
      <c r="EM10" t="e">
        <f>'NGDM CSC Docs'!117:117-"$I0]!B="</f>
        <v>#VALUE!</v>
      </c>
      <c r="EN10" t="e">
        <f>'NGDM CSC Docs'!118:118-"$I0]!B&gt;"</f>
        <v>#VALUE!</v>
      </c>
      <c r="EO10" t="e">
        <f>'NGDM CSC Docs'!119:119-"$I0]!B?"</f>
        <v>#VALUE!</v>
      </c>
      <c r="EP10" t="e">
        <f>'NGDM CSC Docs'!120:120-"$I0]!B@"</f>
        <v>#VALUE!</v>
      </c>
      <c r="EQ10" t="e">
        <f>'NGDM CSC Docs'!121:121-"$I0]!BA"</f>
        <v>#VALUE!</v>
      </c>
      <c r="ER10" t="e">
        <f>'NGDM CSC Docs'!122:122-"$I0]!BB"</f>
        <v>#VALUE!</v>
      </c>
      <c r="ES10" t="e">
        <f>'NGDM CSC Docs'!123:123-"$I0]!BC"</f>
        <v>#VALUE!</v>
      </c>
      <c r="ET10" t="e">
        <f>'NGDM CSC Docs'!124:124-"$I0]!BD"</f>
        <v>#VALUE!</v>
      </c>
      <c r="EU10" t="e">
        <f>'NGDM CSC Docs'!125:125-"$I0]!BE"</f>
        <v>#VALUE!</v>
      </c>
      <c r="EV10" t="e">
        <f>'NGDM CSC Docs'!126:126-"$I0]!BF"</f>
        <v>#VALUE!</v>
      </c>
      <c r="EW10" t="e">
        <f>'NGDM CSC Docs'!127:127-"$I0]!BG"</f>
        <v>#VALUE!</v>
      </c>
      <c r="EX10" t="e">
        <f>'NGDM CSC Docs'!128:128-"$I0]!BH"</f>
        <v>#VALUE!</v>
      </c>
      <c r="EY10" t="e">
        <f>'NGDM CSC Docs'!129:129-"$I0]!BI"</f>
        <v>#VALUE!</v>
      </c>
      <c r="EZ10" t="e">
        <f>'NGDM CSC Docs'!130:130-"$I0]!BJ"</f>
        <v>#VALUE!</v>
      </c>
      <c r="FA10" t="e">
        <f>'NGDM CSC Docs'!131:131-"$I0]!BK"</f>
        <v>#VALUE!</v>
      </c>
      <c r="FB10" t="e">
        <f>'NGDM CSC Docs'!132:132-"$I0]!BL"</f>
        <v>#VALUE!</v>
      </c>
      <c r="FC10" t="e">
        <f>'NGDM CSC Docs'!133:133-"$I0]!BM"</f>
        <v>#VALUE!</v>
      </c>
      <c r="FD10" t="e">
        <f>'NGDM CSC Docs'!134:134-"$I0]!BN"</f>
        <v>#VALUE!</v>
      </c>
      <c r="FE10" t="e">
        <f>'NGDM CSC Docs'!135:135-"$I0]!BO"</f>
        <v>#VALUE!</v>
      </c>
      <c r="FF10" t="e">
        <f>'NGDM CSC Docs'!136:136-"$I0]!BP"</f>
        <v>#VALUE!</v>
      </c>
      <c r="FG10" t="e">
        <f>'NGDM CSC Docs'!137:137-"$I0]!BQ"</f>
        <v>#VALUE!</v>
      </c>
      <c r="FH10" t="e">
        <f>'NGDM CSC Docs'!138:138-"$I0]!BR"</f>
        <v>#VALUE!</v>
      </c>
      <c r="FI10" t="e">
        <f>'NGDM CSC Docs'!139:139-"$I0]!BS"</f>
        <v>#VALUE!</v>
      </c>
      <c r="FJ10" t="e">
        <f>'NGDM CSC Docs'!140:140-"$I0]!BT"</f>
        <v>#VALUE!</v>
      </c>
      <c r="FK10" t="e">
        <f>'NGDM CSC Docs'!141:141-"$I0]!BU"</f>
        <v>#VALUE!</v>
      </c>
      <c r="FL10" t="e">
        <f>'NGDM CSC Docs'!142:142-"$I0]!BV"</f>
        <v>#VALUE!</v>
      </c>
      <c r="FM10" t="e">
        <f>'NGDM CSC Docs'!143:143-"$I0]!BW"</f>
        <v>#VALUE!</v>
      </c>
      <c r="FN10" t="e">
        <f>'NGDM CSC Docs'!144:144-"$I0]!BX"</f>
        <v>#VALUE!</v>
      </c>
      <c r="FO10" t="e">
        <f>'NGDM CSC Docs'!145:145-"$I0]!BY"</f>
        <v>#VALUE!</v>
      </c>
      <c r="FP10" t="e">
        <f>'NGDM CSC Docs'!146:146-"$I0]!BZ"</f>
        <v>#VALUE!</v>
      </c>
      <c r="FQ10" t="e">
        <f>'NGDM CSC Docs'!147:147-"$I0]!B["</f>
        <v>#VALUE!</v>
      </c>
      <c r="FR10" t="e">
        <f>'NGDM CSC Docs'!148:148-"$I0]!B\"</f>
        <v>#VALUE!</v>
      </c>
      <c r="FS10" t="e">
        <f>'NGDM CSC Docs'!149:149-"$I0]!B]"</f>
        <v>#VALUE!</v>
      </c>
      <c r="FT10" t="e">
        <f>'NGDM CSC Docs'!150:150-"$I0]!B^"</f>
        <v>#VALUE!</v>
      </c>
      <c r="FU10" t="e">
        <f>'NGDM CSC Docs'!151:151-"$I0]!B_"</f>
        <v>#VALUE!</v>
      </c>
      <c r="FV10" t="e">
        <f>'NGDM CSC Docs'!152:152-"$I0]!B`"</f>
        <v>#VALUE!</v>
      </c>
      <c r="FW10" t="e">
        <f>'NGDM CSC Docs'!153:153-"$I0]!Ba"</f>
        <v>#VALUE!</v>
      </c>
      <c r="FX10" t="e">
        <f>'NGDM CSC Docs'!154:154-"$I0]!Bb"</f>
        <v>#VALUE!</v>
      </c>
      <c r="FY10" t="e">
        <f>'NGDM CSC Docs'!155:155-"$I0]!Bc"</f>
        <v>#VALUE!</v>
      </c>
      <c r="FZ10" t="e">
        <f>'NGDM CSC Docs'!156:156-"$I0]!Bd"</f>
        <v>#VALUE!</v>
      </c>
      <c r="GA10" t="e">
        <f>'NGDM CSC Docs'!157:157-"$I0]!Be"</f>
        <v>#VALUE!</v>
      </c>
      <c r="GB10" t="e">
        <f>'NGDM CSC Docs'!158:158-"$I0]!Bf"</f>
        <v>#VALUE!</v>
      </c>
      <c r="GC10" t="e">
        <f>'NGDM CSC Docs'!159:159-"$I0]!Bg"</f>
        <v>#VALUE!</v>
      </c>
      <c r="GD10" t="e">
        <f>'NGDM CSC Docs'!160:160-"$I0]!Bh"</f>
        <v>#VALUE!</v>
      </c>
      <c r="GE10" t="e">
        <f>'NGDM CSC Docs'!161:161-"$I0]!Bi"</f>
        <v>#VALUE!</v>
      </c>
      <c r="GF10" t="e">
        <f>'NGDM CSC Docs'!162:162-"$I0]!Bj"</f>
        <v>#VALUE!</v>
      </c>
      <c r="GG10" t="e">
        <f>'NGDM CSC Docs'!163:163-"$I0]!Bk"</f>
        <v>#VALUE!</v>
      </c>
      <c r="GH10" t="e">
        <f>'NGDM CSC Docs'!164:164-"$I0]!Bl"</f>
        <v>#VALUE!</v>
      </c>
      <c r="GI10" t="e">
        <f>'NGDM CSC Docs'!165:165-"$I0]!Bm"</f>
        <v>#VALUE!</v>
      </c>
      <c r="GJ10" t="e">
        <f>'NGDM CSC Docs'!166:166-"$I0]!Bn"</f>
        <v>#VALUE!</v>
      </c>
      <c r="GK10" t="e">
        <f>'NGDM CSC Docs'!167:167-"$I0]!Bo"</f>
        <v>#VALUE!</v>
      </c>
      <c r="GL10" t="e">
        <f>'NGDM CSC Docs'!168:168-"$I0]!Bp"</f>
        <v>#VALUE!</v>
      </c>
      <c r="GM10" t="e">
        <f>'NGDM CSC Docs'!169:169-"$I0]!Bq"</f>
        <v>#VALUE!</v>
      </c>
      <c r="GN10" t="e">
        <f>'NGDM CSC Docs'!170:170-"$I0]!Br"</f>
        <v>#VALUE!</v>
      </c>
      <c r="GO10" t="e">
        <f>'NGDM CSC Docs'!171:171-"$I0]!Bs"</f>
        <v>#VALUE!</v>
      </c>
      <c r="GP10" t="e">
        <f>'NGDM CSC Docs'!172:172-"$I0]!Bt"</f>
        <v>#VALUE!</v>
      </c>
      <c r="GQ10" t="e">
        <f>'NGDM CSC Docs'!173:173-"$I0]!Bu"</f>
        <v>#VALUE!</v>
      </c>
      <c r="GR10" t="e">
        <f>'NGDM CSC Docs'!174:174-"$I0]!Bv"</f>
        <v>#VALUE!</v>
      </c>
      <c r="GS10" t="e">
        <f>'NGDM CSC Docs'!175:175-"$I0]!Bw"</f>
        <v>#VALUE!</v>
      </c>
      <c r="GT10" t="e">
        <f>'NGDM CSC Docs'!176:176-"$I0]!Bx"</f>
        <v>#VALUE!</v>
      </c>
      <c r="GU10" t="e">
        <f>'NGDM CSC Docs'!177:177-"$I0]!By"</f>
        <v>#VALUE!</v>
      </c>
      <c r="GV10" t="e">
        <f>'NGDM CSC Docs'!178:178-"$I0]!Bz"</f>
        <v>#VALUE!</v>
      </c>
      <c r="GW10" t="e">
        <f>'NGDM CSC Docs'!179:179-"$I0]!B{"</f>
        <v>#VALUE!</v>
      </c>
      <c r="GX10" t="e">
        <f>'NGDM CSC Docs'!180:180-"$I0]!B|"</f>
        <v>#VALUE!</v>
      </c>
      <c r="GY10" t="e">
        <f>'NGDM CSC Docs'!181:181-"$I0]!B}"</f>
        <v>#VALUE!</v>
      </c>
      <c r="GZ10" t="e">
        <f>'NGDM CSC Docs'!182:182-"$I0]!B~"</f>
        <v>#VALUE!</v>
      </c>
      <c r="HA10" t="e">
        <f>'NGDM CSC Docs'!183:183-"$I0]!C#"</f>
        <v>#VALUE!</v>
      </c>
      <c r="HB10" t="e">
        <f>'NGDM CSC Docs'!184:184-"$I0]!C$"</f>
        <v>#VALUE!</v>
      </c>
      <c r="HC10" t="e">
        <f>'NGDM CSC Docs'!185:185-"$I0]!C%"</f>
        <v>#VALUE!</v>
      </c>
      <c r="HD10" t="e">
        <f>'NGDM CSC Docs'!186:186-"$I0]!C&amp;"</f>
        <v>#VALUE!</v>
      </c>
      <c r="HE10" t="e">
        <f>'NGDM CSC Docs'!187:187-"$I0]!C'"</f>
        <v>#VALUE!</v>
      </c>
      <c r="HF10" t="e">
        <f>'NGDM CSC Docs'!188:188-"$I0]!C("</f>
        <v>#VALUE!</v>
      </c>
      <c r="HG10" t="e">
        <f>'NGDM CSC Docs'!189:189-"$I0]!C)"</f>
        <v>#VALUE!</v>
      </c>
      <c r="HH10" t="e">
        <f>'NGDM CSC Docs'!190:190-"$I0]!C."</f>
        <v>#VALUE!</v>
      </c>
      <c r="HI10" t="e">
        <f>'NGDM CSC Docs'!191:191-"$I0]!C/"</f>
        <v>#VALUE!</v>
      </c>
      <c r="HJ10" t="e">
        <f>'NGDM CSC Docs'!192:192-"$I0]!C0"</f>
        <v>#VALUE!</v>
      </c>
      <c r="HK10" t="e">
        <f>'NGDM CSC Docs'!193:193-"$I0]!C1"</f>
        <v>#VALUE!</v>
      </c>
      <c r="HL10" t="e">
        <f>'NGDM CSC Docs'!194:194-"$I0]!C2"</f>
        <v>#VALUE!</v>
      </c>
      <c r="HM10" t="e">
        <f>'NGDM CSC Docs'!195:195-"$I0]!C3"</f>
        <v>#VALUE!</v>
      </c>
      <c r="HN10" t="e">
        <f>'NGDM CSC Docs'!196:196-"$I0]!C4"</f>
        <v>#VALUE!</v>
      </c>
      <c r="HO10" t="e">
        <f>'NGDM CSC Docs'!197:197-"$I0]!C5"</f>
        <v>#VALUE!</v>
      </c>
      <c r="HP10" t="e">
        <f>'NGDM CSC Docs'!198:198-"$I0]!C6"</f>
        <v>#VALUE!</v>
      </c>
      <c r="HQ10" t="e">
        <f>'NGDM CSC Docs'!199:199-"$I0]!C7"</f>
        <v>#VALUE!</v>
      </c>
      <c r="HR10" t="e">
        <f>'NGDM CSC Docs'!200:200-"$I0]!C8"</f>
        <v>#VALUE!</v>
      </c>
      <c r="HS10" t="e">
        <f>'NGDM CSC Docs'!201:201-"$I0]!C9"</f>
        <v>#VALUE!</v>
      </c>
      <c r="HT10" t="e">
        <f>'NGDM CSC Docs'!202:202-"$I0]!C:"</f>
        <v>#VALUE!</v>
      </c>
      <c r="HU10" t="e">
        <f>'NGDM CSC Docs'!203:203-"$I0]!C;"</f>
        <v>#VALUE!</v>
      </c>
      <c r="HV10" t="e">
        <f>'NGDM CSC Docs'!204:204-"$I0]!C&lt;"</f>
        <v>#VALUE!</v>
      </c>
      <c r="HW10" t="e">
        <f>'NGDM CSC Docs'!205:205-"$I0]!C="</f>
        <v>#VALUE!</v>
      </c>
      <c r="HX10" t="e">
        <f>'NGDM CSC Docs'!206:206-"$I0]!C&gt;"</f>
        <v>#VALUE!</v>
      </c>
      <c r="HY10" t="e">
        <f>'NGDM CSC Docs'!207:207-"$I0]!C?"</f>
        <v>#VALUE!</v>
      </c>
      <c r="HZ10" t="e">
        <f>'NGDM CSC Docs'!208:208-"$I0]!C@"</f>
        <v>#VALUE!</v>
      </c>
      <c r="IA10" t="e">
        <f>'NGDM CSC Docs'!209:209-"$I0]!CA"</f>
        <v>#VALUE!</v>
      </c>
      <c r="IB10" t="e">
        <f>'NGDM CSC Docs'!210:210-"$I0]!CB"</f>
        <v>#VALUE!</v>
      </c>
      <c r="IC10" t="e">
        <f>'NGDM CSC Docs'!211:211-"$I0]!CC"</f>
        <v>#VALUE!</v>
      </c>
      <c r="ID10" t="e">
        <f>'NGDM CSC Docs'!212:212-"$I0]!CD"</f>
        <v>#VALUE!</v>
      </c>
      <c r="IE10" t="e">
        <f>'NGDM CSC Docs'!213:213-"$I0]!CE"</f>
        <v>#VALUE!</v>
      </c>
      <c r="IF10" t="e">
        <f>'NGDM CSC Docs'!214:214-"$I0]!CF"</f>
        <v>#VALUE!</v>
      </c>
      <c r="IG10" t="e">
        <f>'NGDM CSC Docs'!215:215-"$I0]!CG"</f>
        <v>#VALUE!</v>
      </c>
      <c r="IH10" t="e">
        <f>'NGDM CSC Docs'!216:216-"$I0]!CH"</f>
        <v>#VALUE!</v>
      </c>
      <c r="II10" t="e">
        <f>'NGDM CSC Docs'!217:217-"$I0]!CI"</f>
        <v>#VALUE!</v>
      </c>
      <c r="IJ10" t="e">
        <f>'NGDM CSC Docs'!218:218-"$I0]!CJ"</f>
        <v>#VALUE!</v>
      </c>
      <c r="IK10" t="e">
        <f>'NGDM CSC Docs'!219:219-"$I0]!CK"</f>
        <v>#VALUE!</v>
      </c>
      <c r="IL10" t="e">
        <f>'NGDM CSC Docs'!220:220-"$I0]!CL"</f>
        <v>#VALUE!</v>
      </c>
      <c r="IM10" t="e">
        <f>'NGDM CSC Docs'!221:221-"$I0]!CM"</f>
        <v>#VALUE!</v>
      </c>
      <c r="IN10" t="e">
        <f>'NGDM CSC Docs'!222:222-"$I0]!CN"</f>
        <v>#VALUE!</v>
      </c>
      <c r="IO10" t="e">
        <f>'NGDM CSC Docs'!223:223-"$I0]!CO"</f>
        <v>#VALUE!</v>
      </c>
      <c r="IP10" t="e">
        <f>'NGDM CSC Docs'!A3+"$I0]!CP"</f>
        <v>#VALUE!</v>
      </c>
      <c r="IQ10" t="e">
        <f>'NGDM CSC Docs'!B3+"$I0]!CQ"</f>
        <v>#VALUE!</v>
      </c>
      <c r="IR10" t="e">
        <f>'NGDM CSC Docs'!C3+"$I0]!CR"</f>
        <v>#VALUE!</v>
      </c>
      <c r="IS10" t="e">
        <f>'NGDM CSC Docs'!D3+"$I0]!CS"</f>
        <v>#VALUE!</v>
      </c>
      <c r="IT10" t="e">
        <f>'NGDM CSC Docs'!A4+"$I0]!CT"</f>
        <v>#VALUE!</v>
      </c>
      <c r="IU10" t="e">
        <f>'NGDM CSC Docs'!B4+"$I0]!CU"</f>
        <v>#VALUE!</v>
      </c>
      <c r="IV10" t="e">
        <f>'NGDM CSC Docs'!C4+"$I0]!CV"</f>
        <v>#VALUE!</v>
      </c>
    </row>
    <row r="11" spans="1:256" x14ac:dyDescent="0.25">
      <c r="F11" t="e">
        <f>'NGDM CSC Docs'!D4+"$I0]!CW"</f>
        <v>#VALUE!</v>
      </c>
      <c r="G11" t="e">
        <f>'NGDM CSC Docs'!A5+"$I0]!CX"</f>
        <v>#VALUE!</v>
      </c>
      <c r="H11" t="e">
        <f>'NGDM CSC Docs'!B5+"$I0]!CY"</f>
        <v>#VALUE!</v>
      </c>
      <c r="I11" t="e">
        <f>'NGDM CSC Docs'!C5+"$I0]!CZ"</f>
        <v>#VALUE!</v>
      </c>
      <c r="J11" t="e">
        <f>'NGDM CSC Docs'!D5+"$I0]!C["</f>
        <v>#VALUE!</v>
      </c>
      <c r="K11" t="e">
        <f>'NGDM CSC Docs'!A6+"$I0]!C\"</f>
        <v>#VALUE!</v>
      </c>
      <c r="L11" t="e">
        <f>'NGDM CSC Docs'!B6+"$I0]!C]"</f>
        <v>#VALUE!</v>
      </c>
      <c r="M11" t="e">
        <f>'NGDM CSC Docs'!C6+"$I0]!C^"</f>
        <v>#VALUE!</v>
      </c>
      <c r="N11" t="e">
        <f>'NGDM CSC Docs'!D6+"$I0]!C_"</f>
        <v>#VALUE!</v>
      </c>
      <c r="O11" t="e">
        <f>'NGDM CSC Docs'!A7+"$I0]!C`"</f>
        <v>#VALUE!</v>
      </c>
      <c r="P11" t="e">
        <f>'NGDM CSC Docs'!B7+"$I0]!Ca"</f>
        <v>#VALUE!</v>
      </c>
      <c r="Q11" t="e">
        <f>'NGDM CSC Docs'!C7+"$I0]!Cb"</f>
        <v>#VALUE!</v>
      </c>
      <c r="R11" t="e">
        <f>'NGDM CSC Docs'!D7+"$I0]!Cc"</f>
        <v>#VALUE!</v>
      </c>
      <c r="S11" t="e">
        <f>'NGDM CSC Docs'!A8+"$I0]!Cd"</f>
        <v>#VALUE!</v>
      </c>
      <c r="T11" t="e">
        <f>'NGDM CSC Docs'!B8+"$I0]!Ce"</f>
        <v>#VALUE!</v>
      </c>
      <c r="U11" t="e">
        <f>'NGDM CSC Docs'!C8+"$I0]!Cf"</f>
        <v>#VALUE!</v>
      </c>
      <c r="V11" t="e">
        <f>'NGDM CSC Docs'!D8+"$I0]!Cg"</f>
        <v>#VALUE!</v>
      </c>
      <c r="W11" t="e">
        <f>'NGDM CSC Docs'!A9+"$I0]!Ch"</f>
        <v>#VALUE!</v>
      </c>
      <c r="X11" t="e">
        <f>'NGDM CSC Docs'!B9+"$I0]!Ci"</f>
        <v>#VALUE!</v>
      </c>
      <c r="Y11" t="e">
        <f>'NGDM CSC Docs'!C9+"$I0]!Cj"</f>
        <v>#VALUE!</v>
      </c>
      <c r="Z11" t="e">
        <f>'NGDM CSC Docs'!D9+"$I0]!Ck"</f>
        <v>#VALUE!</v>
      </c>
      <c r="AA11" t="e">
        <f>'NGDM CSC Docs'!A10+"$I0]!Cl"</f>
        <v>#VALUE!</v>
      </c>
      <c r="AB11" t="e">
        <f>'NGDM CSC Docs'!B10+"$I0]!Cm"</f>
        <v>#VALUE!</v>
      </c>
      <c r="AC11" t="e">
        <f>'NGDM CSC Docs'!C10+"$I0]!Cn"</f>
        <v>#VALUE!</v>
      </c>
      <c r="AD11" t="e">
        <f>'NGDM CSC Docs'!D10+"$I0]!Co"</f>
        <v>#VALUE!</v>
      </c>
      <c r="AE11" t="e">
        <f>'NGDM CSC Docs'!A11+"$I0]!Cp"</f>
        <v>#VALUE!</v>
      </c>
      <c r="AF11" t="e">
        <f>'NGDM CSC Docs'!B11+"$I0]!Cq"</f>
        <v>#VALUE!</v>
      </c>
      <c r="AG11" t="e">
        <f>'NGDM CSC Docs'!C11+"$I0]!Cr"</f>
        <v>#VALUE!</v>
      </c>
      <c r="AH11" t="e">
        <f>'NGDM CSC Docs'!D11+"$I0]!Cs"</f>
        <v>#VALUE!</v>
      </c>
      <c r="AI11" t="e">
        <f>'NGDM CSC Docs'!A12+"$I0]!Ct"</f>
        <v>#VALUE!</v>
      </c>
      <c r="AJ11" t="e">
        <f>'NGDM CSC Docs'!B12+"$I0]!Cu"</f>
        <v>#VALUE!</v>
      </c>
      <c r="AK11" t="e">
        <f>'NGDM CSC Docs'!C12+"$I0]!Cv"</f>
        <v>#VALUE!</v>
      </c>
      <c r="AL11" t="e">
        <f>'NGDM CSC Docs'!D12+"$I0]!Cw"</f>
        <v>#VALUE!</v>
      </c>
      <c r="AM11" t="e">
        <f>'NGDM CSC Docs'!A13+"$I0]!Cx"</f>
        <v>#VALUE!</v>
      </c>
      <c r="AN11" t="e">
        <f>'NGDM CSC Docs'!B13+"$I0]!Cy"</f>
        <v>#VALUE!</v>
      </c>
      <c r="AO11" t="e">
        <f>'NGDM CSC Docs'!C13+"$I0]!Cz"</f>
        <v>#VALUE!</v>
      </c>
      <c r="AP11" t="e">
        <f>'NGDM CSC Docs'!D13+"$I0]!C{"</f>
        <v>#VALUE!</v>
      </c>
      <c r="AQ11" t="e">
        <f>'NGDM CSC Docs'!A14+"$I0]!C|"</f>
        <v>#VALUE!</v>
      </c>
      <c r="AR11" t="e">
        <f>'NGDM CSC Docs'!B14+"$I0]!C}"</f>
        <v>#VALUE!</v>
      </c>
      <c r="AS11" t="e">
        <f>'NGDM CSC Docs'!C14+"$I0]!C~"</f>
        <v>#VALUE!</v>
      </c>
      <c r="AT11" t="e">
        <f>'NGDM CSC Docs'!D14+"$I0]!D#"</f>
        <v>#VALUE!</v>
      </c>
      <c r="AU11" t="e">
        <f>'NGDM CSC Docs'!A15+"$I0]!D$"</f>
        <v>#VALUE!</v>
      </c>
      <c r="AV11" t="e">
        <f>'NGDM CSC Docs'!B15+"$I0]!D%"</f>
        <v>#VALUE!</v>
      </c>
      <c r="AW11" t="e">
        <f>'NGDM CSC Docs'!C15+"$I0]!D&amp;"</f>
        <v>#VALUE!</v>
      </c>
      <c r="AX11" t="e">
        <f>'NGDM CSC Docs'!D15+"$I0]!D'"</f>
        <v>#VALUE!</v>
      </c>
      <c r="AY11" t="e">
        <f>'NGDM CSC Docs'!A16+"$I0]!D("</f>
        <v>#VALUE!</v>
      </c>
      <c r="AZ11" t="e">
        <f>'NGDM CSC Docs'!B16+"$I0]!D)"</f>
        <v>#VALUE!</v>
      </c>
      <c r="BA11" t="e">
        <f>'NGDM CSC Docs'!C16+"$I0]!D."</f>
        <v>#VALUE!</v>
      </c>
      <c r="BB11" t="e">
        <f>'NGDM CSC Docs'!D16+"$I0]!D/"</f>
        <v>#VALUE!</v>
      </c>
      <c r="BC11" t="e">
        <f>'NGDM CSC Docs'!A17+"$I0]!D0"</f>
        <v>#VALUE!</v>
      </c>
      <c r="BD11" t="e">
        <f>'NGDM CSC Docs'!B17+"$I0]!D1"</f>
        <v>#VALUE!</v>
      </c>
      <c r="BE11" t="e">
        <f>'NGDM CSC Docs'!C17+"$I0]!D2"</f>
        <v>#VALUE!</v>
      </c>
      <c r="BF11" t="e">
        <f>'NGDM CSC Docs'!D17+"$I0]!D3"</f>
        <v>#VALUE!</v>
      </c>
      <c r="BG11" t="e">
        <f>'NGDM CSC Docs'!A18+"$I0]!D4"</f>
        <v>#VALUE!</v>
      </c>
      <c r="BH11" t="e">
        <f>'NGDM CSC Docs'!B18+"$I0]!D5"</f>
        <v>#VALUE!</v>
      </c>
      <c r="BI11" t="e">
        <f>'NGDM CSC Docs'!C18+"$I0]!D6"</f>
        <v>#VALUE!</v>
      </c>
      <c r="BJ11" t="e">
        <f>'NGDM CSC Docs'!D18+"$I0]!D7"</f>
        <v>#VALUE!</v>
      </c>
      <c r="BK11" t="e">
        <f>'NGDM CSC Docs'!A19+"$I0]!D8"</f>
        <v>#VALUE!</v>
      </c>
      <c r="BL11" t="e">
        <f>'NGDM CSC Docs'!B19+"$I0]!D9"</f>
        <v>#VALUE!</v>
      </c>
      <c r="BM11" t="e">
        <f>'NGDM CSC Docs'!C19+"$I0]!D:"</f>
        <v>#VALUE!</v>
      </c>
      <c r="BN11" t="e">
        <f>'NGDM CSC Docs'!D19+"$I0]!D;"</f>
        <v>#VALUE!</v>
      </c>
      <c r="BO11" t="e">
        <f>'NGDM CSC Docs'!A20+"$I0]!D&lt;"</f>
        <v>#VALUE!</v>
      </c>
      <c r="BP11" t="e">
        <f>'NGDM CSC Docs'!B20+"$I0]!D="</f>
        <v>#VALUE!</v>
      </c>
      <c r="BQ11" t="e">
        <f>'NGDM CSC Docs'!C20+"$I0]!D&gt;"</f>
        <v>#VALUE!</v>
      </c>
      <c r="BR11" t="e">
        <f>'NGDM CSC Docs'!D20+"$I0]!D?"</f>
        <v>#VALUE!</v>
      </c>
      <c r="BS11" t="e">
        <f>'NGDM CSC Docs'!A21+"$I0]!D@"</f>
        <v>#VALUE!</v>
      </c>
      <c r="BT11" t="e">
        <f>'NGDM CSC Docs'!B21+"$I0]!DA"</f>
        <v>#VALUE!</v>
      </c>
      <c r="BU11" t="e">
        <f>'NGDM CSC Docs'!C21+"$I0]!DB"</f>
        <v>#VALUE!</v>
      </c>
      <c r="BV11" t="e">
        <f>'NGDM CSC Docs'!D21+"$I0]!DC"</f>
        <v>#VALUE!</v>
      </c>
      <c r="BW11" t="e">
        <f>'NGDM CSC Docs'!A22+"$I0]!DD"</f>
        <v>#VALUE!</v>
      </c>
      <c r="BX11" t="e">
        <f>'NGDM CSC Docs'!B22+"$I0]!DE"</f>
        <v>#VALUE!</v>
      </c>
      <c r="BY11" t="e">
        <f>'NGDM CSC Docs'!C22+"$I0]!DF"</f>
        <v>#VALUE!</v>
      </c>
      <c r="BZ11" t="e">
        <f>'NGDM CSC Docs'!D22+"$I0]!DG"</f>
        <v>#VALUE!</v>
      </c>
      <c r="CA11" t="e">
        <f>'NGDM CSC Docs'!A23+"$I0]!DH"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/ > < d 1 p 1 : S e r i a l i z a b l e S e l e c t e d L a y e r M a p   i : n i l = " t r u e " / > < / W o r k b o o k M a p > 
</file>

<file path=customXml/itemProps1.xml><?xml version="1.0" encoding="utf-8"?>
<ds:datastoreItem xmlns:ds="http://schemas.openxmlformats.org/officeDocument/2006/customXml" ds:itemID="{0A5EFD67-A10E-49D2-9122-77BC11C4485C}">
  <ds:schemaRefs>
    <ds:schemaRef ds:uri="http://schemas.datacontract.org/2004/07/Microsoft.Research.Wwt.Excel.Addin"/>
    <ds:schemaRef ds:uri="Microsoft.Research.Wwt.Excel.Addin.WorkbooMa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NGDM CSC Docs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bzimmerm</cp:lastModifiedBy>
  <dcterms:created xsi:type="dcterms:W3CDTF">2011-12-23T06:48:53Z</dcterms:created>
  <dcterms:modified xsi:type="dcterms:W3CDTF">2016-02-23T14:55:57Z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0f6fb45f-1006-4035-941a-751f96da8c69</vt:lpwstr>
  </property>
  <property fmtid="{D5CDD505-2E9C-101B-9397-08002B2CF9AE}" pid="3" name="Offisync_ProviderInitializationData">
    <vt:lpwstr>https://c3.csc.com/</vt:lpwstr>
  </property>
  <property fmtid="{D5CDD505-2E9C-101B-9397-08002B2CF9AE}" pid="4" name="Offisync_UpdateToken">
    <vt:lpwstr>1</vt:lpwstr>
  </property>
  <property fmtid="{D5CDD505-2E9C-101B-9397-08002B2CF9AE}" pid="5" name="Jive_PrevVersionNumber">
    <vt:lpwstr>-1</vt:lpwstr>
  </property>
  <property fmtid="{D5CDD505-2E9C-101B-9397-08002B2CF9AE}" pid="6" name="Jive_LatestUserAccountName">
    <vt:lpwstr>bzimmerm</vt:lpwstr>
  </property>
  <property fmtid="{D5CDD505-2E9C-101B-9397-08002B2CF9AE}" pid="7" name="Jive_LatestFileFullName">
    <vt:lpwstr>9221dbea415e64984609f191f8d3ca4d</vt:lpwstr>
  </property>
  <property fmtid="{D5CDD505-2E9C-101B-9397-08002B2CF9AE}" pid="8" name="Jive_ModifiedButNotPublished">
    <vt:lpwstr>True</vt:lpwstr>
  </property>
  <property fmtid="{D5CDD505-2E9C-101B-9397-08002B2CF9AE}" pid="9" name="Offisync_UniqueId">
    <vt:lpwstr>987023</vt:lpwstr>
  </property>
</Properties>
</file>