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drawings/drawing2.xml" ContentType="application/vnd.openxmlformats-officedocument.drawing+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drawings/drawing3.xml" ContentType="application/vnd.openxmlformats-officedocument.drawing+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drawings/drawing4.xml" ContentType="application/vnd.openxmlformats-officedocument.drawing+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xl/tables/table300.xml" ContentType="application/vnd.openxmlformats-officedocument.spreadsheetml.table+xml"/>
  <Override PartName="/xl/tables/table301.xml" ContentType="application/vnd.openxmlformats-officedocument.spreadsheetml.table+xml"/>
  <Override PartName="/xl/tables/table302.xml" ContentType="application/vnd.openxmlformats-officedocument.spreadsheetml.table+xml"/>
  <Override PartName="/xl/tables/table303.xml" ContentType="application/vnd.openxmlformats-officedocument.spreadsheetml.table+xml"/>
  <Override PartName="/xl/tables/table304.xml" ContentType="application/vnd.openxmlformats-officedocument.spreadsheetml.table+xml"/>
  <Override PartName="/xl/tables/table305.xml" ContentType="application/vnd.openxmlformats-officedocument.spreadsheetml.table+xml"/>
  <Override PartName="/xl/tables/table306.xml" ContentType="application/vnd.openxmlformats-officedocument.spreadsheetml.table+xml"/>
  <Override PartName="/xl/tables/table307.xml" ContentType="application/vnd.openxmlformats-officedocument.spreadsheetml.table+xml"/>
  <Override PartName="/xl/tables/table308.xml" ContentType="application/vnd.openxmlformats-officedocument.spreadsheetml.table+xml"/>
  <Override PartName="/xl/tables/table309.xml" ContentType="application/vnd.openxmlformats-officedocument.spreadsheetml.table+xml"/>
  <Override PartName="/xl/tables/table310.xml" ContentType="application/vnd.openxmlformats-officedocument.spreadsheetml.table+xml"/>
  <Override PartName="/xl/tables/table311.xml" ContentType="application/vnd.openxmlformats-officedocument.spreadsheetml.table+xml"/>
  <Override PartName="/xl/tables/table312.xml" ContentType="application/vnd.openxmlformats-officedocument.spreadsheetml.table+xml"/>
  <Override PartName="/xl/tables/table313.xml" ContentType="application/vnd.openxmlformats-officedocument.spreadsheetml.table+xml"/>
  <Override PartName="/xl/tables/table314.xml" ContentType="application/vnd.openxmlformats-officedocument.spreadsheetml.table+xml"/>
  <Override PartName="/xl/tables/table315.xml" ContentType="application/vnd.openxmlformats-officedocument.spreadsheetml.table+xml"/>
  <Override PartName="/xl/tables/table316.xml" ContentType="application/vnd.openxmlformats-officedocument.spreadsheetml.table+xml"/>
  <Override PartName="/xl/tables/table317.xml" ContentType="application/vnd.openxmlformats-officedocument.spreadsheetml.table+xml"/>
  <Override PartName="/xl/tables/table318.xml" ContentType="application/vnd.openxmlformats-officedocument.spreadsheetml.table+xml"/>
  <Override PartName="/xl/tables/table319.xml" ContentType="application/vnd.openxmlformats-officedocument.spreadsheetml.table+xml"/>
  <Override PartName="/xl/tables/table320.xml" ContentType="application/vnd.openxmlformats-officedocument.spreadsheetml.table+xml"/>
  <Override PartName="/xl/tables/table321.xml" ContentType="application/vnd.openxmlformats-officedocument.spreadsheetml.table+xml"/>
  <Override PartName="/xl/tables/table322.xml" ContentType="application/vnd.openxmlformats-officedocument.spreadsheetml.table+xml"/>
  <Override PartName="/xl/tables/table323.xml" ContentType="application/vnd.openxmlformats-officedocument.spreadsheetml.table+xml"/>
  <Override PartName="/xl/tables/table324.xml" ContentType="application/vnd.openxmlformats-officedocument.spreadsheetml.table+xml"/>
  <Override PartName="/xl/tables/table325.xml" ContentType="application/vnd.openxmlformats-officedocument.spreadsheetml.table+xml"/>
  <Override PartName="/xl/tables/table326.xml" ContentType="application/vnd.openxmlformats-officedocument.spreadsheetml.table+xml"/>
  <Override PartName="/xl/tables/table327.xml" ContentType="application/vnd.openxmlformats-officedocument.spreadsheetml.table+xml"/>
  <Override PartName="/xl/tables/table328.xml" ContentType="application/vnd.openxmlformats-officedocument.spreadsheetml.table+xml"/>
  <Override PartName="/xl/tables/table329.xml" ContentType="application/vnd.openxmlformats-officedocument.spreadsheetml.table+xml"/>
  <Override PartName="/xl/tables/table330.xml" ContentType="application/vnd.openxmlformats-officedocument.spreadsheetml.table+xml"/>
  <Override PartName="/xl/drawings/drawing5.xml" ContentType="application/vnd.openxmlformats-officedocument.drawing+xml"/>
  <Override PartName="/xl/tables/table331.xml" ContentType="application/vnd.openxmlformats-officedocument.spreadsheetml.table+xml"/>
  <Override PartName="/xl/tables/table332.xml" ContentType="application/vnd.openxmlformats-officedocument.spreadsheetml.table+xml"/>
  <Override PartName="/xl/tables/table333.xml" ContentType="application/vnd.openxmlformats-officedocument.spreadsheetml.table+xml"/>
  <Override PartName="/xl/tables/table334.xml" ContentType="application/vnd.openxmlformats-officedocument.spreadsheetml.table+xml"/>
  <Override PartName="/xl/tables/table335.xml" ContentType="application/vnd.openxmlformats-officedocument.spreadsheetml.table+xml"/>
  <Override PartName="/xl/tables/table336.xml" ContentType="application/vnd.openxmlformats-officedocument.spreadsheetml.table+xml"/>
  <Override PartName="/xl/tables/table337.xml" ContentType="application/vnd.openxmlformats-officedocument.spreadsheetml.table+xml"/>
  <Override PartName="/xl/tables/table338.xml" ContentType="application/vnd.openxmlformats-officedocument.spreadsheetml.table+xml"/>
  <Override PartName="/xl/tables/table339.xml" ContentType="application/vnd.openxmlformats-officedocument.spreadsheetml.table+xml"/>
  <Override PartName="/xl/tables/table340.xml" ContentType="application/vnd.openxmlformats-officedocument.spreadsheetml.table+xml"/>
  <Override PartName="/xl/tables/table341.xml" ContentType="application/vnd.openxmlformats-officedocument.spreadsheetml.table+xml"/>
  <Override PartName="/xl/tables/table342.xml" ContentType="application/vnd.openxmlformats-officedocument.spreadsheetml.table+xml"/>
  <Override PartName="/xl/tables/table343.xml" ContentType="application/vnd.openxmlformats-officedocument.spreadsheetml.table+xml"/>
  <Override PartName="/xl/tables/table344.xml" ContentType="application/vnd.openxmlformats-officedocument.spreadsheetml.table+xml"/>
  <Override PartName="/xl/tables/table345.xml" ContentType="application/vnd.openxmlformats-officedocument.spreadsheetml.table+xml"/>
  <Override PartName="/xl/drawings/drawing6.xml" ContentType="application/vnd.openxmlformats-officedocument.drawing+xml"/>
  <Override PartName="/xl/tables/table346.xml" ContentType="application/vnd.openxmlformats-officedocument.spreadsheetml.table+xml"/>
  <Override PartName="/xl/tables/table347.xml" ContentType="application/vnd.openxmlformats-officedocument.spreadsheetml.table+xml"/>
  <Override PartName="/xl/tables/table348.xml" ContentType="application/vnd.openxmlformats-officedocument.spreadsheetml.table+xml"/>
  <Override PartName="/xl/tables/table349.xml" ContentType="application/vnd.openxmlformats-officedocument.spreadsheetml.table+xml"/>
  <Override PartName="/xl/tables/table350.xml" ContentType="application/vnd.openxmlformats-officedocument.spreadsheetml.table+xml"/>
  <Override PartName="/xl/tables/table351.xml" ContentType="application/vnd.openxmlformats-officedocument.spreadsheetml.table+xml"/>
  <Override PartName="/xl/tables/table352.xml" ContentType="application/vnd.openxmlformats-officedocument.spreadsheetml.table+xml"/>
  <Override PartName="/xl/tables/table353.xml" ContentType="application/vnd.openxmlformats-officedocument.spreadsheetml.table+xml"/>
  <Override PartName="/xl/tables/table354.xml" ContentType="application/vnd.openxmlformats-officedocument.spreadsheetml.table+xml"/>
  <Override PartName="/xl/tables/table355.xml" ContentType="application/vnd.openxmlformats-officedocument.spreadsheetml.table+xml"/>
  <Override PartName="/xl/tables/table356.xml" ContentType="application/vnd.openxmlformats-officedocument.spreadsheetml.table+xml"/>
  <Override PartName="/xl/tables/table357.xml" ContentType="application/vnd.openxmlformats-officedocument.spreadsheetml.table+xml"/>
  <Override PartName="/xl/tables/table358.xml" ContentType="application/vnd.openxmlformats-officedocument.spreadsheetml.table+xml"/>
  <Override PartName="/xl/tables/table359.xml" ContentType="application/vnd.openxmlformats-officedocument.spreadsheetml.table+xml"/>
  <Override PartName="/xl/tables/table360.xml" ContentType="application/vnd.openxmlformats-officedocument.spreadsheetml.table+xml"/>
  <Override PartName="/xl/drawings/drawing7.xml" ContentType="application/vnd.openxmlformats-officedocument.drawing+xml"/>
  <Override PartName="/xl/tables/table361.xml" ContentType="application/vnd.openxmlformats-officedocument.spreadsheetml.table+xml"/>
  <Override PartName="/xl/tables/table362.xml" ContentType="application/vnd.openxmlformats-officedocument.spreadsheetml.table+xml"/>
  <Override PartName="/xl/tables/table363.xml" ContentType="application/vnd.openxmlformats-officedocument.spreadsheetml.table+xml"/>
  <Override PartName="/xl/tables/table364.xml" ContentType="application/vnd.openxmlformats-officedocument.spreadsheetml.table+xml"/>
  <Override PartName="/xl/tables/table365.xml" ContentType="application/vnd.openxmlformats-officedocument.spreadsheetml.table+xml"/>
  <Override PartName="/xl/tables/table366.xml" ContentType="application/vnd.openxmlformats-officedocument.spreadsheetml.table+xml"/>
  <Override PartName="/xl/tables/table367.xml" ContentType="application/vnd.openxmlformats-officedocument.spreadsheetml.table+xml"/>
  <Override PartName="/xl/tables/table368.xml" ContentType="application/vnd.openxmlformats-officedocument.spreadsheetml.table+xml"/>
  <Override PartName="/xl/tables/table369.xml" ContentType="application/vnd.openxmlformats-officedocument.spreadsheetml.table+xml"/>
  <Override PartName="/xl/tables/table370.xml" ContentType="application/vnd.openxmlformats-officedocument.spreadsheetml.table+xml"/>
  <Override PartName="/xl/tables/table371.xml" ContentType="application/vnd.openxmlformats-officedocument.spreadsheetml.table+xml"/>
  <Override PartName="/xl/tables/table372.xml" ContentType="application/vnd.openxmlformats-officedocument.spreadsheetml.table+xml"/>
  <Override PartName="/xl/tables/table373.xml" ContentType="application/vnd.openxmlformats-officedocument.spreadsheetml.table+xml"/>
  <Override PartName="/xl/tables/table374.xml" ContentType="application/vnd.openxmlformats-officedocument.spreadsheetml.table+xml"/>
  <Override PartName="/xl/tables/table375.xml" ContentType="application/vnd.openxmlformats-officedocument.spreadsheetml.table+xml"/>
  <Override PartName="/xl/tables/table376.xml" ContentType="application/vnd.openxmlformats-officedocument.spreadsheetml.table+xml"/>
  <Override PartName="/xl/tables/table377.xml" ContentType="application/vnd.openxmlformats-officedocument.spreadsheetml.table+xml"/>
  <Override PartName="/xl/tables/table378.xml" ContentType="application/vnd.openxmlformats-officedocument.spreadsheetml.table+xml"/>
  <Override PartName="/xl/tables/table379.xml" ContentType="application/vnd.openxmlformats-officedocument.spreadsheetml.table+xml"/>
  <Override PartName="/xl/tables/table380.xml" ContentType="application/vnd.openxmlformats-officedocument.spreadsheetml.table+xml"/>
  <Override PartName="/xl/tables/table381.xml" ContentType="application/vnd.openxmlformats-officedocument.spreadsheetml.table+xml"/>
  <Override PartName="/xl/tables/table382.xml" ContentType="application/vnd.openxmlformats-officedocument.spreadsheetml.table+xml"/>
  <Override PartName="/xl/tables/table383.xml" ContentType="application/vnd.openxmlformats-officedocument.spreadsheetml.table+xml"/>
  <Override PartName="/xl/tables/table384.xml" ContentType="application/vnd.openxmlformats-officedocument.spreadsheetml.table+xml"/>
  <Override PartName="/xl/drawings/drawing8.xml" ContentType="application/vnd.openxmlformats-officedocument.drawing+xml"/>
  <Override PartName="/xl/tables/table385.xml" ContentType="application/vnd.openxmlformats-officedocument.spreadsheetml.table+xml"/>
  <Override PartName="/xl/tables/table386.xml" ContentType="application/vnd.openxmlformats-officedocument.spreadsheetml.table+xml"/>
  <Override PartName="/xl/tables/table387.xml" ContentType="application/vnd.openxmlformats-officedocument.spreadsheetml.table+xml"/>
  <Override PartName="/xl/tables/table388.xml" ContentType="application/vnd.openxmlformats-officedocument.spreadsheetml.table+xml"/>
  <Override PartName="/xl/tables/table389.xml" ContentType="application/vnd.openxmlformats-officedocument.spreadsheetml.table+xml"/>
  <Override PartName="/xl/tables/table390.xml" ContentType="application/vnd.openxmlformats-officedocument.spreadsheetml.table+xml"/>
  <Override PartName="/xl/drawings/drawing9.xml" ContentType="application/vnd.openxmlformats-officedocument.drawing+xml"/>
  <Override PartName="/xl/tables/table391.xml" ContentType="application/vnd.openxmlformats-officedocument.spreadsheetml.table+xml"/>
  <Override PartName="/xl/tables/table392.xml" ContentType="application/vnd.openxmlformats-officedocument.spreadsheetml.table+xml"/>
  <Override PartName="/xl/tables/table393.xml" ContentType="application/vnd.openxmlformats-officedocument.spreadsheetml.table+xml"/>
  <Override PartName="/xl/tables/table394.xml" ContentType="application/vnd.openxmlformats-officedocument.spreadsheetml.table+xml"/>
  <Override PartName="/xl/tables/table395.xml" ContentType="application/vnd.openxmlformats-officedocument.spreadsheetml.table+xml"/>
  <Override PartName="/xl/tables/table396.xml" ContentType="application/vnd.openxmlformats-officedocument.spreadsheetml.table+xml"/>
  <Override PartName="/xl/tables/table397.xml" ContentType="application/vnd.openxmlformats-officedocument.spreadsheetml.table+xml"/>
  <Override PartName="/xl/tables/table398.xml" ContentType="application/vnd.openxmlformats-officedocument.spreadsheetml.table+xml"/>
  <Override PartName="/xl/tables/table399.xml" ContentType="application/vnd.openxmlformats-officedocument.spreadsheetml.table+xml"/>
  <Override PartName="/xl/tables/table400.xml" ContentType="application/vnd.openxmlformats-officedocument.spreadsheetml.table+xml"/>
  <Override PartName="/xl/tables/table401.xml" ContentType="application/vnd.openxmlformats-officedocument.spreadsheetml.table+xml"/>
  <Override PartName="/xl/tables/table402.xml" ContentType="application/vnd.openxmlformats-officedocument.spreadsheetml.table+xml"/>
  <Override PartName="/xl/tables/table403.xml" ContentType="application/vnd.openxmlformats-officedocument.spreadsheetml.table+xml"/>
  <Override PartName="/xl/tables/table404.xml" ContentType="application/vnd.openxmlformats-officedocument.spreadsheetml.table+xml"/>
  <Override PartName="/xl/tables/table405.xml" ContentType="application/vnd.openxmlformats-officedocument.spreadsheetml.table+xml"/>
  <Override PartName="/xl/tables/table406.xml" ContentType="application/vnd.openxmlformats-officedocument.spreadsheetml.table+xml"/>
  <Override PartName="/xl/tables/table407.xml" ContentType="application/vnd.openxmlformats-officedocument.spreadsheetml.table+xml"/>
  <Override PartName="/xl/tables/table408.xml" ContentType="application/vnd.openxmlformats-officedocument.spreadsheetml.table+xml"/>
  <Override PartName="/xl/tables/table409.xml" ContentType="application/vnd.openxmlformats-officedocument.spreadsheetml.table+xml"/>
  <Override PartName="/xl/tables/table410.xml" ContentType="application/vnd.openxmlformats-officedocument.spreadsheetml.table+xml"/>
  <Override PartName="/xl/tables/table411.xml" ContentType="application/vnd.openxmlformats-officedocument.spreadsheetml.table+xml"/>
  <Override PartName="/xl/drawings/drawing10.xml" ContentType="application/vnd.openxmlformats-officedocument.drawing+xml"/>
  <Override PartName="/xl/tables/table412.xml" ContentType="application/vnd.openxmlformats-officedocument.spreadsheetml.table+xml"/>
  <Override PartName="/xl/tables/table413.xml" ContentType="application/vnd.openxmlformats-officedocument.spreadsheetml.table+xml"/>
  <Override PartName="/xl/tables/table414.xml" ContentType="application/vnd.openxmlformats-officedocument.spreadsheetml.table+xml"/>
  <Override PartName="/xl/tables/table415.xml" ContentType="application/vnd.openxmlformats-officedocument.spreadsheetml.table+xml"/>
  <Override PartName="/xl/tables/table416.xml" ContentType="application/vnd.openxmlformats-officedocument.spreadsheetml.table+xml"/>
  <Override PartName="/xl/tables/table417.xml" ContentType="application/vnd.openxmlformats-officedocument.spreadsheetml.table+xml"/>
  <Override PartName="/xl/tables/table418.xml" ContentType="application/vnd.openxmlformats-officedocument.spreadsheetml.table+xml"/>
  <Override PartName="/xl/tables/table419.xml" ContentType="application/vnd.openxmlformats-officedocument.spreadsheetml.table+xml"/>
  <Override PartName="/xl/tables/table420.xml" ContentType="application/vnd.openxmlformats-officedocument.spreadsheetml.table+xml"/>
  <Override PartName="/xl/tables/table421.xml" ContentType="application/vnd.openxmlformats-officedocument.spreadsheetml.table+xml"/>
  <Override PartName="/xl/tables/table422.xml" ContentType="application/vnd.openxmlformats-officedocument.spreadsheetml.table+xml"/>
  <Override PartName="/xl/tables/table423.xml" ContentType="application/vnd.openxmlformats-officedocument.spreadsheetml.table+xml"/>
  <Override PartName="/xl/tables/table424.xml" ContentType="application/vnd.openxmlformats-officedocument.spreadsheetml.table+xml"/>
  <Override PartName="/xl/tables/table425.xml" ContentType="application/vnd.openxmlformats-officedocument.spreadsheetml.table+xml"/>
  <Override PartName="/xl/tables/table426.xml" ContentType="application/vnd.openxmlformats-officedocument.spreadsheetml.table+xml"/>
  <Override PartName="/xl/tables/table427.xml" ContentType="application/vnd.openxmlformats-officedocument.spreadsheetml.table+xml"/>
  <Override PartName="/xl/tables/table428.xml" ContentType="application/vnd.openxmlformats-officedocument.spreadsheetml.table+xml"/>
  <Override PartName="/xl/tables/table429.xml" ContentType="application/vnd.openxmlformats-officedocument.spreadsheetml.table+xml"/>
  <Override PartName="/xl/tables/table430.xml" ContentType="application/vnd.openxmlformats-officedocument.spreadsheetml.table+xml"/>
  <Override PartName="/xl/tables/table431.xml" ContentType="application/vnd.openxmlformats-officedocument.spreadsheetml.table+xml"/>
  <Override PartName="/xl/tables/table432.xml" ContentType="application/vnd.openxmlformats-officedocument.spreadsheetml.table+xml"/>
  <Override PartName="/xl/tables/table433.xml" ContentType="application/vnd.openxmlformats-officedocument.spreadsheetml.table+xml"/>
  <Override PartName="/xl/tables/table434.xml" ContentType="application/vnd.openxmlformats-officedocument.spreadsheetml.table+xml"/>
  <Override PartName="/xl/tables/table435.xml" ContentType="application/vnd.openxmlformats-officedocument.spreadsheetml.table+xml"/>
  <Override PartName="/xl/tables/table436.xml" ContentType="application/vnd.openxmlformats-officedocument.spreadsheetml.table+xml"/>
  <Override PartName="/xl/tables/table437.xml" ContentType="application/vnd.openxmlformats-officedocument.spreadsheetml.table+xml"/>
  <Override PartName="/xl/tables/table438.xml" ContentType="application/vnd.openxmlformats-officedocument.spreadsheetml.table+xml"/>
  <Override PartName="/xl/tables/table439.xml" ContentType="application/vnd.openxmlformats-officedocument.spreadsheetml.table+xml"/>
  <Override PartName="/xl/tables/table440.xml" ContentType="application/vnd.openxmlformats-officedocument.spreadsheetml.table+xml"/>
  <Override PartName="/xl/tables/table441.xml" ContentType="application/vnd.openxmlformats-officedocument.spreadsheetml.table+xml"/>
  <Override PartName="/xl/tables/table442.xml" ContentType="application/vnd.openxmlformats-officedocument.spreadsheetml.table+xml"/>
  <Override PartName="/xl/tables/table443.xml" ContentType="application/vnd.openxmlformats-officedocument.spreadsheetml.table+xml"/>
  <Override PartName="/xl/tables/table444.xml" ContentType="application/vnd.openxmlformats-officedocument.spreadsheetml.table+xml"/>
  <Override PartName="/xl/tables/table445.xml" ContentType="application/vnd.openxmlformats-officedocument.spreadsheetml.table+xml"/>
  <Override PartName="/xl/tables/table446.xml" ContentType="application/vnd.openxmlformats-officedocument.spreadsheetml.table+xml"/>
  <Override PartName="/xl/tables/table447.xml" ContentType="application/vnd.openxmlformats-officedocument.spreadsheetml.table+xml"/>
  <Override PartName="/xl/tables/table448.xml" ContentType="application/vnd.openxmlformats-officedocument.spreadsheetml.table+xml"/>
  <Override PartName="/xl/tables/table449.xml" ContentType="application/vnd.openxmlformats-officedocument.spreadsheetml.table+xml"/>
  <Override PartName="/xl/tables/table450.xml" ContentType="application/vnd.openxmlformats-officedocument.spreadsheetml.table+xml"/>
  <Override PartName="/xl/tables/table451.xml" ContentType="application/vnd.openxmlformats-officedocument.spreadsheetml.table+xml"/>
  <Override PartName="/xl/tables/table452.xml" ContentType="application/vnd.openxmlformats-officedocument.spreadsheetml.table+xml"/>
  <Override PartName="/xl/tables/table453.xml" ContentType="application/vnd.openxmlformats-officedocument.spreadsheetml.table+xml"/>
  <Override PartName="/xl/drawings/drawing11.xml" ContentType="application/vnd.openxmlformats-officedocument.drawing+xml"/>
  <Override PartName="/xl/tables/table454.xml" ContentType="application/vnd.openxmlformats-officedocument.spreadsheetml.table+xml"/>
  <Override PartName="/xl/tables/table455.xml" ContentType="application/vnd.openxmlformats-officedocument.spreadsheetml.table+xml"/>
  <Override PartName="/xl/tables/table456.xml" ContentType="application/vnd.openxmlformats-officedocument.spreadsheetml.table+xml"/>
  <Override PartName="/xl/tables/table457.xml" ContentType="application/vnd.openxmlformats-officedocument.spreadsheetml.table+xml"/>
  <Override PartName="/xl/tables/table458.xml" ContentType="application/vnd.openxmlformats-officedocument.spreadsheetml.table+xml"/>
  <Override PartName="/xl/tables/table459.xml" ContentType="application/vnd.openxmlformats-officedocument.spreadsheetml.table+xml"/>
  <Override PartName="/xl/tables/table460.xml" ContentType="application/vnd.openxmlformats-officedocument.spreadsheetml.table+xml"/>
  <Override PartName="/xl/tables/table461.xml" ContentType="application/vnd.openxmlformats-officedocument.spreadsheetml.table+xml"/>
  <Override PartName="/xl/tables/table462.xml" ContentType="application/vnd.openxmlformats-officedocument.spreadsheetml.table+xml"/>
  <Override PartName="/xl/tables/table463.xml" ContentType="application/vnd.openxmlformats-officedocument.spreadsheetml.table+xml"/>
  <Override PartName="/xl/tables/table464.xml" ContentType="application/vnd.openxmlformats-officedocument.spreadsheetml.table+xml"/>
  <Override PartName="/xl/tables/table465.xml" ContentType="application/vnd.openxmlformats-officedocument.spreadsheetml.table+xml"/>
  <Override PartName="/xl/tables/table466.xml" ContentType="application/vnd.openxmlformats-officedocument.spreadsheetml.table+xml"/>
  <Override PartName="/xl/tables/table467.xml" ContentType="application/vnd.openxmlformats-officedocument.spreadsheetml.table+xml"/>
  <Override PartName="/xl/tables/table468.xml" ContentType="application/vnd.openxmlformats-officedocument.spreadsheetml.table+xml"/>
  <Override PartName="/xl/tables/table469.xml" ContentType="application/vnd.openxmlformats-officedocument.spreadsheetml.table+xml"/>
  <Override PartName="/xl/tables/table470.xml" ContentType="application/vnd.openxmlformats-officedocument.spreadsheetml.table+xml"/>
  <Override PartName="/xl/tables/table471.xml" ContentType="application/vnd.openxmlformats-officedocument.spreadsheetml.table+xml"/>
  <Override PartName="/xl/drawings/drawing12.xml" ContentType="application/vnd.openxmlformats-officedocument.drawing+xml"/>
  <Override PartName="/xl/tables/table472.xml" ContentType="application/vnd.openxmlformats-officedocument.spreadsheetml.table+xml"/>
  <Override PartName="/xl/tables/table473.xml" ContentType="application/vnd.openxmlformats-officedocument.spreadsheetml.table+xml"/>
  <Override PartName="/xl/tables/table474.xml" ContentType="application/vnd.openxmlformats-officedocument.spreadsheetml.table+xml"/>
  <Override PartName="/xl/tables/table475.xml" ContentType="application/vnd.openxmlformats-officedocument.spreadsheetml.table+xml"/>
  <Override PartName="/xl/tables/table476.xml" ContentType="application/vnd.openxmlformats-officedocument.spreadsheetml.table+xml"/>
  <Override PartName="/xl/tables/table477.xml" ContentType="application/vnd.openxmlformats-officedocument.spreadsheetml.table+xml"/>
  <Override PartName="/xl/tables/table478.xml" ContentType="application/vnd.openxmlformats-officedocument.spreadsheetml.table+xml"/>
  <Override PartName="/xl/tables/table479.xml" ContentType="application/vnd.openxmlformats-officedocument.spreadsheetml.table+xml"/>
  <Override PartName="/xl/tables/table480.xml" ContentType="application/vnd.openxmlformats-officedocument.spreadsheetml.table+xml"/>
  <Override PartName="/xl/tables/table481.xml" ContentType="application/vnd.openxmlformats-officedocument.spreadsheetml.table+xml"/>
  <Override PartName="/xl/tables/table482.xml" ContentType="application/vnd.openxmlformats-officedocument.spreadsheetml.table+xml"/>
  <Override PartName="/xl/tables/table483.xml" ContentType="application/vnd.openxmlformats-officedocument.spreadsheetml.table+xml"/>
  <Override PartName="/xl/tables/table484.xml" ContentType="application/vnd.openxmlformats-officedocument.spreadsheetml.table+xml"/>
  <Override PartName="/xl/tables/table485.xml" ContentType="application/vnd.openxmlformats-officedocument.spreadsheetml.table+xml"/>
  <Override PartName="/xl/tables/table486.xml" ContentType="application/vnd.openxmlformats-officedocument.spreadsheetml.table+xml"/>
  <Override PartName="/xl/tables/table487.xml" ContentType="application/vnd.openxmlformats-officedocument.spreadsheetml.table+xml"/>
  <Override PartName="/xl/tables/table488.xml" ContentType="application/vnd.openxmlformats-officedocument.spreadsheetml.table+xml"/>
  <Override PartName="/xl/tables/table489.xml" ContentType="application/vnd.openxmlformats-officedocument.spreadsheetml.table+xml"/>
  <Override PartName="/xl/tables/table490.xml" ContentType="application/vnd.openxmlformats-officedocument.spreadsheetml.table+xml"/>
  <Override PartName="/xl/tables/table491.xml" ContentType="application/vnd.openxmlformats-officedocument.spreadsheetml.table+xml"/>
  <Override PartName="/xl/tables/table492.xml" ContentType="application/vnd.openxmlformats-officedocument.spreadsheetml.table+xml"/>
  <Override PartName="/xl/tables/table493.xml" ContentType="application/vnd.openxmlformats-officedocument.spreadsheetml.table+xml"/>
  <Override PartName="/xl/tables/table494.xml" ContentType="application/vnd.openxmlformats-officedocument.spreadsheetml.table+xml"/>
  <Override PartName="/xl/tables/table495.xml" ContentType="application/vnd.openxmlformats-officedocument.spreadsheetml.table+xml"/>
  <Override PartName="/xl/tables/table496.xml" ContentType="application/vnd.openxmlformats-officedocument.spreadsheetml.table+xml"/>
  <Override PartName="/xl/tables/table497.xml" ContentType="application/vnd.openxmlformats-officedocument.spreadsheetml.table+xml"/>
  <Override PartName="/xl/tables/table498.xml" ContentType="application/vnd.openxmlformats-officedocument.spreadsheetml.table+xml"/>
  <Override PartName="/xl/tables/table499.xml" ContentType="application/vnd.openxmlformats-officedocument.spreadsheetml.table+xml"/>
  <Override PartName="/xl/tables/table500.xml" ContentType="application/vnd.openxmlformats-officedocument.spreadsheetml.table+xml"/>
  <Override PartName="/xl/tables/table501.xml" ContentType="application/vnd.openxmlformats-officedocument.spreadsheetml.table+xml"/>
  <Override PartName="/xl/tables/table502.xml" ContentType="application/vnd.openxmlformats-officedocument.spreadsheetml.table+xml"/>
  <Override PartName="/xl/tables/table503.xml" ContentType="application/vnd.openxmlformats-officedocument.spreadsheetml.table+xml"/>
  <Override PartName="/xl/tables/table504.xml" ContentType="application/vnd.openxmlformats-officedocument.spreadsheetml.table+xml"/>
  <Override PartName="/xl/comments2.xml" ContentType="application/vnd.openxmlformats-officedocument.spreadsheetml.comments+xml"/>
  <Override PartName="/xl/drawings/drawing13.xml" ContentType="application/vnd.openxmlformats-officedocument.drawing+xml"/>
  <Override PartName="/xl/tables/table505.xml" ContentType="application/vnd.openxmlformats-officedocument.spreadsheetml.table+xml"/>
  <Override PartName="/xl/tables/table506.xml" ContentType="application/vnd.openxmlformats-officedocument.spreadsheetml.table+xml"/>
  <Override PartName="/xl/tables/table507.xml" ContentType="application/vnd.openxmlformats-officedocument.spreadsheetml.table+xml"/>
  <Override PartName="/xl/tables/table508.xml" ContentType="application/vnd.openxmlformats-officedocument.spreadsheetml.table+xml"/>
  <Override PartName="/xl/tables/table509.xml" ContentType="application/vnd.openxmlformats-officedocument.spreadsheetml.table+xml"/>
  <Override PartName="/xl/tables/table510.xml" ContentType="application/vnd.openxmlformats-officedocument.spreadsheetml.table+xml"/>
  <Override PartName="/xl/tables/table511.xml" ContentType="application/vnd.openxmlformats-officedocument.spreadsheetml.table+xml"/>
  <Override PartName="/xl/tables/table512.xml" ContentType="application/vnd.openxmlformats-officedocument.spreadsheetml.table+xml"/>
  <Override PartName="/xl/tables/table513.xml" ContentType="application/vnd.openxmlformats-officedocument.spreadsheetml.table+xml"/>
  <Override PartName="/xl/tables/table514.xml" ContentType="application/vnd.openxmlformats-officedocument.spreadsheetml.table+xml"/>
  <Override PartName="/xl/tables/table515.xml" ContentType="application/vnd.openxmlformats-officedocument.spreadsheetml.table+xml"/>
  <Override PartName="/xl/tables/table516.xml" ContentType="application/vnd.openxmlformats-officedocument.spreadsheetml.table+xml"/>
  <Override PartName="/xl/tables/table517.xml" ContentType="application/vnd.openxmlformats-officedocument.spreadsheetml.table+xml"/>
  <Override PartName="/xl/tables/table518.xml" ContentType="application/vnd.openxmlformats-officedocument.spreadsheetml.table+xml"/>
  <Override PartName="/xl/tables/table519.xml" ContentType="application/vnd.openxmlformats-officedocument.spreadsheetml.table+xml"/>
  <Override PartName="/xl/tables/table520.xml" ContentType="application/vnd.openxmlformats-officedocument.spreadsheetml.table+xml"/>
  <Override PartName="/xl/tables/table521.xml" ContentType="application/vnd.openxmlformats-officedocument.spreadsheetml.table+xml"/>
  <Override PartName="/xl/tables/table522.xml" ContentType="application/vnd.openxmlformats-officedocument.spreadsheetml.table+xml"/>
  <Override PartName="/xl/tables/table523.xml" ContentType="application/vnd.openxmlformats-officedocument.spreadsheetml.table+xml"/>
  <Override PartName="/xl/tables/table524.xml" ContentType="application/vnd.openxmlformats-officedocument.spreadsheetml.table+xml"/>
  <Override PartName="/xl/tables/table525.xml" ContentType="application/vnd.openxmlformats-officedocument.spreadsheetml.table+xml"/>
  <Override PartName="/xl/tables/table526.xml" ContentType="application/vnd.openxmlformats-officedocument.spreadsheetml.table+xml"/>
  <Override PartName="/xl/tables/table527.xml" ContentType="application/vnd.openxmlformats-officedocument.spreadsheetml.table+xml"/>
  <Override PartName="/xl/tables/table528.xml" ContentType="application/vnd.openxmlformats-officedocument.spreadsheetml.table+xml"/>
  <Override PartName="/xl/tables/table529.xml" ContentType="application/vnd.openxmlformats-officedocument.spreadsheetml.table+xml"/>
  <Override PartName="/xl/tables/table530.xml" ContentType="application/vnd.openxmlformats-officedocument.spreadsheetml.table+xml"/>
  <Override PartName="/xl/tables/table531.xml" ContentType="application/vnd.openxmlformats-officedocument.spreadsheetml.table+xml"/>
  <Override PartName="/xl/tables/table532.xml" ContentType="application/vnd.openxmlformats-officedocument.spreadsheetml.table+xml"/>
  <Override PartName="/xl/tables/table533.xml" ContentType="application/vnd.openxmlformats-officedocument.spreadsheetml.table+xml"/>
  <Override PartName="/xl/tables/table534.xml" ContentType="application/vnd.openxmlformats-officedocument.spreadsheetml.table+xml"/>
  <Override PartName="/xl/tables/table535.xml" ContentType="application/vnd.openxmlformats-officedocument.spreadsheetml.table+xml"/>
  <Override PartName="/xl/tables/table536.xml" ContentType="application/vnd.openxmlformats-officedocument.spreadsheetml.table+xml"/>
  <Override PartName="/xl/tables/table537.xml" ContentType="application/vnd.openxmlformats-officedocument.spreadsheetml.table+xml"/>
  <Override PartName="/xl/tables/table538.xml" ContentType="application/vnd.openxmlformats-officedocument.spreadsheetml.table+xml"/>
  <Override PartName="/xl/tables/table539.xml" ContentType="application/vnd.openxmlformats-officedocument.spreadsheetml.table+xml"/>
  <Override PartName="/xl/tables/table540.xml" ContentType="application/vnd.openxmlformats-officedocument.spreadsheetml.table+xml"/>
  <Override PartName="/xl/tables/table541.xml" ContentType="application/vnd.openxmlformats-officedocument.spreadsheetml.table+xml"/>
  <Override PartName="/xl/tables/table542.xml" ContentType="application/vnd.openxmlformats-officedocument.spreadsheetml.table+xml"/>
  <Override PartName="/xl/tables/table543.xml" ContentType="application/vnd.openxmlformats-officedocument.spreadsheetml.table+xml"/>
  <Override PartName="/xl/tables/table544.xml" ContentType="application/vnd.openxmlformats-officedocument.spreadsheetml.table+xml"/>
  <Override PartName="/xl/tables/table545.xml" ContentType="application/vnd.openxmlformats-officedocument.spreadsheetml.table+xml"/>
  <Override PartName="/xl/tables/table546.xml" ContentType="application/vnd.openxmlformats-officedocument.spreadsheetml.table+xml"/>
  <Override PartName="/xl/tables/table547.xml" ContentType="application/vnd.openxmlformats-officedocument.spreadsheetml.table+xml"/>
  <Override PartName="/xl/tables/table548.xml" ContentType="application/vnd.openxmlformats-officedocument.spreadsheetml.table+xml"/>
  <Override PartName="/xl/tables/table549.xml" ContentType="application/vnd.openxmlformats-officedocument.spreadsheetml.table+xml"/>
  <Override PartName="/xl/tables/table550.xml" ContentType="application/vnd.openxmlformats-officedocument.spreadsheetml.table+xml"/>
  <Override PartName="/xl/tables/table551.xml" ContentType="application/vnd.openxmlformats-officedocument.spreadsheetml.table+xml"/>
  <Override PartName="/xl/tables/table552.xml" ContentType="application/vnd.openxmlformats-officedocument.spreadsheetml.table+xml"/>
  <Override PartName="/xl/tables/table553.xml" ContentType="application/vnd.openxmlformats-officedocument.spreadsheetml.table+xml"/>
  <Override PartName="/xl/tables/table554.xml" ContentType="application/vnd.openxmlformats-officedocument.spreadsheetml.table+xml"/>
  <Override PartName="/xl/tables/table555.xml" ContentType="application/vnd.openxmlformats-officedocument.spreadsheetml.table+xml"/>
  <Override PartName="/xl/tables/table556.xml" ContentType="application/vnd.openxmlformats-officedocument.spreadsheetml.table+xml"/>
  <Override PartName="/xl/tables/table557.xml" ContentType="application/vnd.openxmlformats-officedocument.spreadsheetml.table+xml"/>
  <Override PartName="/xl/tables/table558.xml" ContentType="application/vnd.openxmlformats-officedocument.spreadsheetml.table+xml"/>
  <Override PartName="/xl/tables/table559.xml" ContentType="application/vnd.openxmlformats-officedocument.spreadsheetml.table+xml"/>
  <Override PartName="/xl/tables/table560.xml" ContentType="application/vnd.openxmlformats-officedocument.spreadsheetml.table+xml"/>
  <Override PartName="/xl/tables/table561.xml" ContentType="application/vnd.openxmlformats-officedocument.spreadsheetml.table+xml"/>
  <Override PartName="/xl/tables/table562.xml" ContentType="application/vnd.openxmlformats-officedocument.spreadsheetml.table+xml"/>
  <Override PartName="/xl/tables/table563.xml" ContentType="application/vnd.openxmlformats-officedocument.spreadsheetml.table+xml"/>
  <Override PartName="/xl/tables/table564.xml" ContentType="application/vnd.openxmlformats-officedocument.spreadsheetml.table+xml"/>
  <Override PartName="/xl/tables/table565.xml" ContentType="application/vnd.openxmlformats-officedocument.spreadsheetml.table+xml"/>
  <Override PartName="/xl/tables/table566.xml" ContentType="application/vnd.openxmlformats-officedocument.spreadsheetml.table+xml"/>
  <Override PartName="/xl/tables/table567.xml" ContentType="application/vnd.openxmlformats-officedocument.spreadsheetml.table+xml"/>
  <Override PartName="/xl/tables/table568.xml" ContentType="application/vnd.openxmlformats-officedocument.spreadsheetml.table+xml"/>
  <Override PartName="/xl/tables/table569.xml" ContentType="application/vnd.openxmlformats-officedocument.spreadsheetml.table+xml"/>
  <Override PartName="/xl/tables/table570.xml" ContentType="application/vnd.openxmlformats-officedocument.spreadsheetml.table+xml"/>
  <Override PartName="/xl/tables/table571.xml" ContentType="application/vnd.openxmlformats-officedocument.spreadsheetml.table+xml"/>
  <Override PartName="/xl/tables/table572.xml" ContentType="application/vnd.openxmlformats-officedocument.spreadsheetml.table+xml"/>
  <Override PartName="/xl/tables/table573.xml" ContentType="application/vnd.openxmlformats-officedocument.spreadsheetml.table+xml"/>
  <Override PartName="/xl/tables/table574.xml" ContentType="application/vnd.openxmlformats-officedocument.spreadsheetml.table+xml"/>
  <Override PartName="/xl/tables/table575.xml" ContentType="application/vnd.openxmlformats-officedocument.spreadsheetml.table+xml"/>
  <Override PartName="/xl/tables/table576.xml" ContentType="application/vnd.openxmlformats-officedocument.spreadsheetml.table+xml"/>
  <Override PartName="/xl/tables/table577.xml" ContentType="application/vnd.openxmlformats-officedocument.spreadsheetml.table+xml"/>
  <Override PartName="/xl/tables/table578.xml" ContentType="application/vnd.openxmlformats-officedocument.spreadsheetml.table+xml"/>
  <Override PartName="/xl/tables/table579.xml" ContentType="application/vnd.openxmlformats-officedocument.spreadsheetml.table+xml"/>
  <Override PartName="/xl/tables/table580.xml" ContentType="application/vnd.openxmlformats-officedocument.spreadsheetml.table+xml"/>
  <Override PartName="/xl/tables/table581.xml" ContentType="application/vnd.openxmlformats-officedocument.spreadsheetml.table+xml"/>
  <Override PartName="/xl/tables/table582.xml" ContentType="application/vnd.openxmlformats-officedocument.spreadsheetml.table+xml"/>
  <Override PartName="/xl/tables/table583.xml" ContentType="application/vnd.openxmlformats-officedocument.spreadsheetml.table+xml"/>
  <Override PartName="/xl/tables/table584.xml" ContentType="application/vnd.openxmlformats-officedocument.spreadsheetml.table+xml"/>
  <Override PartName="/xl/tables/table585.xml" ContentType="application/vnd.openxmlformats-officedocument.spreadsheetml.table+xml"/>
  <Override PartName="/xl/tables/table586.xml" ContentType="application/vnd.openxmlformats-officedocument.spreadsheetml.table+xml"/>
  <Override PartName="/xl/tables/table587.xml" ContentType="application/vnd.openxmlformats-officedocument.spreadsheetml.table+xml"/>
  <Override PartName="/xl/tables/table588.xml" ContentType="application/vnd.openxmlformats-officedocument.spreadsheetml.table+xml"/>
  <Override PartName="/xl/tables/table589.xml" ContentType="application/vnd.openxmlformats-officedocument.spreadsheetml.table+xml"/>
  <Override PartName="/xl/tables/table590.xml" ContentType="application/vnd.openxmlformats-officedocument.spreadsheetml.table+xml"/>
  <Override PartName="/xl/tables/table591.xml" ContentType="application/vnd.openxmlformats-officedocument.spreadsheetml.table+xml"/>
  <Override PartName="/xl/tables/table592.xml" ContentType="application/vnd.openxmlformats-officedocument.spreadsheetml.table+xml"/>
  <Override PartName="/xl/tables/table593.xml" ContentType="application/vnd.openxmlformats-officedocument.spreadsheetml.table+xml"/>
  <Override PartName="/xl/tables/table594.xml" ContentType="application/vnd.openxmlformats-officedocument.spreadsheetml.table+xml"/>
  <Override PartName="/xl/tables/table595.xml" ContentType="application/vnd.openxmlformats-officedocument.spreadsheetml.table+xml"/>
  <Override PartName="/xl/tables/table596.xml" ContentType="application/vnd.openxmlformats-officedocument.spreadsheetml.table+xml"/>
  <Override PartName="/xl/tables/table597.xml" ContentType="application/vnd.openxmlformats-officedocument.spreadsheetml.table+xml"/>
  <Override PartName="/xl/drawings/drawing14.xml" ContentType="application/vnd.openxmlformats-officedocument.drawing+xml"/>
  <Override PartName="/xl/tables/table598.xml" ContentType="application/vnd.openxmlformats-officedocument.spreadsheetml.table+xml"/>
  <Override PartName="/xl/tables/table599.xml" ContentType="application/vnd.openxmlformats-officedocument.spreadsheetml.table+xml"/>
  <Override PartName="/xl/tables/table600.xml" ContentType="application/vnd.openxmlformats-officedocument.spreadsheetml.table+xml"/>
  <Override PartName="/xl/tables/table601.xml" ContentType="application/vnd.openxmlformats-officedocument.spreadsheetml.table+xml"/>
  <Override PartName="/xl/tables/table602.xml" ContentType="application/vnd.openxmlformats-officedocument.spreadsheetml.table+xml"/>
  <Override PartName="/xl/tables/table603.xml" ContentType="application/vnd.openxmlformats-officedocument.spreadsheetml.table+xml"/>
  <Override PartName="/xl/tables/table604.xml" ContentType="application/vnd.openxmlformats-officedocument.spreadsheetml.table+xml"/>
  <Override PartName="/xl/tables/table605.xml" ContentType="application/vnd.openxmlformats-officedocument.spreadsheetml.table+xml"/>
  <Override PartName="/xl/tables/table606.xml" ContentType="application/vnd.openxmlformats-officedocument.spreadsheetml.table+xml"/>
  <Override PartName="/xl/tables/table607.xml" ContentType="application/vnd.openxmlformats-officedocument.spreadsheetml.table+xml"/>
  <Override PartName="/xl/tables/table608.xml" ContentType="application/vnd.openxmlformats-officedocument.spreadsheetml.table+xml"/>
  <Override PartName="/xl/tables/table609.xml" ContentType="application/vnd.openxmlformats-officedocument.spreadsheetml.table+xml"/>
  <Override PartName="/xl/tables/table610.xml" ContentType="application/vnd.openxmlformats-officedocument.spreadsheetml.table+xml"/>
  <Override PartName="/xl/tables/table611.xml" ContentType="application/vnd.openxmlformats-officedocument.spreadsheetml.table+xml"/>
  <Override PartName="/xl/tables/table612.xml" ContentType="application/vnd.openxmlformats-officedocument.spreadsheetml.table+xml"/>
  <Override PartName="/xl/tables/table613.xml" ContentType="application/vnd.openxmlformats-officedocument.spreadsheetml.table+xml"/>
  <Override PartName="/xl/tables/table614.xml" ContentType="application/vnd.openxmlformats-officedocument.spreadsheetml.table+xml"/>
  <Override PartName="/xl/tables/table615.xml" ContentType="application/vnd.openxmlformats-officedocument.spreadsheetml.table+xml"/>
  <Override PartName="/xl/tables/table616.xml" ContentType="application/vnd.openxmlformats-officedocument.spreadsheetml.table+xml"/>
  <Override PartName="/xl/tables/table617.xml" ContentType="application/vnd.openxmlformats-officedocument.spreadsheetml.table+xml"/>
  <Override PartName="/xl/tables/table618.xml" ContentType="application/vnd.openxmlformats-officedocument.spreadsheetml.table+xml"/>
  <Override PartName="/xl/tables/table619.xml" ContentType="application/vnd.openxmlformats-officedocument.spreadsheetml.table+xml"/>
  <Override PartName="/xl/tables/table620.xml" ContentType="application/vnd.openxmlformats-officedocument.spreadsheetml.table+xml"/>
  <Override PartName="/xl/tables/table621.xml" ContentType="application/vnd.openxmlformats-officedocument.spreadsheetml.table+xml"/>
  <Override PartName="/xl/tables/table622.xml" ContentType="application/vnd.openxmlformats-officedocument.spreadsheetml.table+xml"/>
  <Override PartName="/xl/tables/table623.xml" ContentType="application/vnd.openxmlformats-officedocument.spreadsheetml.table+xml"/>
  <Override PartName="/xl/tables/table624.xml" ContentType="application/vnd.openxmlformats-officedocument.spreadsheetml.table+xml"/>
  <Override PartName="/xl/tables/table625.xml" ContentType="application/vnd.openxmlformats-officedocument.spreadsheetml.table+xml"/>
  <Override PartName="/xl/tables/table626.xml" ContentType="application/vnd.openxmlformats-officedocument.spreadsheetml.table+xml"/>
  <Override PartName="/xl/tables/table627.xml" ContentType="application/vnd.openxmlformats-officedocument.spreadsheetml.table+xml"/>
  <Override PartName="/xl/tables/table628.xml" ContentType="application/vnd.openxmlformats-officedocument.spreadsheetml.table+xml"/>
  <Override PartName="/xl/tables/table629.xml" ContentType="application/vnd.openxmlformats-officedocument.spreadsheetml.table+xml"/>
  <Override PartName="/xl/tables/table630.xml" ContentType="application/vnd.openxmlformats-officedocument.spreadsheetml.table+xml"/>
  <Override PartName="/xl/tables/table631.xml" ContentType="application/vnd.openxmlformats-officedocument.spreadsheetml.table+xml"/>
  <Override PartName="/xl/tables/table632.xml" ContentType="application/vnd.openxmlformats-officedocument.spreadsheetml.table+xml"/>
  <Override PartName="/xl/tables/table633.xml" ContentType="application/vnd.openxmlformats-officedocument.spreadsheetml.table+xml"/>
  <Override PartName="/xl/tables/table634.xml" ContentType="application/vnd.openxmlformats-officedocument.spreadsheetml.table+xml"/>
  <Override PartName="/xl/tables/table635.xml" ContentType="application/vnd.openxmlformats-officedocument.spreadsheetml.table+xml"/>
  <Override PartName="/xl/tables/table636.xml" ContentType="application/vnd.openxmlformats-officedocument.spreadsheetml.table+xml"/>
  <Override PartName="/xl/tables/table637.xml" ContentType="application/vnd.openxmlformats-officedocument.spreadsheetml.table+xml"/>
  <Override PartName="/xl/tables/table638.xml" ContentType="application/vnd.openxmlformats-officedocument.spreadsheetml.table+xml"/>
  <Override PartName="/xl/tables/table639.xml" ContentType="application/vnd.openxmlformats-officedocument.spreadsheetml.table+xml"/>
  <Override PartName="/xl/tables/table640.xml" ContentType="application/vnd.openxmlformats-officedocument.spreadsheetml.table+xml"/>
  <Override PartName="/xl/tables/table641.xml" ContentType="application/vnd.openxmlformats-officedocument.spreadsheetml.table+xml"/>
  <Override PartName="/xl/tables/table642.xml" ContentType="application/vnd.openxmlformats-officedocument.spreadsheetml.table+xml"/>
  <Override PartName="/xl/tables/table643.xml" ContentType="application/vnd.openxmlformats-officedocument.spreadsheetml.table+xml"/>
  <Override PartName="/xl/tables/table644.xml" ContentType="application/vnd.openxmlformats-officedocument.spreadsheetml.table+xml"/>
  <Override PartName="/xl/tables/table645.xml" ContentType="application/vnd.openxmlformats-officedocument.spreadsheetml.table+xml"/>
  <Override PartName="/xl/tables/table646.xml" ContentType="application/vnd.openxmlformats-officedocument.spreadsheetml.table+xml"/>
  <Override PartName="/xl/tables/table647.xml" ContentType="application/vnd.openxmlformats-officedocument.spreadsheetml.table+xml"/>
  <Override PartName="/xl/tables/table648.xml" ContentType="application/vnd.openxmlformats-officedocument.spreadsheetml.table+xml"/>
  <Override PartName="/xl/drawings/drawing15.xml" ContentType="application/vnd.openxmlformats-officedocument.drawing+xml"/>
  <Override PartName="/xl/tables/table649.xml" ContentType="application/vnd.openxmlformats-officedocument.spreadsheetml.table+xml"/>
  <Override PartName="/xl/tables/table650.xml" ContentType="application/vnd.openxmlformats-officedocument.spreadsheetml.table+xml"/>
  <Override PartName="/xl/tables/table651.xml" ContentType="application/vnd.openxmlformats-officedocument.spreadsheetml.table+xml"/>
  <Override PartName="/xl/tables/table652.xml" ContentType="application/vnd.openxmlformats-officedocument.spreadsheetml.table+xml"/>
  <Override PartName="/xl/tables/table653.xml" ContentType="application/vnd.openxmlformats-officedocument.spreadsheetml.table+xml"/>
  <Override PartName="/xl/tables/table654.xml" ContentType="application/vnd.openxmlformats-officedocument.spreadsheetml.table+xml"/>
  <Override PartName="/xl/tables/table655.xml" ContentType="application/vnd.openxmlformats-officedocument.spreadsheetml.table+xml"/>
  <Override PartName="/xl/tables/table656.xml" ContentType="application/vnd.openxmlformats-officedocument.spreadsheetml.table+xml"/>
  <Override PartName="/xl/tables/table657.xml" ContentType="application/vnd.openxmlformats-officedocument.spreadsheetml.table+xml"/>
  <Override PartName="/xl/tables/table658.xml" ContentType="application/vnd.openxmlformats-officedocument.spreadsheetml.table+xml"/>
  <Override PartName="/xl/drawings/drawing16.xml" ContentType="application/vnd.openxmlformats-officedocument.drawing+xml"/>
  <Override PartName="/xl/tables/table659.xml" ContentType="application/vnd.openxmlformats-officedocument.spreadsheetml.table+xml"/>
  <Override PartName="/xl/tables/table660.xml" ContentType="application/vnd.openxmlformats-officedocument.spreadsheetml.table+xml"/>
  <Override PartName="/xl/drawings/drawing17.xml" ContentType="application/vnd.openxmlformats-officedocument.drawing+xml"/>
  <Override PartName="/xl/tables/table661.xml" ContentType="application/vnd.openxmlformats-officedocument.spreadsheetml.table+xml"/>
  <Override PartName="/xl/tables/table662.xml" ContentType="application/vnd.openxmlformats-officedocument.spreadsheetml.table+xml"/>
  <Override PartName="/xl/tables/table663.xml" ContentType="application/vnd.openxmlformats-officedocument.spreadsheetml.table+xml"/>
  <Override PartName="/xl/tables/table664.xml" ContentType="application/vnd.openxmlformats-officedocument.spreadsheetml.table+xml"/>
  <Override PartName="/xl/tables/table665.xml" ContentType="application/vnd.openxmlformats-officedocument.spreadsheetml.table+xml"/>
  <Override PartName="/xl/tables/table666.xml" ContentType="application/vnd.openxmlformats-officedocument.spreadsheetml.table+xml"/>
  <Override PartName="/xl/tables/table667.xml" ContentType="application/vnd.openxmlformats-officedocument.spreadsheetml.table+xml"/>
  <Override PartName="/xl/tables/table668.xml" ContentType="application/vnd.openxmlformats-officedocument.spreadsheetml.table+xml"/>
  <Override PartName="/xl/tables/table669.xml" ContentType="application/vnd.openxmlformats-officedocument.spreadsheetml.table+xml"/>
  <Override PartName="/xl/tables/table670.xml" ContentType="application/vnd.openxmlformats-officedocument.spreadsheetml.table+xml"/>
  <Override PartName="/xl/tables/table671.xml" ContentType="application/vnd.openxmlformats-officedocument.spreadsheetml.table+xml"/>
  <Override PartName="/xl/tables/table672.xml" ContentType="application/vnd.openxmlformats-officedocument.spreadsheetml.table+xml"/>
  <Override PartName="/xl/tables/table673.xml" ContentType="application/vnd.openxmlformats-officedocument.spreadsheetml.table+xml"/>
  <Override PartName="/xl/tables/table674.xml" ContentType="application/vnd.openxmlformats-officedocument.spreadsheetml.table+xml"/>
  <Override PartName="/xl/tables/table675.xml" ContentType="application/vnd.openxmlformats-officedocument.spreadsheetml.table+xml"/>
  <Override PartName="/xl/tables/table676.xml" ContentType="application/vnd.openxmlformats-officedocument.spreadsheetml.table+xml"/>
  <Override PartName="/xl/tables/table677.xml" ContentType="application/vnd.openxmlformats-officedocument.spreadsheetml.table+xml"/>
  <Override PartName="/xl/tables/table678.xml" ContentType="application/vnd.openxmlformats-officedocument.spreadsheetml.table+xml"/>
  <Override PartName="/xl/tables/table679.xml" ContentType="application/vnd.openxmlformats-officedocument.spreadsheetml.table+xml"/>
  <Override PartName="/xl/tables/table680.xml" ContentType="application/vnd.openxmlformats-officedocument.spreadsheetml.table+xml"/>
  <Override PartName="/xl/tables/table681.xml" ContentType="application/vnd.openxmlformats-officedocument.spreadsheetml.table+xml"/>
  <Override PartName="/xl/tables/table682.xml" ContentType="application/vnd.openxmlformats-officedocument.spreadsheetml.table+xml"/>
  <Override PartName="/xl/tables/table683.xml" ContentType="application/vnd.openxmlformats-officedocument.spreadsheetml.table+xml"/>
  <Override PartName="/xl/tables/table684.xml" ContentType="application/vnd.openxmlformats-officedocument.spreadsheetml.table+xml"/>
  <Override PartName="/xl/tables/table685.xml" ContentType="application/vnd.openxmlformats-officedocument.spreadsheetml.table+xml"/>
  <Override PartName="/xl/tables/table686.xml" ContentType="application/vnd.openxmlformats-officedocument.spreadsheetml.table+xml"/>
  <Override PartName="/xl/tables/table687.xml" ContentType="application/vnd.openxmlformats-officedocument.spreadsheetml.table+xml"/>
  <Override PartName="/xl/tables/table688.xml" ContentType="application/vnd.openxmlformats-officedocument.spreadsheetml.table+xml"/>
  <Override PartName="/xl/tables/table689.xml" ContentType="application/vnd.openxmlformats-officedocument.spreadsheetml.table+xml"/>
  <Override PartName="/xl/tables/table690.xml" ContentType="application/vnd.openxmlformats-officedocument.spreadsheetml.table+xml"/>
  <Override PartName="/xl/tables/table691.xml" ContentType="application/vnd.openxmlformats-officedocument.spreadsheetml.table+xml"/>
  <Override PartName="/xl/tables/table692.xml" ContentType="application/vnd.openxmlformats-officedocument.spreadsheetml.table+xml"/>
  <Override PartName="/xl/tables/table693.xml" ContentType="application/vnd.openxmlformats-officedocument.spreadsheetml.table+xml"/>
  <Override PartName="/xl/tables/table694.xml" ContentType="application/vnd.openxmlformats-officedocument.spreadsheetml.table+xml"/>
  <Override PartName="/xl/tables/table695.xml" ContentType="application/vnd.openxmlformats-officedocument.spreadsheetml.table+xml"/>
  <Override PartName="/xl/tables/table696.xml" ContentType="application/vnd.openxmlformats-officedocument.spreadsheetml.table+xml"/>
  <Override PartName="/xl/tables/table697.xml" ContentType="application/vnd.openxmlformats-officedocument.spreadsheetml.table+xml"/>
  <Override PartName="/xl/tables/table698.xml" ContentType="application/vnd.openxmlformats-officedocument.spreadsheetml.table+xml"/>
  <Override PartName="/xl/tables/table699.xml" ContentType="application/vnd.openxmlformats-officedocument.spreadsheetml.table+xml"/>
  <Override PartName="/xl/tables/table700.xml" ContentType="application/vnd.openxmlformats-officedocument.spreadsheetml.table+xml"/>
  <Override PartName="/xl/tables/table701.xml" ContentType="application/vnd.openxmlformats-officedocument.spreadsheetml.table+xml"/>
  <Override PartName="/xl/tables/table702.xml" ContentType="application/vnd.openxmlformats-officedocument.spreadsheetml.table+xml"/>
  <Override PartName="/xl/tables/table703.xml" ContentType="application/vnd.openxmlformats-officedocument.spreadsheetml.table+xml"/>
  <Override PartName="/xl/tables/table704.xml" ContentType="application/vnd.openxmlformats-officedocument.spreadsheetml.table+xml"/>
  <Override PartName="/xl/tables/table705.xml" ContentType="application/vnd.openxmlformats-officedocument.spreadsheetml.table+xml"/>
  <Override PartName="/xl/tables/table706.xml" ContentType="application/vnd.openxmlformats-officedocument.spreadsheetml.table+xml"/>
  <Override PartName="/xl/tables/table707.xml" ContentType="application/vnd.openxmlformats-officedocument.spreadsheetml.table+xml"/>
  <Override PartName="/xl/tables/table708.xml" ContentType="application/vnd.openxmlformats-officedocument.spreadsheetml.table+xml"/>
  <Override PartName="/xl/tables/table709.xml" ContentType="application/vnd.openxmlformats-officedocument.spreadsheetml.table+xml"/>
  <Override PartName="/xl/tables/table710.xml" ContentType="application/vnd.openxmlformats-officedocument.spreadsheetml.table+xml"/>
  <Override PartName="/xl/tables/table711.xml" ContentType="application/vnd.openxmlformats-officedocument.spreadsheetml.table+xml"/>
  <Override PartName="/xl/tables/table712.xml" ContentType="application/vnd.openxmlformats-officedocument.spreadsheetml.table+xml"/>
  <Override PartName="/xl/drawings/drawing18.xml" ContentType="application/vnd.openxmlformats-officedocument.drawing+xml"/>
  <Override PartName="/xl/tables/table713.xml" ContentType="application/vnd.openxmlformats-officedocument.spreadsheetml.table+xml"/>
  <Override PartName="/xl/tables/table714.xml" ContentType="application/vnd.openxmlformats-officedocument.spreadsheetml.table+xml"/>
  <Override PartName="/xl/tables/table715.xml" ContentType="application/vnd.openxmlformats-officedocument.spreadsheetml.table+xml"/>
  <Override PartName="/xl/tables/table716.xml" ContentType="application/vnd.openxmlformats-officedocument.spreadsheetml.table+xml"/>
  <Override PartName="/xl/tables/table717.xml" ContentType="application/vnd.openxmlformats-officedocument.spreadsheetml.table+xml"/>
  <Override PartName="/xl/tables/table718.xml" ContentType="application/vnd.openxmlformats-officedocument.spreadsheetml.table+xml"/>
  <Override PartName="/xl/tables/table719.xml" ContentType="application/vnd.openxmlformats-officedocument.spreadsheetml.table+xml"/>
  <Override PartName="/xl/tables/table720.xml" ContentType="application/vnd.openxmlformats-officedocument.spreadsheetml.table+xml"/>
  <Override PartName="/xl/drawings/drawing19.xml" ContentType="application/vnd.openxmlformats-officedocument.drawing+xml"/>
  <Override PartName="/xl/tables/table721.xml" ContentType="application/vnd.openxmlformats-officedocument.spreadsheetml.table+xml"/>
  <Override PartName="/xl/tables/table722.xml" ContentType="application/vnd.openxmlformats-officedocument.spreadsheetml.table+xml"/>
  <Override PartName="/xl/tables/table723.xml" ContentType="application/vnd.openxmlformats-officedocument.spreadsheetml.table+xml"/>
  <Override PartName="/xl/tables/table724.xml" ContentType="application/vnd.openxmlformats-officedocument.spreadsheetml.table+xml"/>
  <Override PartName="/xl/tables/table725.xml" ContentType="application/vnd.openxmlformats-officedocument.spreadsheetml.table+xml"/>
  <Override PartName="/xl/tables/table726.xml" ContentType="application/vnd.openxmlformats-officedocument.spreadsheetml.table+xml"/>
  <Override PartName="/xl/tables/table727.xml" ContentType="application/vnd.openxmlformats-officedocument.spreadsheetml.table+xml"/>
  <Override PartName="/xl/tables/table728.xml" ContentType="application/vnd.openxmlformats-officedocument.spreadsheetml.table+xml"/>
  <Override PartName="/xl/tables/table729.xml" ContentType="application/vnd.openxmlformats-officedocument.spreadsheetml.table+xml"/>
  <Override PartName="/xl/tables/table730.xml" ContentType="application/vnd.openxmlformats-officedocument.spreadsheetml.table+xml"/>
  <Override PartName="/xl/tables/table731.xml" ContentType="application/vnd.openxmlformats-officedocument.spreadsheetml.table+xml"/>
  <Override PartName="/xl/tables/table732.xml" ContentType="application/vnd.openxmlformats-officedocument.spreadsheetml.table+xml"/>
  <Override PartName="/xl/tables/table733.xml" ContentType="application/vnd.openxmlformats-officedocument.spreadsheetml.table+xml"/>
  <Override PartName="/xl/tables/table734.xml" ContentType="application/vnd.openxmlformats-officedocument.spreadsheetml.table+xml"/>
  <Override PartName="/xl/tables/table735.xml" ContentType="application/vnd.openxmlformats-officedocument.spreadsheetml.table+xml"/>
  <Override PartName="/xl/tables/table736.xml" ContentType="application/vnd.openxmlformats-officedocument.spreadsheetml.table+xml"/>
  <Override PartName="/xl/tables/table737.xml" ContentType="application/vnd.openxmlformats-officedocument.spreadsheetml.table+xml"/>
  <Override PartName="/xl/tables/table738.xml" ContentType="application/vnd.openxmlformats-officedocument.spreadsheetml.table+xml"/>
  <Override PartName="/xl/tables/table739.xml" ContentType="application/vnd.openxmlformats-officedocument.spreadsheetml.table+xml"/>
  <Override PartName="/xl/tables/table740.xml" ContentType="application/vnd.openxmlformats-officedocument.spreadsheetml.table+xml"/>
  <Override PartName="/xl/tables/table741.xml" ContentType="application/vnd.openxmlformats-officedocument.spreadsheetml.table+xml"/>
  <Override PartName="/xl/tables/table742.xml" ContentType="application/vnd.openxmlformats-officedocument.spreadsheetml.table+xml"/>
  <Override PartName="/xl/drawings/drawing20.xml" ContentType="application/vnd.openxmlformats-officedocument.drawing+xml"/>
  <Override PartName="/xl/tables/table743.xml" ContentType="application/vnd.openxmlformats-officedocument.spreadsheetml.table+xml"/>
  <Override PartName="/xl/tables/table744.xml" ContentType="application/vnd.openxmlformats-officedocument.spreadsheetml.table+xml"/>
  <Override PartName="/xl/tables/table745.xml" ContentType="application/vnd.openxmlformats-officedocument.spreadsheetml.table+xml"/>
  <Override PartName="/xl/tables/table746.xml" ContentType="application/vnd.openxmlformats-officedocument.spreadsheetml.table+xml"/>
  <Override PartName="/xl/tables/table747.xml" ContentType="application/vnd.openxmlformats-officedocument.spreadsheetml.table+xml"/>
  <Override PartName="/xl/tables/table748.xml" ContentType="application/vnd.openxmlformats-officedocument.spreadsheetml.table+xml"/>
  <Override PartName="/xl/tables/table749.xml" ContentType="application/vnd.openxmlformats-officedocument.spreadsheetml.table+xml"/>
  <Override PartName="/xl/tables/table750.xml" ContentType="application/vnd.openxmlformats-officedocument.spreadsheetml.table+xml"/>
  <Override PartName="/xl/tables/table751.xml" ContentType="application/vnd.openxmlformats-officedocument.spreadsheetml.table+xml"/>
  <Override PartName="/xl/tables/table752.xml" ContentType="application/vnd.openxmlformats-officedocument.spreadsheetml.table+xml"/>
  <Override PartName="/xl/tables/table753.xml" ContentType="application/vnd.openxmlformats-officedocument.spreadsheetml.table+xml"/>
  <Override PartName="/xl/tables/table754.xml" ContentType="application/vnd.openxmlformats-officedocument.spreadsheetml.table+xml"/>
  <Override PartName="/xl/tables/table755.xml" ContentType="application/vnd.openxmlformats-officedocument.spreadsheetml.table+xml"/>
  <Override PartName="/xl/tables/table756.xml" ContentType="application/vnd.openxmlformats-officedocument.spreadsheetml.table+xml"/>
  <Override PartName="/xl/tables/table757.xml" ContentType="application/vnd.openxmlformats-officedocument.spreadsheetml.table+xml"/>
  <Override PartName="/xl/tables/table758.xml" ContentType="application/vnd.openxmlformats-officedocument.spreadsheetml.table+xml"/>
  <Override PartName="/xl/tables/table759.xml" ContentType="application/vnd.openxmlformats-officedocument.spreadsheetml.table+xml"/>
  <Override PartName="/xl/tables/table760.xml" ContentType="application/vnd.openxmlformats-officedocument.spreadsheetml.table+xml"/>
  <Override PartName="/xl/tables/table761.xml" ContentType="application/vnd.openxmlformats-officedocument.spreadsheetml.table+xml"/>
  <Override PartName="/xl/tables/table762.xml" ContentType="application/vnd.openxmlformats-officedocument.spreadsheetml.table+xml"/>
  <Override PartName="/xl/tables/table763.xml" ContentType="application/vnd.openxmlformats-officedocument.spreadsheetml.table+xml"/>
  <Override PartName="/xl/tables/table764.xml" ContentType="application/vnd.openxmlformats-officedocument.spreadsheetml.table+xml"/>
  <Override PartName="/xl/tables/table765.xml" ContentType="application/vnd.openxmlformats-officedocument.spreadsheetml.table+xml"/>
  <Override PartName="/xl/tables/table766.xml" ContentType="application/vnd.openxmlformats-officedocument.spreadsheetml.table+xml"/>
  <Override PartName="/xl/tables/table767.xml" ContentType="application/vnd.openxmlformats-officedocument.spreadsheetml.table+xml"/>
  <Override PartName="/xl/tables/table768.xml" ContentType="application/vnd.openxmlformats-officedocument.spreadsheetml.table+xml"/>
  <Override PartName="/xl/tables/table769.xml" ContentType="application/vnd.openxmlformats-officedocument.spreadsheetml.table+xml"/>
  <Override PartName="/xl/tables/table770.xml" ContentType="application/vnd.openxmlformats-officedocument.spreadsheetml.table+xml"/>
  <Override PartName="/xl/tables/table771.xml" ContentType="application/vnd.openxmlformats-officedocument.spreadsheetml.table+xml"/>
  <Override PartName="/xl/tables/table772.xml" ContentType="application/vnd.openxmlformats-officedocument.spreadsheetml.table+xml"/>
  <Override PartName="/xl/tables/table773.xml" ContentType="application/vnd.openxmlformats-officedocument.spreadsheetml.table+xml"/>
  <Override PartName="/xl/tables/table774.xml" ContentType="application/vnd.openxmlformats-officedocument.spreadsheetml.table+xml"/>
  <Override PartName="/xl/tables/table775.xml" ContentType="application/vnd.openxmlformats-officedocument.spreadsheetml.table+xml"/>
  <Override PartName="/xl/tables/table776.xml" ContentType="application/vnd.openxmlformats-officedocument.spreadsheetml.table+xml"/>
  <Override PartName="/xl/tables/table777.xml" ContentType="application/vnd.openxmlformats-officedocument.spreadsheetml.table+xml"/>
  <Override PartName="/xl/tables/table778.xml" ContentType="application/vnd.openxmlformats-officedocument.spreadsheetml.table+xml"/>
  <Override PartName="/xl/tables/table779.xml" ContentType="application/vnd.openxmlformats-officedocument.spreadsheetml.table+xml"/>
  <Override PartName="/xl/tables/table780.xml" ContentType="application/vnd.openxmlformats-officedocument.spreadsheetml.table+xml"/>
  <Override PartName="/xl/tables/table781.xml" ContentType="application/vnd.openxmlformats-officedocument.spreadsheetml.table+xml"/>
  <Override PartName="/xl/tables/table782.xml" ContentType="application/vnd.openxmlformats-officedocument.spreadsheetml.table+xml"/>
  <Override PartName="/xl/tables/table783.xml" ContentType="application/vnd.openxmlformats-officedocument.spreadsheetml.table+xml"/>
  <Override PartName="/xl/tables/table784.xml" ContentType="application/vnd.openxmlformats-officedocument.spreadsheetml.table+xml"/>
  <Override PartName="/xl/tables/table785.xml" ContentType="application/vnd.openxmlformats-officedocument.spreadsheetml.table+xml"/>
  <Override PartName="/xl/tables/table786.xml" ContentType="application/vnd.openxmlformats-officedocument.spreadsheetml.table+xml"/>
  <Override PartName="/xl/tables/table787.xml" ContentType="application/vnd.openxmlformats-officedocument.spreadsheetml.table+xml"/>
  <Override PartName="/xl/tables/table788.xml" ContentType="application/vnd.openxmlformats-officedocument.spreadsheetml.table+xml"/>
  <Override PartName="/xl/tables/table789.xml" ContentType="application/vnd.openxmlformats-officedocument.spreadsheetml.table+xml"/>
  <Override PartName="/xl/tables/table790.xml" ContentType="application/vnd.openxmlformats-officedocument.spreadsheetml.table+xml"/>
  <Override PartName="/xl/tables/table791.xml" ContentType="application/vnd.openxmlformats-officedocument.spreadsheetml.table+xml"/>
  <Override PartName="/xl/tables/table792.xml" ContentType="application/vnd.openxmlformats-officedocument.spreadsheetml.table+xml"/>
  <Override PartName="/xl/tables/table793.xml" ContentType="application/vnd.openxmlformats-officedocument.spreadsheetml.table+xml"/>
  <Override PartName="/xl/tables/table794.xml" ContentType="application/vnd.openxmlformats-officedocument.spreadsheetml.table+xml"/>
  <Override PartName="/xl/tables/table795.xml" ContentType="application/vnd.openxmlformats-officedocument.spreadsheetml.table+xml"/>
  <Override PartName="/xl/tables/table796.xml" ContentType="application/vnd.openxmlformats-officedocument.spreadsheetml.table+xml"/>
  <Override PartName="/xl/drawings/drawing21.xml" ContentType="application/vnd.openxmlformats-officedocument.drawing+xml"/>
  <Override PartName="/xl/tables/table797.xml" ContentType="application/vnd.openxmlformats-officedocument.spreadsheetml.table+xml"/>
  <Override PartName="/xl/tables/table798.xml" ContentType="application/vnd.openxmlformats-officedocument.spreadsheetml.table+xml"/>
  <Override PartName="/xl/tables/table799.xml" ContentType="application/vnd.openxmlformats-officedocument.spreadsheetml.table+xml"/>
  <Override PartName="/xl/tables/table800.xml" ContentType="application/vnd.openxmlformats-officedocument.spreadsheetml.table+xml"/>
  <Override PartName="/xl/tables/table801.xml" ContentType="application/vnd.openxmlformats-officedocument.spreadsheetml.table+xml"/>
  <Override PartName="/xl/tables/table802.xml" ContentType="application/vnd.openxmlformats-officedocument.spreadsheetml.table+xml"/>
  <Override PartName="/xl/tables/table803.xml" ContentType="application/vnd.openxmlformats-officedocument.spreadsheetml.table+xml"/>
  <Override PartName="/xl/tables/table804.xml" ContentType="application/vnd.openxmlformats-officedocument.spreadsheetml.table+xml"/>
  <Override PartName="/xl/tables/table805.xml" ContentType="application/vnd.openxmlformats-officedocument.spreadsheetml.table+xml"/>
  <Override PartName="/xl/tables/table806.xml" ContentType="application/vnd.openxmlformats-officedocument.spreadsheetml.table+xml"/>
  <Override PartName="/xl/tables/table807.xml" ContentType="application/vnd.openxmlformats-officedocument.spreadsheetml.table+xml"/>
  <Override PartName="/xl/tables/table808.xml" ContentType="application/vnd.openxmlformats-officedocument.spreadsheetml.table+xml"/>
  <Override PartName="/xl/tables/table809.xml" ContentType="application/vnd.openxmlformats-officedocument.spreadsheetml.table+xml"/>
  <Override PartName="/xl/tables/table810.xml" ContentType="application/vnd.openxmlformats-officedocument.spreadsheetml.table+xml"/>
  <Override PartName="/xl/tables/table811.xml" ContentType="application/vnd.openxmlformats-officedocument.spreadsheetml.table+xml"/>
  <Override PartName="/xl/tables/table812.xml" ContentType="application/vnd.openxmlformats-officedocument.spreadsheetml.table+xml"/>
  <Override PartName="/xl/tables/table813.xml" ContentType="application/vnd.openxmlformats-officedocument.spreadsheetml.table+xml"/>
  <Override PartName="/xl/tables/table814.xml" ContentType="application/vnd.openxmlformats-officedocument.spreadsheetml.table+xml"/>
  <Override PartName="/xl/tables/table815.xml" ContentType="application/vnd.openxmlformats-officedocument.spreadsheetml.table+xml"/>
  <Override PartName="/xl/tables/table816.xml" ContentType="application/vnd.openxmlformats-officedocument.spreadsheetml.table+xml"/>
  <Override PartName="/xl/drawings/drawing22.xml" ContentType="application/vnd.openxmlformats-officedocument.drawing+xml"/>
  <Override PartName="/xl/tables/table817.xml" ContentType="application/vnd.openxmlformats-officedocument.spreadsheetml.table+xml"/>
  <Override PartName="/xl/tables/table818.xml" ContentType="application/vnd.openxmlformats-officedocument.spreadsheetml.table+xml"/>
  <Override PartName="/xl/tables/table819.xml" ContentType="application/vnd.openxmlformats-officedocument.spreadsheetml.table+xml"/>
  <Override PartName="/xl/tables/table820.xml" ContentType="application/vnd.openxmlformats-officedocument.spreadsheetml.table+xml"/>
  <Override PartName="/xl/drawings/drawing23.xml" ContentType="application/vnd.openxmlformats-officedocument.drawing+xml"/>
  <Override PartName="/xl/tables/table821.xml" ContentType="application/vnd.openxmlformats-officedocument.spreadsheetml.table+xml"/>
  <Override PartName="/xl/tables/table822.xml" ContentType="application/vnd.openxmlformats-officedocument.spreadsheetml.table+xml"/>
  <Override PartName="/xl/tables/table823.xml" ContentType="application/vnd.openxmlformats-officedocument.spreadsheetml.table+xml"/>
  <Override PartName="/xl/tables/table824.xml" ContentType="application/vnd.openxmlformats-officedocument.spreadsheetml.table+xml"/>
  <Override PartName="/xl/tables/table825.xml" ContentType="application/vnd.openxmlformats-officedocument.spreadsheetml.table+xml"/>
  <Override PartName="/xl/tables/table826.xml" ContentType="application/vnd.openxmlformats-officedocument.spreadsheetml.table+xml"/>
  <Override PartName="/xl/tables/table827.xml" ContentType="application/vnd.openxmlformats-officedocument.spreadsheetml.table+xml"/>
  <Override PartName="/xl/tables/table828.xml" ContentType="application/vnd.openxmlformats-officedocument.spreadsheetml.table+xml"/>
  <Override PartName="/xl/tables/table829.xml" ContentType="application/vnd.openxmlformats-officedocument.spreadsheetml.table+xml"/>
  <Override PartName="/xl/drawings/drawing24.xml" ContentType="application/vnd.openxmlformats-officedocument.drawing+xml"/>
  <Override PartName="/xl/tables/table830.xml" ContentType="application/vnd.openxmlformats-officedocument.spreadsheetml.table+xml"/>
  <Override PartName="/xl/tables/table831.xml" ContentType="application/vnd.openxmlformats-officedocument.spreadsheetml.table+xml"/>
  <Override PartName="/xl/tables/table832.xml" ContentType="application/vnd.openxmlformats-officedocument.spreadsheetml.table+xml"/>
  <Override PartName="/xl/tables/table833.xml" ContentType="application/vnd.openxmlformats-officedocument.spreadsheetml.table+xml"/>
  <Override PartName="/xl/tables/table834.xml" ContentType="application/vnd.openxmlformats-officedocument.spreadsheetml.table+xml"/>
  <Override PartName="/xl/tables/table835.xml" ContentType="application/vnd.openxmlformats-officedocument.spreadsheetml.table+xml"/>
  <Override PartName="/xl/tables/table836.xml" ContentType="application/vnd.openxmlformats-officedocument.spreadsheetml.table+xml"/>
  <Override PartName="/xl/tables/table837.xml" ContentType="application/vnd.openxmlformats-officedocument.spreadsheetml.table+xml"/>
  <Override PartName="/xl/tables/table838.xml" ContentType="application/vnd.openxmlformats-officedocument.spreadsheetml.table+xml"/>
  <Override PartName="/xl/tables/table839.xml" ContentType="application/vnd.openxmlformats-officedocument.spreadsheetml.table+xml"/>
  <Override PartName="/xl/drawings/drawing25.xml" ContentType="application/vnd.openxmlformats-officedocument.drawing+xml"/>
  <Override PartName="/xl/tables/table840.xml" ContentType="application/vnd.openxmlformats-officedocument.spreadsheetml.table+xml"/>
  <Override PartName="/xl/tables/table841.xml" ContentType="application/vnd.openxmlformats-officedocument.spreadsheetml.table+xml"/>
  <Override PartName="/xl/tables/table842.xml" ContentType="application/vnd.openxmlformats-officedocument.spreadsheetml.table+xml"/>
  <Override PartName="/xl/tables/table843.xml" ContentType="application/vnd.openxmlformats-officedocument.spreadsheetml.table+xml"/>
  <Override PartName="/xl/tables/table844.xml" ContentType="application/vnd.openxmlformats-officedocument.spreadsheetml.table+xml"/>
  <Override PartName="/xl/tables/table845.xml" ContentType="application/vnd.openxmlformats-officedocument.spreadsheetml.table+xml"/>
  <Override PartName="/xl/drawings/drawing26.xml" ContentType="application/vnd.openxmlformats-officedocument.drawing+xml"/>
  <Override PartName="/xl/tables/table846.xml" ContentType="application/vnd.openxmlformats-officedocument.spreadsheetml.table+xml"/>
  <Override PartName="/xl/tables/table847.xml" ContentType="application/vnd.openxmlformats-officedocument.spreadsheetml.table+xml"/>
  <Override PartName="/xl/tables/table848.xml" ContentType="application/vnd.openxmlformats-officedocument.spreadsheetml.table+xml"/>
  <Override PartName="/xl/tables/table849.xml" ContentType="application/vnd.openxmlformats-officedocument.spreadsheetml.table+xml"/>
  <Override PartName="/xl/tables/table850.xml" ContentType="application/vnd.openxmlformats-officedocument.spreadsheetml.table+xml"/>
  <Override PartName="/xl/tables/table851.xml" ContentType="application/vnd.openxmlformats-officedocument.spreadsheetml.table+xml"/>
  <Override PartName="/xl/tables/table852.xml" ContentType="application/vnd.openxmlformats-officedocument.spreadsheetml.table+xml"/>
  <Override PartName="/xl/tables/table853.xml" ContentType="application/vnd.openxmlformats-officedocument.spreadsheetml.table+xml"/>
  <Override PartName="/xl/tables/table854.xml" ContentType="application/vnd.openxmlformats-officedocument.spreadsheetml.table+xml"/>
  <Override PartName="/xl/tables/table855.xml" ContentType="application/vnd.openxmlformats-officedocument.spreadsheetml.table+xml"/>
  <Override PartName="/xl/tables/table856.xml" ContentType="application/vnd.openxmlformats-officedocument.spreadsheetml.table+xml"/>
  <Override PartName="/xl/tables/table857.xml" ContentType="application/vnd.openxmlformats-officedocument.spreadsheetml.table+xml"/>
  <Override PartName="/xl/tables/table858.xml" ContentType="application/vnd.openxmlformats-officedocument.spreadsheetml.table+xml"/>
  <Override PartName="/xl/tables/table859.xml" ContentType="application/vnd.openxmlformats-officedocument.spreadsheetml.table+xml"/>
  <Override PartName="/xl/tables/table860.xml" ContentType="application/vnd.openxmlformats-officedocument.spreadsheetml.table+xml"/>
  <Override PartName="/xl/drawings/drawing27.xml" ContentType="application/vnd.openxmlformats-officedocument.drawing+xml"/>
  <Override PartName="/xl/tables/table861.xml" ContentType="application/vnd.openxmlformats-officedocument.spreadsheetml.table+xml"/>
  <Override PartName="/xl/tables/table862.xml" ContentType="application/vnd.openxmlformats-officedocument.spreadsheetml.table+xml"/>
  <Override PartName="/xl/tables/table863.xml" ContentType="application/vnd.openxmlformats-officedocument.spreadsheetml.table+xml"/>
  <Override PartName="/xl/drawings/drawing28.xml" ContentType="application/vnd.openxmlformats-officedocument.drawing+xml"/>
  <Override PartName="/xl/tables/table864.xml" ContentType="application/vnd.openxmlformats-officedocument.spreadsheetml.table+xml"/>
  <Override PartName="/xl/tables/table865.xml" ContentType="application/vnd.openxmlformats-officedocument.spreadsheetml.table+xml"/>
  <Override PartName="/xl/tables/table866.xml" ContentType="application/vnd.openxmlformats-officedocument.spreadsheetml.table+xml"/>
  <Override PartName="/xl/tables/table867.xml" ContentType="application/vnd.openxmlformats-officedocument.spreadsheetml.table+xml"/>
  <Override PartName="/xl/tables/table868.xml" ContentType="application/vnd.openxmlformats-officedocument.spreadsheetml.table+xml"/>
  <Override PartName="/xl/tables/table869.xml" ContentType="application/vnd.openxmlformats-officedocument.spreadsheetml.table+xml"/>
  <Override PartName="/xl/tables/table870.xml" ContentType="application/vnd.openxmlformats-officedocument.spreadsheetml.table+xml"/>
  <Override PartName="/xl/tables/table871.xml" ContentType="application/vnd.openxmlformats-officedocument.spreadsheetml.table+xml"/>
  <Override PartName="/xl/tables/table872.xml" ContentType="application/vnd.openxmlformats-officedocument.spreadsheetml.table+xml"/>
  <Override PartName="/xl/tables/table873.xml" ContentType="application/vnd.openxmlformats-officedocument.spreadsheetml.table+xml"/>
  <Override PartName="/xl/tables/table874.xml" ContentType="application/vnd.openxmlformats-officedocument.spreadsheetml.table+xml"/>
  <Override PartName="/xl/tables/table875.xml" ContentType="application/vnd.openxmlformats-officedocument.spreadsheetml.table+xml"/>
  <Override PartName="/xl/tables/table876.xml" ContentType="application/vnd.openxmlformats-officedocument.spreadsheetml.table+xml"/>
  <Override PartName="/xl/tables/table877.xml" ContentType="application/vnd.openxmlformats-officedocument.spreadsheetml.table+xml"/>
  <Override PartName="/xl/tables/table878.xml" ContentType="application/vnd.openxmlformats-officedocument.spreadsheetml.table+xml"/>
  <Override PartName="/xl/tables/table879.xml" ContentType="application/vnd.openxmlformats-officedocument.spreadsheetml.table+xml"/>
  <Override PartName="/xl/tables/table880.xml" ContentType="application/vnd.openxmlformats-officedocument.spreadsheetml.table+xml"/>
  <Override PartName="/xl/drawings/drawing29.xml" ContentType="application/vnd.openxmlformats-officedocument.drawing+xml"/>
  <Override PartName="/xl/tables/table881.xml" ContentType="application/vnd.openxmlformats-officedocument.spreadsheetml.table+xml"/>
  <Override PartName="/xl/tables/table882.xml" ContentType="application/vnd.openxmlformats-officedocument.spreadsheetml.table+xml"/>
  <Override PartName="/xl/tables/table883.xml" ContentType="application/vnd.openxmlformats-officedocument.spreadsheetml.table+xml"/>
  <Override PartName="/xl/tables/table884.xml" ContentType="application/vnd.openxmlformats-officedocument.spreadsheetml.table+xml"/>
  <Override PartName="/xl/tables/table885.xml" ContentType="application/vnd.openxmlformats-officedocument.spreadsheetml.table+xml"/>
  <Override PartName="/xl/tables/table886.xml" ContentType="application/vnd.openxmlformats-officedocument.spreadsheetml.table+xml"/>
  <Override PartName="/xl/tables/table887.xml" ContentType="application/vnd.openxmlformats-officedocument.spreadsheetml.table+xml"/>
  <Override PartName="/xl/tables/table888.xml" ContentType="application/vnd.openxmlformats-officedocument.spreadsheetml.table+xml"/>
  <Override PartName="/xl/tables/table889.xml" ContentType="application/vnd.openxmlformats-officedocument.spreadsheetml.table+xml"/>
  <Override PartName="/xl/drawings/drawing30.xml" ContentType="application/vnd.openxmlformats-officedocument.drawing+xml"/>
  <Override PartName="/xl/tables/table890.xml" ContentType="application/vnd.openxmlformats-officedocument.spreadsheetml.table+xml"/>
  <Override PartName="/xl/tables/table891.xml" ContentType="application/vnd.openxmlformats-officedocument.spreadsheetml.table+xml"/>
  <Override PartName="/xl/tables/table892.xml" ContentType="application/vnd.openxmlformats-officedocument.spreadsheetml.table+xml"/>
  <Override PartName="/xl/tables/table893.xml" ContentType="application/vnd.openxmlformats-officedocument.spreadsheetml.table+xml"/>
  <Override PartName="/xl/tables/table894.xml" ContentType="application/vnd.openxmlformats-officedocument.spreadsheetml.table+xml"/>
  <Override PartName="/xl/drawings/drawing31.xml" ContentType="application/vnd.openxmlformats-officedocument.drawing+xml"/>
  <Override PartName="/xl/tables/table895.xml" ContentType="application/vnd.openxmlformats-officedocument.spreadsheetml.table+xml"/>
  <Override PartName="/xl/tables/table896.xml" ContentType="application/vnd.openxmlformats-officedocument.spreadsheetml.table+xml"/>
  <Override PartName="/xl/tables/table897.xml" ContentType="application/vnd.openxmlformats-officedocument.spreadsheetml.table+xml"/>
  <Override PartName="/xl/tables/table898.xml" ContentType="application/vnd.openxmlformats-officedocument.spreadsheetml.table+xml"/>
  <Override PartName="/xl/tables/table899.xml" ContentType="application/vnd.openxmlformats-officedocument.spreadsheetml.table+xml"/>
  <Override PartName="/xl/tables/table900.xml" ContentType="application/vnd.openxmlformats-officedocument.spreadsheetml.table+xml"/>
  <Override PartName="/xl/tables/table901.xml" ContentType="application/vnd.openxmlformats-officedocument.spreadsheetml.table+xml"/>
  <Override PartName="/xl/drawings/drawing32.xml" ContentType="application/vnd.openxmlformats-officedocument.drawing+xml"/>
  <Override PartName="/xl/tables/table902.xml" ContentType="application/vnd.openxmlformats-officedocument.spreadsheetml.table+xml"/>
  <Override PartName="/xl/tables/table903.xml" ContentType="application/vnd.openxmlformats-officedocument.spreadsheetml.table+xml"/>
  <Override PartName="/xl/tables/table904.xml" ContentType="application/vnd.openxmlformats-officedocument.spreadsheetml.table+xml"/>
  <Override PartName="/xl/drawings/drawing33.xml" ContentType="application/vnd.openxmlformats-officedocument.drawing+xml"/>
  <Override PartName="/xl/tables/table905.xml" ContentType="application/vnd.openxmlformats-officedocument.spreadsheetml.table+xml"/>
  <Override PartName="/xl/tables/table906.xml" ContentType="application/vnd.openxmlformats-officedocument.spreadsheetml.table+xml"/>
  <Override PartName="/xl/tables/table907.xml" ContentType="application/vnd.openxmlformats-officedocument.spreadsheetml.table+xml"/>
  <Override PartName="/xl/tables/table908.xml" ContentType="application/vnd.openxmlformats-officedocument.spreadsheetml.table+xml"/>
  <Override PartName="/xl/tables/table909.xml" ContentType="application/vnd.openxmlformats-officedocument.spreadsheetml.table+xml"/>
  <Override PartName="/xl/tables/table910.xml" ContentType="application/vnd.openxmlformats-officedocument.spreadsheetml.table+xml"/>
  <Override PartName="/xl/tables/table911.xml" ContentType="application/vnd.openxmlformats-officedocument.spreadsheetml.table+xml"/>
  <Override PartName="/xl/tables/table912.xml" ContentType="application/vnd.openxmlformats-officedocument.spreadsheetml.table+xml"/>
  <Override PartName="/xl/drawings/drawing34.xml" ContentType="application/vnd.openxmlformats-officedocument.drawing+xml"/>
  <Override PartName="/xl/tables/table913.xml" ContentType="application/vnd.openxmlformats-officedocument.spreadsheetml.table+xml"/>
  <Override PartName="/xl/tables/table914.xml" ContentType="application/vnd.openxmlformats-officedocument.spreadsheetml.table+xml"/>
  <Override PartName="/xl/tables/table915.xml" ContentType="application/vnd.openxmlformats-officedocument.spreadsheetml.table+xml"/>
  <Override PartName="/xl/tables/table916.xml" ContentType="application/vnd.openxmlformats-officedocument.spreadsheetml.table+xml"/>
  <Override PartName="/xl/tables/table917.xml" ContentType="application/vnd.openxmlformats-officedocument.spreadsheetml.table+xml"/>
  <Override PartName="/xl/tables/table918.xml" ContentType="application/vnd.openxmlformats-officedocument.spreadsheetml.table+xml"/>
  <Override PartName="/xl/drawings/drawing35.xml" ContentType="application/vnd.openxmlformats-officedocument.drawing+xml"/>
  <Override PartName="/xl/tables/table919.xml" ContentType="application/vnd.openxmlformats-officedocument.spreadsheetml.table+xml"/>
  <Override PartName="/xl/tables/table920.xml" ContentType="application/vnd.openxmlformats-officedocument.spreadsheetml.table+xml"/>
  <Override PartName="/xl/tables/table921.xml" ContentType="application/vnd.openxmlformats-officedocument.spreadsheetml.table+xml"/>
  <Override PartName="/xl/drawings/drawing36.xml" ContentType="application/vnd.openxmlformats-officedocument.drawing+xml"/>
  <Override PartName="/xl/tables/table922.xml" ContentType="application/vnd.openxmlformats-officedocument.spreadsheetml.table+xml"/>
  <Override PartName="/xl/tables/table923.xml" ContentType="application/vnd.openxmlformats-officedocument.spreadsheetml.table+xml"/>
  <Override PartName="/xl/tables/table924.xml" ContentType="application/vnd.openxmlformats-officedocument.spreadsheetml.table+xml"/>
  <Override PartName="/xl/tables/table925.xml" ContentType="application/vnd.openxmlformats-officedocument.spreadsheetml.table+xml"/>
  <Override PartName="/xl/tables/table926.xml" ContentType="application/vnd.openxmlformats-officedocument.spreadsheetml.table+xml"/>
  <Override PartName="/xl/tables/table927.xml" ContentType="application/vnd.openxmlformats-officedocument.spreadsheetml.table+xml"/>
  <Override PartName="/xl/tables/table928.xml" ContentType="application/vnd.openxmlformats-officedocument.spreadsheetml.table+xml"/>
  <Override PartName="/xl/tables/table929.xml" ContentType="application/vnd.openxmlformats-officedocument.spreadsheetml.table+xml"/>
  <Override PartName="/xl/tables/table930.xml" ContentType="application/vnd.openxmlformats-officedocument.spreadsheetml.table+xml"/>
  <Override PartName="/xl/tables/table931.xml" ContentType="application/vnd.openxmlformats-officedocument.spreadsheetml.table+xml"/>
  <Override PartName="/xl/drawings/drawing37.xml" ContentType="application/vnd.openxmlformats-officedocument.drawing+xml"/>
  <Override PartName="/xl/tables/table932.xml" ContentType="application/vnd.openxmlformats-officedocument.spreadsheetml.table+xml"/>
  <Override PartName="/xl/tables/table933.xml" ContentType="application/vnd.openxmlformats-officedocument.spreadsheetml.table+xml"/>
  <Override PartName="/xl/tables/table934.xml" ContentType="application/vnd.openxmlformats-officedocument.spreadsheetml.table+xml"/>
  <Override PartName="/xl/tables/table935.xml" ContentType="application/vnd.openxmlformats-officedocument.spreadsheetml.table+xml"/>
  <Override PartName="/xl/tables/table936.xml" ContentType="application/vnd.openxmlformats-officedocument.spreadsheetml.table+xml"/>
  <Override PartName="/xl/tables/table937.xml" ContentType="application/vnd.openxmlformats-officedocument.spreadsheetml.table+xml"/>
  <Override PartName="/xl/tables/table938.xml" ContentType="application/vnd.openxmlformats-officedocument.spreadsheetml.table+xml"/>
  <Override PartName="/xl/tables/table939.xml" ContentType="application/vnd.openxmlformats-officedocument.spreadsheetml.table+xml"/>
  <Override PartName="/xl/tables/table940.xml" ContentType="application/vnd.openxmlformats-officedocument.spreadsheetml.table+xml"/>
  <Override PartName="/xl/tables/table941.xml" ContentType="application/vnd.openxmlformats-officedocument.spreadsheetml.table+xml"/>
  <Override PartName="/xl/tables/table942.xml" ContentType="application/vnd.openxmlformats-officedocument.spreadsheetml.table+xml"/>
  <Override PartName="/xl/tables/table943.xml" ContentType="application/vnd.openxmlformats-officedocument.spreadsheetml.table+xml"/>
  <Override PartName="/xl/tables/table944.xml" ContentType="application/vnd.openxmlformats-officedocument.spreadsheetml.table+xml"/>
  <Override PartName="/xl/tables/table945.xml" ContentType="application/vnd.openxmlformats-officedocument.spreadsheetml.table+xml"/>
  <Override PartName="/xl/tables/table946.xml" ContentType="application/vnd.openxmlformats-officedocument.spreadsheetml.table+xml"/>
  <Override PartName="/xl/drawings/drawing38.xml" ContentType="application/vnd.openxmlformats-officedocument.drawing+xml"/>
  <Override PartName="/xl/tables/table947.xml" ContentType="application/vnd.openxmlformats-officedocument.spreadsheetml.table+xml"/>
  <Override PartName="/xl/tables/table948.xml" ContentType="application/vnd.openxmlformats-officedocument.spreadsheetml.table+xml"/>
  <Override PartName="/xl/tables/table949.xml" ContentType="application/vnd.openxmlformats-officedocument.spreadsheetml.table+xml"/>
  <Override PartName="/xl/tables/table95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i unidad\Matriz de Costos\Malanga\"/>
    </mc:Choice>
  </mc:AlternateContent>
  <xr:revisionPtr revIDLastSave="0" documentId="13_ncr:1_{E9FC9680-DA40-4D3F-B559-840594221DB2}" xr6:coauthVersionLast="47" xr6:coauthVersionMax="47" xr10:uidLastSave="{00000000-0000-0000-0000-000000000000}"/>
  <bookViews>
    <workbookView xWindow="-108" yWindow="-108" windowWidth="23256" windowHeight="12456" activeTab="1" xr2:uid="{00000000-000D-0000-FFFF-FFFF00000000}"/>
  </bookViews>
  <sheets>
    <sheet name="MATRIZ CARTA" sheetId="6" r:id="rId1"/>
    <sheet name="SUB RECETAS COCINA" sheetId="56" r:id="rId2"/>
    <sheet name="JUGOS NATURALES" sheetId="18" r:id="rId3"/>
    <sheet name="LANGOSTINOS" sheetId="7" r:id="rId4"/>
    <sheet name="ENTRADAS" sheetId="4" state="hidden" r:id="rId5"/>
    <sheet name="CEVICHES" sheetId="5" state="hidden" r:id="rId6"/>
    <sheet name="LOS ARREBATOS DEL CHEF" sheetId="44" state="hidden" r:id="rId7"/>
    <sheet name="FUERTES TIERRA" sheetId="14" state="hidden" r:id="rId8"/>
    <sheet name="ENSALADAS" sheetId="11" state="hidden" r:id="rId9"/>
    <sheet name="ARROCES" sheetId="12" state="hidden" r:id="rId10"/>
    <sheet name="FUERTES MAR" sheetId="13" state="hidden" r:id="rId11"/>
    <sheet name="FUERTES MAR Y TIERRA" sheetId="15" state="hidden" r:id="rId12"/>
    <sheet name="POSTRES" sheetId="17" state="hidden" r:id="rId13"/>
    <sheet name="INSUMOS" sheetId="8" r:id="rId14"/>
    <sheet name="BRUNCH" sheetId="29" state="hidden" r:id="rId15"/>
    <sheet name="COCTELES MALANGA" sheetId="46" state="hidden" r:id="rId16"/>
    <sheet name="SODAS" sheetId="19" r:id="rId17"/>
    <sheet name="REFAJO" sheetId="42" r:id="rId18"/>
    <sheet name="SUB RECETAS BAR" sheetId="57" r:id="rId19"/>
    <sheet name="MOCKTAILS" sheetId="23" r:id="rId20"/>
    <sheet name="SANGRIAS" sheetId="22" r:id="rId21"/>
    <sheet name="COCTELES TRADICIONALES" sheetId="20" r:id="rId22"/>
    <sheet name="TEQUILA" sheetId="28" r:id="rId23"/>
    <sheet name="MEZCAL" sheetId="35" r:id="rId24"/>
    <sheet name="AGUARDIENTE" sheetId="34" r:id="rId25"/>
    <sheet name="GINEBRA" sheetId="33" r:id="rId26"/>
    <sheet name="VODKA" sheetId="30" r:id="rId27"/>
    <sheet name="RON" sheetId="27" r:id="rId28"/>
    <sheet name="AROMATICAS" sheetId="40" r:id="rId29"/>
    <sheet name="WISKHY" sheetId="31" r:id="rId30"/>
    <sheet name="BEBIDAS" sheetId="24" r:id="rId31"/>
    <sheet name="MEZCLADORES" sheetId="43" r:id="rId32"/>
    <sheet name="CHAMPAÑAS Y ESPUMOSOS" sheetId="41" r:id="rId33"/>
    <sheet name="VINO ROSADO" sheetId="39" r:id="rId34"/>
    <sheet name="CERVEZAS" sheetId="36" r:id="rId35"/>
    <sheet name="MALTAS" sheetId="32" r:id="rId36"/>
    <sheet name="MENU INFANTIL" sheetId="16" state="hidden" r:id="rId37"/>
    <sheet name="VINO BLANCO" sheetId="25" r:id="rId38"/>
    <sheet name="VINO TINTO" sheetId="38" r:id="rId39"/>
    <sheet name="CAFES" sheetId="37" r:id="rId40"/>
  </sheets>
  <definedNames>
    <definedName name="_xlnm._FilterDatabase" localSheetId="13" hidden="1">INSUMOS!$A$1:$C$1067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0" i="14" l="1"/>
  <c r="H120" i="14" s="1"/>
  <c r="G114" i="14"/>
  <c r="H114" i="14" s="1"/>
  <c r="B233" i="6" l="1"/>
  <c r="J233" i="6" s="1"/>
  <c r="F233" i="6"/>
  <c r="G233" i="6" s="1"/>
  <c r="O233" i="6"/>
  <c r="P233" i="6" s="1"/>
  <c r="S233" i="6"/>
  <c r="G218" i="46"/>
  <c r="H218" i="46" s="1"/>
  <c r="K217" i="46"/>
  <c r="K218" i="46" s="1"/>
  <c r="G217" i="46"/>
  <c r="H217" i="46" s="1"/>
  <c r="G216" i="46"/>
  <c r="H216" i="46" s="1"/>
  <c r="G215" i="46"/>
  <c r="H215" i="46" s="1"/>
  <c r="G214" i="46"/>
  <c r="H214" i="46" s="1"/>
  <c r="B32" i="6"/>
  <c r="B31" i="6"/>
  <c r="J31" i="6" s="1"/>
  <c r="F31" i="6"/>
  <c r="G31" i="6" s="1"/>
  <c r="O31" i="6"/>
  <c r="P31" i="6" s="1"/>
  <c r="F32" i="6"/>
  <c r="G32" i="6" s="1"/>
  <c r="O32" i="6"/>
  <c r="P32" i="6" s="1"/>
  <c r="C1066" i="8"/>
  <c r="G280" i="56"/>
  <c r="H280" i="56" s="1"/>
  <c r="G281" i="56"/>
  <c r="H281" i="56" s="1"/>
  <c r="G282" i="56"/>
  <c r="H282" i="56" s="1"/>
  <c r="G283" i="56"/>
  <c r="H283" i="56" s="1"/>
  <c r="G111" i="44"/>
  <c r="H111" i="44" s="1"/>
  <c r="G112" i="44"/>
  <c r="H112" i="44" s="1"/>
  <c r="G113" i="44"/>
  <c r="H113" i="44" s="1"/>
  <c r="G114" i="44"/>
  <c r="H114" i="44" s="1"/>
  <c r="G110" i="44"/>
  <c r="H110" i="44" s="1"/>
  <c r="G109" i="44"/>
  <c r="H109" i="44" s="1"/>
  <c r="G108" i="44"/>
  <c r="H108" i="44" s="1"/>
  <c r="G107" i="44"/>
  <c r="H107" i="44" s="1"/>
  <c r="G106" i="44"/>
  <c r="H106" i="44" s="1"/>
  <c r="G105" i="44"/>
  <c r="H105" i="44" s="1"/>
  <c r="G104" i="44"/>
  <c r="H104" i="44" s="1"/>
  <c r="G103" i="44"/>
  <c r="H103" i="44" s="1"/>
  <c r="G102" i="44"/>
  <c r="H102" i="44" s="1"/>
  <c r="G101" i="44"/>
  <c r="H101" i="44" s="1"/>
  <c r="K100" i="44"/>
  <c r="K101" i="44" s="1"/>
  <c r="G100" i="44"/>
  <c r="H100" i="44" s="1"/>
  <c r="G99" i="44"/>
  <c r="H99" i="44" s="1"/>
  <c r="G98" i="44"/>
  <c r="H98" i="44" s="1"/>
  <c r="G97" i="44"/>
  <c r="H97" i="44" s="1"/>
  <c r="G91" i="44"/>
  <c r="H91" i="44" s="1"/>
  <c r="G90" i="44"/>
  <c r="H90" i="44" s="1"/>
  <c r="G89" i="44"/>
  <c r="H89" i="44" s="1"/>
  <c r="G88" i="44"/>
  <c r="H88" i="44" s="1"/>
  <c r="G87" i="44"/>
  <c r="H87" i="44" s="1"/>
  <c r="G86" i="44"/>
  <c r="H86" i="44" s="1"/>
  <c r="G85" i="44"/>
  <c r="H85" i="44" s="1"/>
  <c r="G84" i="44"/>
  <c r="H84" i="44" s="1"/>
  <c r="G83" i="44"/>
  <c r="H83" i="44" s="1"/>
  <c r="G82" i="44"/>
  <c r="H82" i="44" s="1"/>
  <c r="K81" i="44"/>
  <c r="K82" i="44" s="1"/>
  <c r="G81" i="44"/>
  <c r="H81" i="44" s="1"/>
  <c r="G80" i="44"/>
  <c r="H80" i="44" s="1"/>
  <c r="G79" i="44"/>
  <c r="H79" i="44" s="1"/>
  <c r="G78" i="44"/>
  <c r="H78" i="44" s="1"/>
  <c r="G973" i="56"/>
  <c r="H973" i="56" s="1"/>
  <c r="G974" i="56"/>
  <c r="H974" i="56" s="1"/>
  <c r="G975" i="56"/>
  <c r="H975" i="56" s="1"/>
  <c r="G972" i="56"/>
  <c r="H972" i="56" s="1"/>
  <c r="G971" i="56"/>
  <c r="H971" i="56" s="1"/>
  <c r="G970" i="56"/>
  <c r="H970" i="56" s="1"/>
  <c r="G964" i="56"/>
  <c r="H964" i="56" s="1"/>
  <c r="G963" i="56"/>
  <c r="H963" i="56" s="1"/>
  <c r="G962" i="56"/>
  <c r="H962" i="56" s="1"/>
  <c r="G955" i="56"/>
  <c r="H955" i="56" s="1"/>
  <c r="G956" i="56"/>
  <c r="H956" i="56" s="1"/>
  <c r="G954" i="56"/>
  <c r="H954" i="56" s="1"/>
  <c r="G953" i="56"/>
  <c r="H953" i="56" s="1"/>
  <c r="G952" i="56"/>
  <c r="H952" i="56" s="1"/>
  <c r="G951" i="56"/>
  <c r="H951" i="56" s="1"/>
  <c r="G950" i="56"/>
  <c r="H950" i="56" s="1"/>
  <c r="G949" i="56"/>
  <c r="H949" i="56" s="1"/>
  <c r="G948" i="56"/>
  <c r="H948" i="56" s="1"/>
  <c r="G947" i="56"/>
  <c r="H947" i="56" s="1"/>
  <c r="G942" i="56"/>
  <c r="H942" i="56" s="1"/>
  <c r="G941" i="56"/>
  <c r="H941" i="56" s="1"/>
  <c r="G940" i="56"/>
  <c r="H940" i="56" s="1"/>
  <c r="G939" i="56"/>
  <c r="H939" i="56" s="1"/>
  <c r="G938" i="56"/>
  <c r="H938" i="56" s="1"/>
  <c r="G937" i="56"/>
  <c r="H937" i="56" s="1"/>
  <c r="G936" i="56"/>
  <c r="H936" i="56" s="1"/>
  <c r="G935" i="56"/>
  <c r="H935" i="56" s="1"/>
  <c r="G929" i="56"/>
  <c r="H929" i="56" s="1"/>
  <c r="G928" i="56"/>
  <c r="H928" i="56" s="1"/>
  <c r="G927" i="56"/>
  <c r="H927" i="56" s="1"/>
  <c r="G926" i="56"/>
  <c r="H926" i="56" s="1"/>
  <c r="G925" i="56"/>
  <c r="H925" i="56" s="1"/>
  <c r="G924" i="56"/>
  <c r="H924" i="56" s="1"/>
  <c r="G923" i="56"/>
  <c r="H923" i="56" s="1"/>
  <c r="G922" i="56"/>
  <c r="H922" i="56" s="1"/>
  <c r="G245" i="57"/>
  <c r="H245" i="57" s="1"/>
  <c r="G916" i="56"/>
  <c r="H916" i="56" s="1"/>
  <c r="G915" i="56"/>
  <c r="H915" i="56" s="1"/>
  <c r="G914" i="56"/>
  <c r="H914" i="56" s="1"/>
  <c r="G913" i="56"/>
  <c r="H913" i="56" s="1"/>
  <c r="G912" i="56"/>
  <c r="H912" i="56" s="1"/>
  <c r="G911" i="56"/>
  <c r="H911" i="56" s="1"/>
  <c r="G910" i="56"/>
  <c r="H910" i="56" s="1"/>
  <c r="G898" i="56"/>
  <c r="H898" i="56" s="1"/>
  <c r="G899" i="56"/>
  <c r="H899" i="56" s="1"/>
  <c r="G900" i="56"/>
  <c r="H900" i="56" s="1"/>
  <c r="G901" i="56"/>
  <c r="H901" i="56" s="1"/>
  <c r="G902" i="56"/>
  <c r="H902" i="56" s="1"/>
  <c r="G903" i="56"/>
  <c r="H903" i="56" s="1"/>
  <c r="G904" i="56"/>
  <c r="H904" i="56" s="1"/>
  <c r="G897" i="56"/>
  <c r="H897" i="56" s="1"/>
  <c r="G896" i="56"/>
  <c r="H896" i="56" s="1"/>
  <c r="G895" i="56"/>
  <c r="H895" i="56" s="1"/>
  <c r="G888" i="56"/>
  <c r="H888" i="56" s="1"/>
  <c r="G889" i="56"/>
  <c r="H889" i="56" s="1"/>
  <c r="G887" i="56"/>
  <c r="H887" i="56" s="1"/>
  <c r="G879" i="56"/>
  <c r="H879" i="56" s="1"/>
  <c r="G237" i="57"/>
  <c r="H237" i="57" s="1"/>
  <c r="G873" i="56"/>
  <c r="H873" i="56" s="1"/>
  <c r="G872" i="56"/>
  <c r="H872" i="56" s="1"/>
  <c r="G871" i="56"/>
  <c r="H871" i="56" s="1"/>
  <c r="G870" i="56"/>
  <c r="H870" i="56" s="1"/>
  <c r="G869" i="56"/>
  <c r="H869" i="56" s="1"/>
  <c r="G868" i="56"/>
  <c r="H868" i="56" s="1"/>
  <c r="G867" i="56"/>
  <c r="H867" i="56" s="1"/>
  <c r="G866" i="56"/>
  <c r="H866" i="56" s="1"/>
  <c r="G860" i="56"/>
  <c r="H860" i="56" s="1"/>
  <c r="G859" i="56"/>
  <c r="H859" i="56" s="1"/>
  <c r="G858" i="56"/>
  <c r="H858" i="56" s="1"/>
  <c r="G857" i="56"/>
  <c r="H857" i="56" s="1"/>
  <c r="G856" i="56"/>
  <c r="H856" i="56" s="1"/>
  <c r="G855" i="56"/>
  <c r="H855" i="56" s="1"/>
  <c r="G854" i="56"/>
  <c r="H854" i="56" s="1"/>
  <c r="G847" i="56"/>
  <c r="H847" i="56" s="1"/>
  <c r="G848" i="56"/>
  <c r="H848" i="56" s="1"/>
  <c r="G849" i="56"/>
  <c r="H849" i="56" s="1"/>
  <c r="G846" i="56"/>
  <c r="H846" i="56" s="1"/>
  <c r="G845" i="56"/>
  <c r="H845" i="56" s="1"/>
  <c r="G844" i="56"/>
  <c r="H844" i="56" s="1"/>
  <c r="G843" i="56"/>
  <c r="H843" i="56" s="1"/>
  <c r="G837" i="56"/>
  <c r="H837" i="56" s="1"/>
  <c r="G836" i="56"/>
  <c r="H836" i="56" s="1"/>
  <c r="G835" i="56"/>
  <c r="H835" i="56" s="1"/>
  <c r="G834" i="56"/>
  <c r="H834" i="56" s="1"/>
  <c r="G827" i="56"/>
  <c r="H827" i="56" s="1"/>
  <c r="G828" i="56"/>
  <c r="H828" i="56" s="1"/>
  <c r="G826" i="56"/>
  <c r="H826" i="56" s="1"/>
  <c r="G825" i="56"/>
  <c r="H825" i="56" s="1"/>
  <c r="G824" i="56"/>
  <c r="H824" i="56" s="1"/>
  <c r="G819" i="56"/>
  <c r="H819" i="56" s="1"/>
  <c r="G818" i="56"/>
  <c r="H818" i="56" s="1"/>
  <c r="G817" i="56"/>
  <c r="H817" i="56" s="1"/>
  <c r="G811" i="56"/>
  <c r="H811" i="56" s="1"/>
  <c r="G810" i="56"/>
  <c r="H810" i="56" s="1"/>
  <c r="G809" i="56"/>
  <c r="H809" i="56" s="1"/>
  <c r="G808" i="56"/>
  <c r="H808" i="56" s="1"/>
  <c r="G807" i="56"/>
  <c r="H807" i="56" s="1"/>
  <c r="G806" i="56"/>
  <c r="H806" i="56" s="1"/>
  <c r="G798" i="56"/>
  <c r="H798" i="56" s="1"/>
  <c r="G799" i="56"/>
  <c r="H799" i="56" s="1"/>
  <c r="G800" i="56"/>
  <c r="H800" i="56" s="1"/>
  <c r="G797" i="56"/>
  <c r="H797" i="56" s="1"/>
  <c r="G796" i="56"/>
  <c r="H796" i="56" s="1"/>
  <c r="G795" i="56"/>
  <c r="H795" i="56" s="1"/>
  <c r="G789" i="56"/>
  <c r="H789" i="56" s="1"/>
  <c r="G788" i="56"/>
  <c r="H788" i="56" s="1"/>
  <c r="G787" i="56"/>
  <c r="H787" i="56" s="1"/>
  <c r="G779" i="56"/>
  <c r="H779" i="56" s="1"/>
  <c r="G780" i="56"/>
  <c r="H780" i="56" s="1"/>
  <c r="G781" i="56"/>
  <c r="H781" i="56" s="1"/>
  <c r="G778" i="56"/>
  <c r="H778" i="56" s="1"/>
  <c r="G777" i="56"/>
  <c r="H777" i="56" s="1"/>
  <c r="G776" i="56"/>
  <c r="H776" i="56" s="1"/>
  <c r="G775" i="56"/>
  <c r="H775" i="56" s="1"/>
  <c r="G770" i="56"/>
  <c r="H770" i="56" s="1"/>
  <c r="G769" i="56"/>
  <c r="H769" i="56" s="1"/>
  <c r="G768" i="56"/>
  <c r="H768" i="56" s="1"/>
  <c r="G767" i="56"/>
  <c r="H767" i="56" s="1"/>
  <c r="G762" i="56"/>
  <c r="H762" i="56" s="1"/>
  <c r="G761" i="56"/>
  <c r="H761" i="56" s="1"/>
  <c r="G760" i="56"/>
  <c r="H760" i="56" s="1"/>
  <c r="G759" i="56"/>
  <c r="H759" i="56" s="1"/>
  <c r="G751" i="56"/>
  <c r="H751" i="56" s="1"/>
  <c r="G752" i="56"/>
  <c r="H752" i="56" s="1"/>
  <c r="G753" i="56"/>
  <c r="H753" i="56" s="1"/>
  <c r="G750" i="56"/>
  <c r="H750" i="56" s="1"/>
  <c r="G749" i="56"/>
  <c r="H749" i="56" s="1"/>
  <c r="G742" i="56"/>
  <c r="H742" i="56" s="1"/>
  <c r="G741" i="56"/>
  <c r="H741" i="56" s="1"/>
  <c r="G734" i="56"/>
  <c r="H734" i="56" s="1"/>
  <c r="G735" i="56"/>
  <c r="H735" i="56" s="1"/>
  <c r="G733" i="56"/>
  <c r="H733" i="56" s="1"/>
  <c r="G732" i="56"/>
  <c r="H732" i="56" s="1"/>
  <c r="G726" i="56"/>
  <c r="H726" i="56" s="1"/>
  <c r="G725" i="56"/>
  <c r="H725" i="56" s="1"/>
  <c r="G718" i="56"/>
  <c r="H718" i="56" s="1"/>
  <c r="G717" i="56"/>
  <c r="H717" i="56" s="1"/>
  <c r="G710" i="56"/>
  <c r="H710" i="56" s="1"/>
  <c r="G701" i="56"/>
  <c r="H701" i="56" s="1"/>
  <c r="G702" i="56"/>
  <c r="H702" i="56" s="1"/>
  <c r="G703" i="56"/>
  <c r="H703" i="56" s="1"/>
  <c r="G704" i="56"/>
  <c r="H704" i="56" s="1"/>
  <c r="G700" i="56"/>
  <c r="H700" i="56" s="1"/>
  <c r="G699" i="56"/>
  <c r="H699" i="56" s="1"/>
  <c r="G698" i="56"/>
  <c r="H698" i="56" s="1"/>
  <c r="G697" i="56"/>
  <c r="H697" i="56" s="1"/>
  <c r="G696" i="56"/>
  <c r="H696" i="56" s="1"/>
  <c r="G688" i="56"/>
  <c r="H688" i="56" s="1"/>
  <c r="G689" i="56"/>
  <c r="H689" i="56" s="1"/>
  <c r="G690" i="56"/>
  <c r="H690" i="56" s="1"/>
  <c r="G687" i="56"/>
  <c r="H687" i="56" s="1"/>
  <c r="G686" i="56"/>
  <c r="H686" i="56" s="1"/>
  <c r="G679" i="56"/>
  <c r="H679" i="56" s="1"/>
  <c r="G678" i="56"/>
  <c r="H678" i="56" s="1"/>
  <c r="G666" i="56"/>
  <c r="H666" i="56" s="1"/>
  <c r="G667" i="56"/>
  <c r="H667" i="56" s="1"/>
  <c r="G668" i="56"/>
  <c r="H668" i="56" s="1"/>
  <c r="G669" i="56"/>
  <c r="H669" i="56" s="1"/>
  <c r="G670" i="56"/>
  <c r="H670" i="56" s="1"/>
  <c r="G671" i="56"/>
  <c r="H671" i="56" s="1"/>
  <c r="G672" i="56"/>
  <c r="H672" i="56" s="1"/>
  <c r="G665" i="56"/>
  <c r="H665" i="56" s="1"/>
  <c r="G664" i="56"/>
  <c r="H664" i="56" s="1"/>
  <c r="G663" i="56"/>
  <c r="H663" i="56" s="1"/>
  <c r="G662" i="56"/>
  <c r="H662" i="56" s="1"/>
  <c r="G229" i="57"/>
  <c r="H229" i="57" s="1"/>
  <c r="G653" i="56"/>
  <c r="H653" i="56" s="1"/>
  <c r="G652" i="56"/>
  <c r="H652" i="56" s="1"/>
  <c r="G651" i="56"/>
  <c r="H651" i="56" s="1"/>
  <c r="G650" i="56"/>
  <c r="H650" i="56" s="1"/>
  <c r="G643" i="56"/>
  <c r="H643" i="56" s="1"/>
  <c r="G642" i="56"/>
  <c r="H642" i="56" s="1"/>
  <c r="G641" i="56"/>
  <c r="H641" i="56" s="1"/>
  <c r="G640" i="56"/>
  <c r="H640" i="56" s="1"/>
  <c r="G633" i="56"/>
  <c r="H633" i="56" s="1"/>
  <c r="G632" i="56"/>
  <c r="H632" i="56" s="1"/>
  <c r="G631" i="56"/>
  <c r="H631" i="56" s="1"/>
  <c r="G625" i="56"/>
  <c r="H625" i="56" s="1"/>
  <c r="G624" i="56"/>
  <c r="H624" i="56" s="1"/>
  <c r="G623" i="56"/>
  <c r="H623" i="56" s="1"/>
  <c r="G617" i="56"/>
  <c r="H617" i="56" s="1"/>
  <c r="G616" i="56"/>
  <c r="H616" i="56" s="1"/>
  <c r="G610" i="56"/>
  <c r="H610" i="56" s="1"/>
  <c r="G609" i="56"/>
  <c r="H609" i="56" s="1"/>
  <c r="G608" i="56"/>
  <c r="H608" i="56" s="1"/>
  <c r="G607" i="56"/>
  <c r="H607" i="56" s="1"/>
  <c r="G601" i="56"/>
  <c r="H601" i="56" s="1"/>
  <c r="G600" i="56"/>
  <c r="H600" i="56" s="1"/>
  <c r="G599" i="56"/>
  <c r="H599" i="56" s="1"/>
  <c r="G598" i="56"/>
  <c r="H598" i="56" s="1"/>
  <c r="G597" i="56"/>
  <c r="H597" i="56" s="1"/>
  <c r="G596" i="56"/>
  <c r="H596" i="56" s="1"/>
  <c r="G595" i="56"/>
  <c r="H595" i="56" s="1"/>
  <c r="G588" i="56"/>
  <c r="H588" i="56" s="1"/>
  <c r="G587" i="56"/>
  <c r="H587" i="56" s="1"/>
  <c r="G586" i="56"/>
  <c r="H586" i="56" s="1"/>
  <c r="G580" i="56"/>
  <c r="H580" i="56" s="1"/>
  <c r="G579" i="56"/>
  <c r="H579" i="56" s="1"/>
  <c r="G571" i="56"/>
  <c r="H571" i="56" s="1"/>
  <c r="G572" i="56"/>
  <c r="H572" i="56" s="1"/>
  <c r="G573" i="56"/>
  <c r="H573" i="56" s="1"/>
  <c r="G570" i="56"/>
  <c r="H570" i="56" s="1"/>
  <c r="G569" i="56"/>
  <c r="H569" i="56" s="1"/>
  <c r="G568" i="56"/>
  <c r="H568" i="56" s="1"/>
  <c r="G567" i="56"/>
  <c r="H567" i="56" s="1"/>
  <c r="G566" i="56"/>
  <c r="H566" i="56" s="1"/>
  <c r="G559" i="56"/>
  <c r="H559" i="56" s="1"/>
  <c r="G560" i="56"/>
  <c r="H560" i="56" s="1"/>
  <c r="G558" i="56"/>
  <c r="H558" i="56" s="1"/>
  <c r="G557" i="56"/>
  <c r="H557" i="56" s="1"/>
  <c r="G556" i="56"/>
  <c r="H556" i="56" s="1"/>
  <c r="G523" i="56"/>
  <c r="H523" i="56" s="1"/>
  <c r="G550" i="56"/>
  <c r="H550" i="56" s="1"/>
  <c r="G549" i="56"/>
  <c r="H549" i="56" s="1"/>
  <c r="G548" i="56"/>
  <c r="H548" i="56" s="1"/>
  <c r="G542" i="56"/>
  <c r="H542" i="56" s="1"/>
  <c r="G541" i="56"/>
  <c r="H541" i="56" s="1"/>
  <c r="G540" i="56"/>
  <c r="H540" i="56" s="1"/>
  <c r="G539" i="56"/>
  <c r="H539" i="56" s="1"/>
  <c r="G538" i="56"/>
  <c r="H538" i="56" s="1"/>
  <c r="G532" i="56"/>
  <c r="H532" i="56" s="1"/>
  <c r="G531" i="56"/>
  <c r="H531" i="56" s="1"/>
  <c r="G530" i="56"/>
  <c r="H530" i="56" s="1"/>
  <c r="G529" i="56"/>
  <c r="H529" i="56" s="1"/>
  <c r="G528" i="56"/>
  <c r="H528" i="56" s="1"/>
  <c r="G522" i="56"/>
  <c r="H522" i="56" s="1"/>
  <c r="G521" i="56"/>
  <c r="H521" i="56" s="1"/>
  <c r="G520" i="56"/>
  <c r="H520" i="56" s="1"/>
  <c r="G519" i="56"/>
  <c r="H519" i="56" s="1"/>
  <c r="G518" i="56"/>
  <c r="H518" i="56" s="1"/>
  <c r="G511" i="56"/>
  <c r="H511" i="56" s="1"/>
  <c r="G510" i="56"/>
  <c r="H510" i="56" s="1"/>
  <c r="G509" i="56"/>
  <c r="H509" i="56" s="1"/>
  <c r="G222" i="57"/>
  <c r="H222" i="57" s="1"/>
  <c r="G214" i="57"/>
  <c r="H214" i="57" s="1"/>
  <c r="G207" i="57"/>
  <c r="H207" i="57" s="1"/>
  <c r="G199" i="57"/>
  <c r="H199" i="57" s="1"/>
  <c r="G200" i="57"/>
  <c r="H200" i="57" s="1"/>
  <c r="G201" i="57"/>
  <c r="H201" i="57" s="1"/>
  <c r="G198" i="57"/>
  <c r="H198" i="57" s="1"/>
  <c r="G503" i="56"/>
  <c r="H503" i="56" s="1"/>
  <c r="G502" i="56"/>
  <c r="H502" i="56" s="1"/>
  <c r="G495" i="56"/>
  <c r="H495" i="56" s="1"/>
  <c r="H496" i="56" s="1"/>
  <c r="G488" i="56"/>
  <c r="H488" i="56" s="1"/>
  <c r="G487" i="56"/>
  <c r="H487" i="56" s="1"/>
  <c r="G486" i="56"/>
  <c r="H486" i="56" s="1"/>
  <c r="G485" i="56"/>
  <c r="H485" i="56" s="1"/>
  <c r="G484" i="56"/>
  <c r="H484" i="56" s="1"/>
  <c r="G478" i="56"/>
  <c r="H478" i="56" s="1"/>
  <c r="G477" i="56"/>
  <c r="H477" i="56" s="1"/>
  <c r="G476" i="56"/>
  <c r="H476" i="56" s="1"/>
  <c r="G475" i="56"/>
  <c r="H475" i="56" s="1"/>
  <c r="G474" i="56"/>
  <c r="H474" i="56" s="1"/>
  <c r="G473" i="56"/>
  <c r="H473" i="56" s="1"/>
  <c r="G472" i="56"/>
  <c r="H472" i="56" s="1"/>
  <c r="G471" i="56"/>
  <c r="H471" i="56" s="1"/>
  <c r="G470" i="56"/>
  <c r="H470" i="56" s="1"/>
  <c r="G469" i="56"/>
  <c r="H469" i="56" s="1"/>
  <c r="G468" i="56"/>
  <c r="H468" i="56" s="1"/>
  <c r="G462" i="56"/>
  <c r="H462" i="56" s="1"/>
  <c r="G461" i="56"/>
  <c r="H461" i="56" s="1"/>
  <c r="G460" i="56"/>
  <c r="H460" i="56" s="1"/>
  <c r="G459" i="56"/>
  <c r="H459" i="56" s="1"/>
  <c r="G458" i="56"/>
  <c r="H458" i="56" s="1"/>
  <c r="G457" i="56"/>
  <c r="H457" i="56" s="1"/>
  <c r="G451" i="56"/>
  <c r="H451" i="56" s="1"/>
  <c r="G450" i="56"/>
  <c r="H450" i="56" s="1"/>
  <c r="G449" i="56"/>
  <c r="H449" i="56" s="1"/>
  <c r="G448" i="56"/>
  <c r="H448" i="56" s="1"/>
  <c r="G447" i="56"/>
  <c r="H447" i="56" s="1"/>
  <c r="G446" i="56"/>
  <c r="H446" i="56" s="1"/>
  <c r="G445" i="56"/>
  <c r="H445" i="56" s="1"/>
  <c r="G444" i="56"/>
  <c r="H444" i="56" s="1"/>
  <c r="G438" i="56"/>
  <c r="H438" i="56" s="1"/>
  <c r="G437" i="56"/>
  <c r="H437" i="56" s="1"/>
  <c r="G436" i="56"/>
  <c r="H436" i="56" s="1"/>
  <c r="G435" i="56"/>
  <c r="H435" i="56" s="1"/>
  <c r="G434" i="56"/>
  <c r="H434" i="56" s="1"/>
  <c r="G433" i="56"/>
  <c r="H433" i="56" s="1"/>
  <c r="G418" i="56"/>
  <c r="H418" i="56" s="1"/>
  <c r="G419" i="56"/>
  <c r="H419" i="56" s="1"/>
  <c r="G420" i="56"/>
  <c r="H420" i="56" s="1"/>
  <c r="G421" i="56"/>
  <c r="H421" i="56" s="1"/>
  <c r="G422" i="56"/>
  <c r="H422" i="56" s="1"/>
  <c r="G423" i="56"/>
  <c r="H423" i="56" s="1"/>
  <c r="G424" i="56"/>
  <c r="H424" i="56" s="1"/>
  <c r="G425" i="56"/>
  <c r="H425" i="56" s="1"/>
  <c r="G426" i="56"/>
  <c r="H426" i="56" s="1"/>
  <c r="G427" i="56"/>
  <c r="H427" i="56" s="1"/>
  <c r="G402" i="56"/>
  <c r="H402" i="56" s="1"/>
  <c r="G403" i="56"/>
  <c r="H403" i="56" s="1"/>
  <c r="G404" i="56"/>
  <c r="H404" i="56" s="1"/>
  <c r="G405" i="56"/>
  <c r="H405" i="56" s="1"/>
  <c r="G406" i="56"/>
  <c r="H406" i="56" s="1"/>
  <c r="G407" i="56"/>
  <c r="H407" i="56" s="1"/>
  <c r="G408" i="56"/>
  <c r="H408" i="56" s="1"/>
  <c r="G409" i="56"/>
  <c r="H409" i="56" s="1"/>
  <c r="G410" i="56"/>
  <c r="H410" i="56" s="1"/>
  <c r="G411" i="56"/>
  <c r="H411" i="56" s="1"/>
  <c r="G393" i="56"/>
  <c r="H393" i="56" s="1"/>
  <c r="G384" i="56"/>
  <c r="H384" i="56" s="1"/>
  <c r="G385" i="56"/>
  <c r="H385" i="56" s="1"/>
  <c r="G362" i="56"/>
  <c r="H362" i="56" s="1"/>
  <c r="G363" i="56"/>
  <c r="H363" i="56" s="1"/>
  <c r="G364" i="56"/>
  <c r="H364" i="56" s="1"/>
  <c r="G365" i="56"/>
  <c r="H365" i="56" s="1"/>
  <c r="G366" i="56"/>
  <c r="H366" i="56" s="1"/>
  <c r="G367" i="56"/>
  <c r="H367" i="56" s="1"/>
  <c r="G368" i="56"/>
  <c r="H368" i="56" s="1"/>
  <c r="G369" i="56"/>
  <c r="H369" i="56" s="1"/>
  <c r="G351" i="56"/>
  <c r="H351" i="56" s="1"/>
  <c r="G352" i="56"/>
  <c r="H352" i="56" s="1"/>
  <c r="G353" i="56"/>
  <c r="H353" i="56" s="1"/>
  <c r="G354" i="56"/>
  <c r="H354" i="56" s="1"/>
  <c r="G343" i="56"/>
  <c r="H343" i="56" s="1"/>
  <c r="G344" i="56"/>
  <c r="H344" i="56" s="1"/>
  <c r="G417" i="56"/>
  <c r="H417" i="56" s="1"/>
  <c r="G416" i="56"/>
  <c r="H416" i="56" s="1"/>
  <c r="G401" i="56"/>
  <c r="H401" i="56" s="1"/>
  <c r="G400" i="56"/>
  <c r="H400" i="56" s="1"/>
  <c r="G392" i="56"/>
  <c r="H392" i="56" s="1"/>
  <c r="G391" i="56"/>
  <c r="H391" i="56" s="1"/>
  <c r="G383" i="56"/>
  <c r="H383" i="56" s="1"/>
  <c r="G382" i="56"/>
  <c r="H382" i="56" s="1"/>
  <c r="G376" i="56"/>
  <c r="H376" i="56" s="1"/>
  <c r="G375" i="56"/>
  <c r="H375" i="56" s="1"/>
  <c r="G361" i="56"/>
  <c r="H361" i="56" s="1"/>
  <c r="G360" i="56"/>
  <c r="H360" i="56" s="1"/>
  <c r="G350" i="56"/>
  <c r="H350" i="56" s="1"/>
  <c r="G349" i="56"/>
  <c r="H349" i="56" s="1"/>
  <c r="G330" i="56"/>
  <c r="H330" i="56" s="1"/>
  <c r="G331" i="56"/>
  <c r="H331" i="56" s="1"/>
  <c r="G332" i="56"/>
  <c r="H332" i="56" s="1"/>
  <c r="G333" i="56"/>
  <c r="H333" i="56" s="1"/>
  <c r="G334" i="56"/>
  <c r="H334" i="56" s="1"/>
  <c r="G335" i="56"/>
  <c r="H335" i="56" s="1"/>
  <c r="G336" i="56"/>
  <c r="H336" i="56" s="1"/>
  <c r="G315" i="56"/>
  <c r="H315" i="56" s="1"/>
  <c r="G316" i="56"/>
  <c r="H316" i="56" s="1"/>
  <c r="G317" i="56"/>
  <c r="H317" i="56" s="1"/>
  <c r="G318" i="56"/>
  <c r="H318" i="56" s="1"/>
  <c r="G319" i="56"/>
  <c r="H319" i="56" s="1"/>
  <c r="G320" i="56"/>
  <c r="H320" i="56" s="1"/>
  <c r="G321" i="56"/>
  <c r="H321" i="56" s="1"/>
  <c r="G191" i="57"/>
  <c r="H191" i="57" s="1"/>
  <c r="G342" i="56"/>
  <c r="H342" i="56" s="1"/>
  <c r="G341" i="56"/>
  <c r="H341" i="56" s="1"/>
  <c r="G329" i="56"/>
  <c r="H329" i="56" s="1"/>
  <c r="G328" i="56"/>
  <c r="H328" i="56" s="1"/>
  <c r="G314" i="56"/>
  <c r="H314" i="56" s="1"/>
  <c r="G313" i="56"/>
  <c r="H313" i="56" s="1"/>
  <c r="G305" i="56"/>
  <c r="H305" i="56" s="1"/>
  <c r="G304" i="56"/>
  <c r="H304" i="56" s="1"/>
  <c r="G297" i="56"/>
  <c r="H297" i="56" s="1"/>
  <c r="G296" i="56"/>
  <c r="H296" i="56" s="1"/>
  <c r="G289" i="56"/>
  <c r="H289" i="56" s="1"/>
  <c r="G288" i="56"/>
  <c r="H288" i="56" s="1"/>
  <c r="G279" i="56"/>
  <c r="H279" i="56" s="1"/>
  <c r="G255" i="56"/>
  <c r="H255" i="56" s="1"/>
  <c r="G241" i="56"/>
  <c r="H241" i="56" s="1"/>
  <c r="G242" i="56"/>
  <c r="H242" i="56" s="1"/>
  <c r="G243" i="56"/>
  <c r="H243" i="56" s="1"/>
  <c r="G212" i="56"/>
  <c r="H212" i="56" s="1"/>
  <c r="G278" i="56"/>
  <c r="H278" i="56" s="1"/>
  <c r="G277" i="56"/>
  <c r="H277" i="56" s="1"/>
  <c r="G276" i="56"/>
  <c r="H276" i="56" s="1"/>
  <c r="G275" i="56"/>
  <c r="H275" i="56" s="1"/>
  <c r="G274" i="56"/>
  <c r="H274" i="56" s="1"/>
  <c r="G273" i="56"/>
  <c r="H273" i="56" s="1"/>
  <c r="G272" i="56"/>
  <c r="H272" i="56" s="1"/>
  <c r="G266" i="56"/>
  <c r="H266" i="56" s="1"/>
  <c r="G265" i="56"/>
  <c r="H265" i="56" s="1"/>
  <c r="G264" i="56"/>
  <c r="H264" i="56" s="1"/>
  <c r="G263" i="56"/>
  <c r="H263" i="56" s="1"/>
  <c r="G262" i="56"/>
  <c r="H262" i="56" s="1"/>
  <c r="G261" i="56"/>
  <c r="H261" i="56" s="1"/>
  <c r="G260" i="56"/>
  <c r="H260" i="56" s="1"/>
  <c r="G254" i="56"/>
  <c r="H254" i="56" s="1"/>
  <c r="G253" i="56"/>
  <c r="H253" i="56" s="1"/>
  <c r="G252" i="56"/>
  <c r="H252" i="56" s="1"/>
  <c r="G251" i="56"/>
  <c r="H251" i="56" s="1"/>
  <c r="G250" i="56"/>
  <c r="H250" i="56" s="1"/>
  <c r="G249" i="56"/>
  <c r="H249" i="56" s="1"/>
  <c r="G248" i="56"/>
  <c r="H248" i="56" s="1"/>
  <c r="G240" i="56"/>
  <c r="H240" i="56" s="1"/>
  <c r="G239" i="56"/>
  <c r="H239" i="56" s="1"/>
  <c r="G238" i="56"/>
  <c r="H238" i="56" s="1"/>
  <c r="G237" i="56"/>
  <c r="H237" i="56" s="1"/>
  <c r="G236" i="56"/>
  <c r="H236" i="56" s="1"/>
  <c r="G229" i="56"/>
  <c r="H229" i="56" s="1"/>
  <c r="G228" i="56"/>
  <c r="H228" i="56" s="1"/>
  <c r="G227" i="56"/>
  <c r="H227" i="56" s="1"/>
  <c r="G226" i="56"/>
  <c r="H226" i="56" s="1"/>
  <c r="G225" i="56"/>
  <c r="H225" i="56" s="1"/>
  <c r="G224" i="56"/>
  <c r="H224" i="56" s="1"/>
  <c r="G217" i="56"/>
  <c r="H217" i="56" s="1"/>
  <c r="K216" i="56" s="1"/>
  <c r="G211" i="56"/>
  <c r="H211" i="56" s="1"/>
  <c r="G210" i="56"/>
  <c r="H210" i="56" s="1"/>
  <c r="G209" i="56"/>
  <c r="H209" i="56" s="1"/>
  <c r="G208" i="56"/>
  <c r="H208" i="56" s="1"/>
  <c r="G207" i="56"/>
  <c r="H207" i="56" s="1"/>
  <c r="G206" i="56"/>
  <c r="H206" i="56" s="1"/>
  <c r="G205" i="56"/>
  <c r="H205" i="56" s="1"/>
  <c r="G199" i="56"/>
  <c r="H199" i="56" s="1"/>
  <c r="G198" i="56"/>
  <c r="H198" i="56" s="1"/>
  <c r="G197" i="56"/>
  <c r="H197" i="56" s="1"/>
  <c r="G196" i="56"/>
  <c r="H196" i="56" s="1"/>
  <c r="G167" i="56"/>
  <c r="H167" i="56" s="1"/>
  <c r="G154" i="56"/>
  <c r="H154" i="56" s="1"/>
  <c r="G141" i="56"/>
  <c r="H141" i="56" s="1"/>
  <c r="G190" i="56"/>
  <c r="H190" i="56" s="1"/>
  <c r="G189" i="56"/>
  <c r="H189" i="56" s="1"/>
  <c r="G188" i="56"/>
  <c r="H188" i="56" s="1"/>
  <c r="G187" i="56"/>
  <c r="H187" i="56" s="1"/>
  <c r="G186" i="56"/>
  <c r="H186" i="56" s="1"/>
  <c r="G185" i="56"/>
  <c r="H185" i="56" s="1"/>
  <c r="G184" i="56"/>
  <c r="H184" i="56" s="1"/>
  <c r="G179" i="56"/>
  <c r="H179" i="56" s="1"/>
  <c r="G178" i="56"/>
  <c r="H178" i="56" s="1"/>
  <c r="G177" i="56"/>
  <c r="H177" i="56" s="1"/>
  <c r="G176" i="56"/>
  <c r="H176" i="56" s="1"/>
  <c r="G175" i="56"/>
  <c r="H175" i="56" s="1"/>
  <c r="G174" i="56"/>
  <c r="H174" i="56" s="1"/>
  <c r="G173" i="56"/>
  <c r="H173" i="56" s="1"/>
  <c r="G172" i="56"/>
  <c r="H172" i="56" s="1"/>
  <c r="G166" i="56"/>
  <c r="H166" i="56" s="1"/>
  <c r="G165" i="56"/>
  <c r="H165" i="56" s="1"/>
  <c r="G164" i="56"/>
  <c r="H164" i="56" s="1"/>
  <c r="G163" i="56"/>
  <c r="H163" i="56" s="1"/>
  <c r="G162" i="56"/>
  <c r="H162" i="56" s="1"/>
  <c r="G161" i="56"/>
  <c r="H161" i="56" s="1"/>
  <c r="G160" i="56"/>
  <c r="H160" i="56" s="1"/>
  <c r="G159" i="56"/>
  <c r="H159" i="56" s="1"/>
  <c r="G153" i="56"/>
  <c r="H153" i="56" s="1"/>
  <c r="G152" i="56"/>
  <c r="H152" i="56" s="1"/>
  <c r="G151" i="56"/>
  <c r="H151" i="56" s="1"/>
  <c r="G150" i="56"/>
  <c r="H150" i="56" s="1"/>
  <c r="G149" i="56"/>
  <c r="H149" i="56" s="1"/>
  <c r="G148" i="56"/>
  <c r="H148" i="56" s="1"/>
  <c r="G147" i="56"/>
  <c r="H147" i="56" s="1"/>
  <c r="G146" i="56"/>
  <c r="H146" i="56" s="1"/>
  <c r="G140" i="56"/>
  <c r="H140" i="56" s="1"/>
  <c r="G139" i="56"/>
  <c r="H139" i="56" s="1"/>
  <c r="G138" i="56"/>
  <c r="H138" i="56" s="1"/>
  <c r="G137" i="56"/>
  <c r="H137" i="56" s="1"/>
  <c r="G136" i="56"/>
  <c r="H136" i="56" s="1"/>
  <c r="G135" i="56"/>
  <c r="H135" i="56" s="1"/>
  <c r="G134" i="56"/>
  <c r="H134" i="56" s="1"/>
  <c r="G133" i="56"/>
  <c r="H133" i="56" s="1"/>
  <c r="G127" i="56"/>
  <c r="H127" i="56" s="1"/>
  <c r="G126" i="56"/>
  <c r="H126" i="56" s="1"/>
  <c r="G125" i="56"/>
  <c r="H125" i="56" s="1"/>
  <c r="G124" i="56"/>
  <c r="H124" i="56" s="1"/>
  <c r="G90" i="56"/>
  <c r="H90" i="56" s="1"/>
  <c r="G91" i="56"/>
  <c r="H91" i="56" s="1"/>
  <c r="G92" i="56"/>
  <c r="H92" i="56" s="1"/>
  <c r="G93" i="56"/>
  <c r="H93" i="56" s="1"/>
  <c r="G185" i="57"/>
  <c r="H185" i="57" s="1"/>
  <c r="G184" i="57"/>
  <c r="H184" i="57" s="1"/>
  <c r="G110" i="56"/>
  <c r="H110" i="56" s="1"/>
  <c r="G111" i="56"/>
  <c r="H111" i="56" s="1"/>
  <c r="G112" i="56"/>
  <c r="H112" i="56" s="1"/>
  <c r="G113" i="56"/>
  <c r="H113" i="56" s="1"/>
  <c r="G114" i="56"/>
  <c r="H114" i="56" s="1"/>
  <c r="G115" i="56"/>
  <c r="H115" i="56" s="1"/>
  <c r="G116" i="56"/>
  <c r="H116" i="56" s="1"/>
  <c r="G117" i="56"/>
  <c r="H117" i="56" s="1"/>
  <c r="G99" i="56"/>
  <c r="H99" i="56" s="1"/>
  <c r="G100" i="56"/>
  <c r="H100" i="56" s="1"/>
  <c r="G101" i="56"/>
  <c r="H101" i="56" s="1"/>
  <c r="G102" i="56"/>
  <c r="H102" i="56" s="1"/>
  <c r="G103" i="56"/>
  <c r="H103" i="56" s="1"/>
  <c r="G104" i="56"/>
  <c r="H104" i="56" s="1"/>
  <c r="G82" i="56"/>
  <c r="H82" i="56" s="1"/>
  <c r="G83" i="56"/>
  <c r="H83" i="56" s="1"/>
  <c r="G84" i="56"/>
  <c r="H84" i="56" s="1"/>
  <c r="G85" i="56"/>
  <c r="H85" i="56" s="1"/>
  <c r="G86" i="56"/>
  <c r="H86" i="56" s="1"/>
  <c r="G87" i="56"/>
  <c r="H87" i="56" s="1"/>
  <c r="G88" i="56"/>
  <c r="H88" i="56" s="1"/>
  <c r="G89" i="56"/>
  <c r="H89" i="56" s="1"/>
  <c r="G73" i="56"/>
  <c r="H73" i="56" s="1"/>
  <c r="G74" i="56"/>
  <c r="H74" i="56" s="1"/>
  <c r="G75" i="56"/>
  <c r="H75" i="56" s="1"/>
  <c r="G76" i="56"/>
  <c r="H76" i="56" s="1"/>
  <c r="G63" i="56"/>
  <c r="H63" i="56" s="1"/>
  <c r="G64" i="56"/>
  <c r="H64" i="56" s="1"/>
  <c r="G65" i="56"/>
  <c r="H65" i="56" s="1"/>
  <c r="G66" i="56"/>
  <c r="H66" i="56" s="1"/>
  <c r="G67" i="56"/>
  <c r="H67" i="56" s="1"/>
  <c r="G55" i="56"/>
  <c r="H55" i="56" s="1"/>
  <c r="G56" i="56"/>
  <c r="H56" i="56" s="1"/>
  <c r="G57" i="56"/>
  <c r="H57" i="56" s="1"/>
  <c r="G45" i="56"/>
  <c r="H45" i="56" s="1"/>
  <c r="G46" i="56"/>
  <c r="H46" i="56" s="1"/>
  <c r="G47" i="56"/>
  <c r="H47" i="56" s="1"/>
  <c r="G48" i="56"/>
  <c r="H48" i="56" s="1"/>
  <c r="G49" i="56"/>
  <c r="H49" i="56" s="1"/>
  <c r="G50" i="56"/>
  <c r="H50" i="56" s="1"/>
  <c r="G35" i="56"/>
  <c r="H35" i="56" s="1"/>
  <c r="G36" i="56"/>
  <c r="H36" i="56" s="1"/>
  <c r="G37" i="56"/>
  <c r="H37" i="56" s="1"/>
  <c r="G38" i="56"/>
  <c r="H38" i="56" s="1"/>
  <c r="G39" i="56"/>
  <c r="H39" i="56" s="1"/>
  <c r="G40" i="56"/>
  <c r="H40" i="56" s="1"/>
  <c r="G28" i="56"/>
  <c r="H28" i="56" s="1"/>
  <c r="G29" i="56"/>
  <c r="H29" i="56" s="1"/>
  <c r="G9" i="56"/>
  <c r="G10" i="56"/>
  <c r="G11" i="56"/>
  <c r="G12" i="56"/>
  <c r="G13" i="56"/>
  <c r="G14" i="56"/>
  <c r="G15" i="56"/>
  <c r="G16" i="56"/>
  <c r="G17" i="56"/>
  <c r="H17" i="56" s="1"/>
  <c r="G18" i="56"/>
  <c r="H18" i="56" s="1"/>
  <c r="G19" i="56"/>
  <c r="H19" i="56" s="1"/>
  <c r="G20" i="56"/>
  <c r="H20" i="56" s="1"/>
  <c r="G21" i="56"/>
  <c r="H21" i="56" s="1"/>
  <c r="G22" i="56"/>
  <c r="H22" i="56" s="1"/>
  <c r="G178" i="57"/>
  <c r="H178" i="57" s="1"/>
  <c r="G177" i="57"/>
  <c r="H177" i="57" s="1"/>
  <c r="G176" i="57"/>
  <c r="H176" i="57" s="1"/>
  <c r="G175" i="57"/>
  <c r="H175" i="57" s="1"/>
  <c r="G170" i="57"/>
  <c r="H170" i="57" s="1"/>
  <c r="G169" i="57"/>
  <c r="H169" i="57" s="1"/>
  <c r="G168" i="57"/>
  <c r="H168" i="57" s="1"/>
  <c r="G163" i="57"/>
  <c r="H163" i="57" s="1"/>
  <c r="G162" i="57"/>
  <c r="H162" i="57" s="1"/>
  <c r="G161" i="57"/>
  <c r="H161" i="57" s="1"/>
  <c r="G160" i="57"/>
  <c r="H160" i="57" s="1"/>
  <c r="G155" i="57"/>
  <c r="H155" i="57" s="1"/>
  <c r="G154" i="57"/>
  <c r="H154" i="57" s="1"/>
  <c r="G153" i="57"/>
  <c r="H153" i="57" s="1"/>
  <c r="G148" i="57"/>
  <c r="H148" i="57" s="1"/>
  <c r="G147" i="57"/>
  <c r="H147" i="57" s="1"/>
  <c r="G146" i="57"/>
  <c r="H146" i="57" s="1"/>
  <c r="G145" i="57"/>
  <c r="H145" i="57" s="1"/>
  <c r="G139" i="57"/>
  <c r="H139" i="57" s="1"/>
  <c r="G138" i="57"/>
  <c r="H138" i="57" s="1"/>
  <c r="G137" i="57"/>
  <c r="H137" i="57" s="1"/>
  <c r="G131" i="57"/>
  <c r="H131" i="57" s="1"/>
  <c r="G130" i="57"/>
  <c r="H130" i="57" s="1"/>
  <c r="G129" i="57"/>
  <c r="H129" i="57" s="1"/>
  <c r="G128" i="57"/>
  <c r="H128" i="57" s="1"/>
  <c r="G127" i="57"/>
  <c r="H127" i="57" s="1"/>
  <c r="G126" i="57"/>
  <c r="H126" i="57" s="1"/>
  <c r="G125" i="57"/>
  <c r="H125" i="57" s="1"/>
  <c r="G118" i="57"/>
  <c r="H118" i="57" s="1"/>
  <c r="G119" i="57"/>
  <c r="H119" i="57" s="1"/>
  <c r="G117" i="57"/>
  <c r="H117" i="57" s="1"/>
  <c r="G116" i="57"/>
  <c r="H116" i="57" s="1"/>
  <c r="G115" i="57"/>
  <c r="H115" i="57" s="1"/>
  <c r="G114" i="57"/>
  <c r="H114" i="57" s="1"/>
  <c r="G113" i="57"/>
  <c r="H113" i="57" s="1"/>
  <c r="G112" i="57"/>
  <c r="H112" i="57" s="1"/>
  <c r="G111" i="57"/>
  <c r="H111" i="57" s="1"/>
  <c r="G106" i="57"/>
  <c r="H106" i="57" s="1"/>
  <c r="G105" i="57"/>
  <c r="H105" i="57" s="1"/>
  <c r="G104" i="57"/>
  <c r="H104" i="57" s="1"/>
  <c r="G103" i="57"/>
  <c r="H103" i="57" s="1"/>
  <c r="G102" i="57"/>
  <c r="H102" i="57" s="1"/>
  <c r="G101" i="57"/>
  <c r="H101" i="57" s="1"/>
  <c r="G100" i="57"/>
  <c r="H100" i="57" s="1"/>
  <c r="G94" i="57"/>
  <c r="H94" i="57" s="1"/>
  <c r="G93" i="57"/>
  <c r="H93" i="57" s="1"/>
  <c r="G92" i="57"/>
  <c r="H92" i="57" s="1"/>
  <c r="G91" i="57"/>
  <c r="H91" i="57" s="1"/>
  <c r="G90" i="57"/>
  <c r="H90" i="57" s="1"/>
  <c r="G89" i="57"/>
  <c r="H89" i="57" s="1"/>
  <c r="G88" i="57"/>
  <c r="H88" i="57" s="1"/>
  <c r="G82" i="57"/>
  <c r="H82" i="57" s="1"/>
  <c r="G81" i="57"/>
  <c r="H81" i="57" s="1"/>
  <c r="G80" i="57"/>
  <c r="H80" i="57" s="1"/>
  <c r="G79" i="57"/>
  <c r="H79" i="57" s="1"/>
  <c r="G78" i="57"/>
  <c r="H78" i="57" s="1"/>
  <c r="G77" i="57"/>
  <c r="H77" i="57" s="1"/>
  <c r="G76" i="57"/>
  <c r="H76" i="57" s="1"/>
  <c r="G70" i="57"/>
  <c r="H70" i="57" s="1"/>
  <c r="G69" i="57"/>
  <c r="H69" i="57" s="1"/>
  <c r="G68" i="57"/>
  <c r="H68" i="57" s="1"/>
  <c r="G67" i="57"/>
  <c r="H67" i="57" s="1"/>
  <c r="G66" i="57"/>
  <c r="H66" i="57" s="1"/>
  <c r="G65" i="57"/>
  <c r="H65" i="57" s="1"/>
  <c r="G59" i="57"/>
  <c r="H59" i="57" s="1"/>
  <c r="G58" i="57"/>
  <c r="H58" i="57" s="1"/>
  <c r="G57" i="57"/>
  <c r="H57" i="57" s="1"/>
  <c r="G56" i="57"/>
  <c r="H56" i="57" s="1"/>
  <c r="G55" i="57"/>
  <c r="H55" i="57" s="1"/>
  <c r="G54" i="57"/>
  <c r="H54" i="57" s="1"/>
  <c r="G48" i="57"/>
  <c r="H48" i="57" s="1"/>
  <c r="G47" i="57"/>
  <c r="H47" i="57" s="1"/>
  <c r="G46" i="57"/>
  <c r="H46" i="57" s="1"/>
  <c r="G45" i="57"/>
  <c r="H45" i="57" s="1"/>
  <c r="G44" i="57"/>
  <c r="H44" i="57" s="1"/>
  <c r="G33" i="57"/>
  <c r="H33" i="57" s="1"/>
  <c r="G34" i="57"/>
  <c r="H34" i="57" s="1"/>
  <c r="G35" i="57"/>
  <c r="H35" i="57" s="1"/>
  <c r="G36" i="57"/>
  <c r="H36" i="57" s="1"/>
  <c r="G37" i="57"/>
  <c r="H37" i="57" s="1"/>
  <c r="G38" i="57"/>
  <c r="H38" i="57" s="1"/>
  <c r="G32" i="57"/>
  <c r="H32" i="57" s="1"/>
  <c r="G31" i="57"/>
  <c r="H31" i="57" s="1"/>
  <c r="G30" i="57"/>
  <c r="H30" i="57" s="1"/>
  <c r="G29" i="57"/>
  <c r="H29" i="57" s="1"/>
  <c r="G28" i="57"/>
  <c r="H28" i="57" s="1"/>
  <c r="B247" i="6"/>
  <c r="J247" i="6" s="1"/>
  <c r="G150" i="22"/>
  <c r="H150" i="22" s="1"/>
  <c r="G149" i="22"/>
  <c r="H149" i="22" s="1"/>
  <c r="G148" i="22"/>
  <c r="H148" i="22" s="1"/>
  <c r="K147" i="22"/>
  <c r="K148" i="22" s="1"/>
  <c r="G147" i="22"/>
  <c r="H147" i="22" s="1"/>
  <c r="G146" i="22"/>
  <c r="H146" i="22" s="1"/>
  <c r="G145" i="22"/>
  <c r="H145" i="22" s="1"/>
  <c r="G144" i="22"/>
  <c r="H144" i="22" s="1"/>
  <c r="B246" i="6"/>
  <c r="J246" i="6" s="1"/>
  <c r="F246" i="6"/>
  <c r="G246" i="6" s="1"/>
  <c r="N246" i="6"/>
  <c r="F247" i="6"/>
  <c r="G247" i="6" s="1"/>
  <c r="N247" i="6"/>
  <c r="O247" i="6" s="1"/>
  <c r="P247" i="6" s="1"/>
  <c r="G138" i="22"/>
  <c r="H138" i="22" s="1"/>
  <c r="G137" i="22"/>
  <c r="H137" i="22" s="1"/>
  <c r="G136" i="22"/>
  <c r="H136" i="22" s="1"/>
  <c r="G135" i="22"/>
  <c r="H135" i="22" s="1"/>
  <c r="K134" i="22"/>
  <c r="K135" i="22" s="1"/>
  <c r="G134" i="22"/>
  <c r="H134" i="22" s="1"/>
  <c r="G133" i="22"/>
  <c r="H133" i="22" s="1"/>
  <c r="G132" i="22"/>
  <c r="H132" i="22" s="1"/>
  <c r="G131" i="22"/>
  <c r="H131" i="22" s="1"/>
  <c r="G61" i="19"/>
  <c r="H61" i="19" s="1"/>
  <c r="G25" i="19"/>
  <c r="H25" i="19" s="1"/>
  <c r="B477" i="6"/>
  <c r="J477" i="6" s="1"/>
  <c r="F477" i="6"/>
  <c r="G477" i="6"/>
  <c r="O477" i="6"/>
  <c r="P477" i="6" s="1"/>
  <c r="G48" i="23"/>
  <c r="H48" i="23" s="1"/>
  <c r="G47" i="23"/>
  <c r="H47" i="23" s="1"/>
  <c r="K46" i="23"/>
  <c r="K47" i="23" s="1"/>
  <c r="G46" i="23"/>
  <c r="H46" i="23" s="1"/>
  <c r="G45" i="23"/>
  <c r="H45" i="23" s="1"/>
  <c r="G44" i="23"/>
  <c r="H44" i="23" s="1"/>
  <c r="G43" i="23"/>
  <c r="H43" i="23" s="1"/>
  <c r="B245" i="6"/>
  <c r="G125" i="22"/>
  <c r="H125" i="22" s="1"/>
  <c r="G124" i="22"/>
  <c r="H124" i="22" s="1"/>
  <c r="G123" i="22"/>
  <c r="H123" i="22" s="1"/>
  <c r="G122" i="22"/>
  <c r="H122" i="22" s="1"/>
  <c r="K121" i="22"/>
  <c r="K122" i="22" s="1"/>
  <c r="G121" i="22"/>
  <c r="H121" i="22" s="1"/>
  <c r="G120" i="22"/>
  <c r="H120" i="22" s="1"/>
  <c r="G119" i="22"/>
  <c r="H119" i="22" s="1"/>
  <c r="G118" i="22"/>
  <c r="H118" i="22" s="1"/>
  <c r="G84" i="22"/>
  <c r="H84" i="22" s="1"/>
  <c r="G85" i="22"/>
  <c r="H85" i="22" s="1"/>
  <c r="G86" i="22"/>
  <c r="H86" i="22" s="1"/>
  <c r="G83" i="22"/>
  <c r="H83" i="22" s="1"/>
  <c r="G18" i="22"/>
  <c r="H18" i="22" s="1"/>
  <c r="G23" i="57"/>
  <c r="H23" i="57" s="1"/>
  <c r="G22" i="57"/>
  <c r="H22" i="57" s="1"/>
  <c r="G21" i="57"/>
  <c r="H21" i="57" s="1"/>
  <c r="G20" i="57"/>
  <c r="H20" i="57" s="1"/>
  <c r="G19" i="57"/>
  <c r="H19" i="57" s="1"/>
  <c r="G207" i="46"/>
  <c r="H207" i="46" s="1"/>
  <c r="G336" i="20"/>
  <c r="H336" i="20" s="1"/>
  <c r="G337" i="20"/>
  <c r="H337" i="20" s="1"/>
  <c r="G130" i="46"/>
  <c r="H130" i="46" s="1"/>
  <c r="G131" i="46"/>
  <c r="H131" i="46" s="1"/>
  <c r="G73" i="20"/>
  <c r="H73" i="20" s="1"/>
  <c r="J32" i="6" l="1"/>
  <c r="H219" i="46"/>
  <c r="K213" i="46"/>
  <c r="H115" i="44"/>
  <c r="K96" i="44"/>
  <c r="K77" i="44"/>
  <c r="H92" i="44"/>
  <c r="H976" i="56"/>
  <c r="K969" i="56"/>
  <c r="H965" i="56"/>
  <c r="K961" i="56"/>
  <c r="K946" i="56"/>
  <c r="H957" i="56"/>
  <c r="H943" i="56"/>
  <c r="K934" i="56"/>
  <c r="H930" i="56"/>
  <c r="K921" i="56"/>
  <c r="H246" i="57"/>
  <c r="K244" i="57"/>
  <c r="H917" i="56"/>
  <c r="K909" i="56"/>
  <c r="H905" i="56"/>
  <c r="K894" i="56"/>
  <c r="H890" i="56"/>
  <c r="K886" i="56"/>
  <c r="K878" i="56"/>
  <c r="H880" i="56"/>
  <c r="H238" i="57"/>
  <c r="K236" i="57"/>
  <c r="H874" i="56"/>
  <c r="K865" i="56"/>
  <c r="H861" i="56"/>
  <c r="K853" i="56"/>
  <c r="H850" i="56"/>
  <c r="K842" i="56"/>
  <c r="H838" i="56"/>
  <c r="K833" i="56"/>
  <c r="H829" i="56"/>
  <c r="K823" i="56"/>
  <c r="H820" i="56"/>
  <c r="K816" i="56"/>
  <c r="H812" i="56"/>
  <c r="K805" i="56"/>
  <c r="H801" i="56"/>
  <c r="K794" i="56"/>
  <c r="K786" i="56"/>
  <c r="H790" i="56"/>
  <c r="K774" i="56"/>
  <c r="H782" i="56"/>
  <c r="H771" i="56"/>
  <c r="K766" i="56"/>
  <c r="H763" i="56"/>
  <c r="K758" i="56"/>
  <c r="H754" i="56"/>
  <c r="K748" i="56"/>
  <c r="H743" i="56"/>
  <c r="K740" i="56"/>
  <c r="K731" i="56"/>
  <c r="H736" i="56"/>
  <c r="H727" i="56"/>
  <c r="K724" i="56"/>
  <c r="K716" i="56"/>
  <c r="H719" i="56"/>
  <c r="H711" i="56"/>
  <c r="K709" i="56"/>
  <c r="H705" i="56"/>
  <c r="K695" i="56"/>
  <c r="H691" i="56"/>
  <c r="K685" i="56"/>
  <c r="H680" i="56"/>
  <c r="K677" i="56"/>
  <c r="H673" i="56"/>
  <c r="K661" i="56"/>
  <c r="K228" i="57"/>
  <c r="H230" i="57"/>
  <c r="H654" i="56"/>
  <c r="K649" i="56"/>
  <c r="H644" i="56"/>
  <c r="K639" i="56"/>
  <c r="H589" i="56"/>
  <c r="K585" i="56"/>
  <c r="K586" i="56" s="1"/>
  <c r="K587" i="56" s="1"/>
  <c r="K589" i="56" s="1"/>
  <c r="K630" i="56"/>
  <c r="H634" i="56"/>
  <c r="H626" i="56"/>
  <c r="K622" i="56"/>
  <c r="H618" i="56"/>
  <c r="K615" i="56"/>
  <c r="H611" i="56"/>
  <c r="K606" i="56"/>
  <c r="H602" i="56"/>
  <c r="K594" i="56"/>
  <c r="H581" i="56"/>
  <c r="K578" i="56"/>
  <c r="H574" i="56"/>
  <c r="K565" i="56"/>
  <c r="H561" i="56"/>
  <c r="K555" i="56"/>
  <c r="H551" i="56"/>
  <c r="K547" i="56"/>
  <c r="H543" i="56"/>
  <c r="K537" i="56"/>
  <c r="H533" i="56"/>
  <c r="K527" i="56"/>
  <c r="H524" i="56"/>
  <c r="K517" i="56"/>
  <c r="H512" i="56"/>
  <c r="K508" i="56"/>
  <c r="K221" i="57"/>
  <c r="H223" i="57"/>
  <c r="H215" i="57"/>
  <c r="K213" i="57"/>
  <c r="H208" i="57"/>
  <c r="K206" i="57"/>
  <c r="H479" i="56"/>
  <c r="K197" i="57"/>
  <c r="H202" i="57"/>
  <c r="H504" i="56"/>
  <c r="K501" i="56"/>
  <c r="K502" i="56" s="1"/>
  <c r="K503" i="56" s="1"/>
  <c r="K505" i="56" s="1"/>
  <c r="K494" i="56"/>
  <c r="K495" i="56" s="1"/>
  <c r="K496" i="56" s="1"/>
  <c r="K498" i="56" s="1"/>
  <c r="H489" i="56"/>
  <c r="K483" i="56"/>
  <c r="K467" i="56"/>
  <c r="H463" i="56"/>
  <c r="K456" i="56"/>
  <c r="H452" i="56"/>
  <c r="K443" i="56"/>
  <c r="H439" i="56"/>
  <c r="K432" i="56"/>
  <c r="H428" i="56"/>
  <c r="K415" i="56"/>
  <c r="H412" i="56"/>
  <c r="K399" i="56"/>
  <c r="H394" i="56"/>
  <c r="K390" i="56"/>
  <c r="K381" i="56"/>
  <c r="H386" i="56"/>
  <c r="K374" i="56"/>
  <c r="H377" i="56"/>
  <c r="H370" i="56"/>
  <c r="K359" i="56"/>
  <c r="H355" i="56"/>
  <c r="K348" i="56"/>
  <c r="K190" i="57"/>
  <c r="H192" i="57"/>
  <c r="H345" i="56"/>
  <c r="K340" i="56"/>
  <c r="K327" i="56"/>
  <c r="H337" i="56"/>
  <c r="H322" i="56"/>
  <c r="K312" i="56"/>
  <c r="K303" i="56"/>
  <c r="H306" i="56"/>
  <c r="H298" i="56"/>
  <c r="K295" i="56"/>
  <c r="K287" i="56"/>
  <c r="H290" i="56"/>
  <c r="H284" i="56"/>
  <c r="K271" i="56"/>
  <c r="H267" i="56"/>
  <c r="K259" i="56"/>
  <c r="K247" i="56"/>
  <c r="H256" i="56"/>
  <c r="H244" i="56"/>
  <c r="K235" i="56"/>
  <c r="H230" i="56"/>
  <c r="K223" i="56"/>
  <c r="K217" i="56"/>
  <c r="K218" i="56" s="1"/>
  <c r="K220" i="56" s="1"/>
  <c r="H218" i="56"/>
  <c r="H213" i="56"/>
  <c r="K204" i="56"/>
  <c r="H200" i="56"/>
  <c r="K195" i="56"/>
  <c r="K183" i="56"/>
  <c r="K184" i="56" s="1"/>
  <c r="K185" i="56" s="1"/>
  <c r="K187" i="56" s="1"/>
  <c r="K171" i="56"/>
  <c r="K172" i="56" s="1"/>
  <c r="K173" i="56" s="1"/>
  <c r="K175" i="56" s="1"/>
  <c r="H168" i="56"/>
  <c r="K132" i="56"/>
  <c r="K133" i="56" s="1"/>
  <c r="K134" i="56" s="1"/>
  <c r="K136" i="56" s="1"/>
  <c r="H142" i="56"/>
  <c r="K158" i="56"/>
  <c r="K159" i="56" s="1"/>
  <c r="K160" i="56" s="1"/>
  <c r="K162" i="56" s="1"/>
  <c r="H191" i="56"/>
  <c r="H180" i="56"/>
  <c r="K145" i="56"/>
  <c r="H155" i="56"/>
  <c r="K123" i="56"/>
  <c r="H128" i="56"/>
  <c r="H186" i="57"/>
  <c r="K183" i="57"/>
  <c r="H77" i="56"/>
  <c r="K54" i="56"/>
  <c r="K55" i="56" s="1"/>
  <c r="H51" i="56"/>
  <c r="H58" i="56"/>
  <c r="K34" i="56"/>
  <c r="K35" i="56" s="1"/>
  <c r="K36" i="56" s="1"/>
  <c r="K38" i="56" s="1"/>
  <c r="H68" i="56"/>
  <c r="H41" i="56"/>
  <c r="H105" i="56"/>
  <c r="K27" i="56"/>
  <c r="K28" i="56" s="1"/>
  <c r="K29" i="56" s="1"/>
  <c r="K31" i="56" s="1"/>
  <c r="K62" i="56"/>
  <c r="K63" i="56" s="1"/>
  <c r="K64" i="56" s="1"/>
  <c r="K66" i="56" s="1"/>
  <c r="K44" i="56"/>
  <c r="K45" i="56" s="1"/>
  <c r="K46" i="56" s="1"/>
  <c r="K48" i="56" s="1"/>
  <c r="H94" i="56"/>
  <c r="K72" i="56"/>
  <c r="K73" i="56" s="1"/>
  <c r="K74" i="56" s="1"/>
  <c r="K76" i="56" s="1"/>
  <c r="H118" i="56"/>
  <c r="K109" i="56"/>
  <c r="K98" i="56"/>
  <c r="K81" i="56"/>
  <c r="H30" i="56"/>
  <c r="H179" i="57"/>
  <c r="K174" i="57"/>
  <c r="H171" i="57"/>
  <c r="K167" i="57"/>
  <c r="H164" i="57"/>
  <c r="K159" i="57"/>
  <c r="K152" i="57"/>
  <c r="H156" i="57"/>
  <c r="H149" i="57"/>
  <c r="K144" i="57"/>
  <c r="K136" i="57"/>
  <c r="H140" i="57"/>
  <c r="H132" i="57"/>
  <c r="K124" i="57"/>
  <c r="H120" i="57"/>
  <c r="K110" i="57"/>
  <c r="K99" i="57"/>
  <c r="H107" i="57"/>
  <c r="K87" i="57"/>
  <c r="H95" i="57"/>
  <c r="H83" i="57"/>
  <c r="K75" i="57"/>
  <c r="H71" i="57"/>
  <c r="K64" i="57"/>
  <c r="H60" i="57"/>
  <c r="K53" i="57"/>
  <c r="H49" i="57"/>
  <c r="K43" i="57"/>
  <c r="H39" i="57"/>
  <c r="K27" i="57"/>
  <c r="O246" i="6"/>
  <c r="P246" i="6" s="1"/>
  <c r="H151" i="22"/>
  <c r="K143" i="22"/>
  <c r="H139" i="22"/>
  <c r="K130" i="22"/>
  <c r="H49" i="23"/>
  <c r="K42" i="23"/>
  <c r="K117" i="22"/>
  <c r="H126" i="22"/>
  <c r="K18" i="57"/>
  <c r="H24" i="57"/>
  <c r="G217" i="20"/>
  <c r="H217" i="20" s="1"/>
  <c r="G218" i="20"/>
  <c r="H218" i="20" s="1"/>
  <c r="K214" i="46" l="1"/>
  <c r="K215" i="46" s="1"/>
  <c r="D233" i="6" s="1"/>
  <c r="K97" i="44"/>
  <c r="K98" i="44" s="1"/>
  <c r="D32" i="6" s="1"/>
  <c r="K78" i="44"/>
  <c r="K79" i="44" s="1"/>
  <c r="D31" i="6" s="1"/>
  <c r="K970" i="56"/>
  <c r="K971" i="56" s="1"/>
  <c r="K973" i="56" s="1"/>
  <c r="K962" i="56"/>
  <c r="K963" i="56" s="1"/>
  <c r="K965" i="56" s="1"/>
  <c r="K947" i="56"/>
  <c r="K948" i="56" s="1"/>
  <c r="K950" i="56" s="1"/>
  <c r="K935" i="56"/>
  <c r="K936" i="56" s="1"/>
  <c r="K938" i="56" s="1"/>
  <c r="K922" i="56"/>
  <c r="K923" i="56" s="1"/>
  <c r="K925" i="56" s="1"/>
  <c r="K245" i="57"/>
  <c r="K246" i="57" s="1"/>
  <c r="K248" i="57" s="1"/>
  <c r="K910" i="56"/>
  <c r="K911" i="56" s="1"/>
  <c r="K913" i="56" s="1"/>
  <c r="K895" i="56"/>
  <c r="K896" i="56" s="1"/>
  <c r="K898" i="56" s="1"/>
  <c r="K887" i="56"/>
  <c r="K888" i="56" s="1"/>
  <c r="K890" i="56" s="1"/>
  <c r="K879" i="56"/>
  <c r="K880" i="56" s="1"/>
  <c r="K882" i="56" s="1"/>
  <c r="K237" i="57"/>
  <c r="K238" i="57" s="1"/>
  <c r="K240" i="57" s="1"/>
  <c r="K866" i="56"/>
  <c r="K867" i="56" s="1"/>
  <c r="K869" i="56" s="1"/>
  <c r="K854" i="56"/>
  <c r="K855" i="56" s="1"/>
  <c r="K857" i="56" s="1"/>
  <c r="K843" i="56"/>
  <c r="K844" i="56" s="1"/>
  <c r="K846" i="56" s="1"/>
  <c r="K834" i="56"/>
  <c r="K835" i="56" s="1"/>
  <c r="K837" i="56" s="1"/>
  <c r="K824" i="56"/>
  <c r="K825" i="56" s="1"/>
  <c r="K827" i="56" s="1"/>
  <c r="K817" i="56"/>
  <c r="K818" i="56" s="1"/>
  <c r="K820" i="56" s="1"/>
  <c r="K806" i="56"/>
  <c r="K807" i="56" s="1"/>
  <c r="K809" i="56" s="1"/>
  <c r="K795" i="56"/>
  <c r="K796" i="56" s="1"/>
  <c r="K798" i="56" s="1"/>
  <c r="K787" i="56"/>
  <c r="K788" i="56" s="1"/>
  <c r="K790" i="56" s="1"/>
  <c r="K775" i="56"/>
  <c r="K776" i="56" s="1"/>
  <c r="K778" i="56" s="1"/>
  <c r="K767" i="56"/>
  <c r="K768" i="56" s="1"/>
  <c r="K770" i="56" s="1"/>
  <c r="K759" i="56"/>
  <c r="K760" i="56" s="1"/>
  <c r="K762" i="56" s="1"/>
  <c r="K749" i="56"/>
  <c r="K750" i="56" s="1"/>
  <c r="K752" i="56" s="1"/>
  <c r="K741" i="56"/>
  <c r="K742" i="56" s="1"/>
  <c r="K744" i="56" s="1"/>
  <c r="K732" i="56"/>
  <c r="K733" i="56" s="1"/>
  <c r="K735" i="56" s="1"/>
  <c r="K725" i="56"/>
  <c r="K726" i="56" s="1"/>
  <c r="K728" i="56" s="1"/>
  <c r="K717" i="56"/>
  <c r="K718" i="56" s="1"/>
  <c r="K720" i="56" s="1"/>
  <c r="K710" i="56"/>
  <c r="K711" i="56" s="1"/>
  <c r="K713" i="56" s="1"/>
  <c r="K696" i="56"/>
  <c r="K697" i="56" s="1"/>
  <c r="K699" i="56" s="1"/>
  <c r="K686" i="56"/>
  <c r="K687" i="56" s="1"/>
  <c r="K689" i="56" s="1"/>
  <c r="K678" i="56"/>
  <c r="K679" i="56" s="1"/>
  <c r="K681" i="56" s="1"/>
  <c r="K662" i="56"/>
  <c r="K663" i="56" s="1"/>
  <c r="K665" i="56" s="1"/>
  <c r="K229" i="57"/>
  <c r="K230" i="57" s="1"/>
  <c r="K232" i="57" s="1"/>
  <c r="K650" i="56"/>
  <c r="K651" i="56" s="1"/>
  <c r="K653" i="56" s="1"/>
  <c r="K640" i="56"/>
  <c r="K641" i="56" s="1"/>
  <c r="K643" i="56" s="1"/>
  <c r="K631" i="56"/>
  <c r="K632" i="56" s="1"/>
  <c r="K634" i="56" s="1"/>
  <c r="K623" i="56"/>
  <c r="K624" i="56" s="1"/>
  <c r="K626" i="56" s="1"/>
  <c r="K616" i="56"/>
  <c r="K617" i="56" s="1"/>
  <c r="K619" i="56" s="1"/>
  <c r="K607" i="56"/>
  <c r="K608" i="56" s="1"/>
  <c r="K610" i="56" s="1"/>
  <c r="K595" i="56"/>
  <c r="K596" i="56" s="1"/>
  <c r="K598" i="56" s="1"/>
  <c r="K579" i="56"/>
  <c r="K580" i="56" s="1"/>
  <c r="K582" i="56" s="1"/>
  <c r="K566" i="56"/>
  <c r="K567" i="56" s="1"/>
  <c r="K569" i="56" s="1"/>
  <c r="K556" i="56"/>
  <c r="K557" i="56" s="1"/>
  <c r="K559" i="56" s="1"/>
  <c r="K548" i="56"/>
  <c r="K549" i="56" s="1"/>
  <c r="K551" i="56" s="1"/>
  <c r="K538" i="56"/>
  <c r="K539" i="56" s="1"/>
  <c r="K541" i="56" s="1"/>
  <c r="K528" i="56"/>
  <c r="K529" i="56" s="1"/>
  <c r="K531" i="56" s="1"/>
  <c r="K518" i="56"/>
  <c r="K519" i="56" s="1"/>
  <c r="K521" i="56" s="1"/>
  <c r="K509" i="56"/>
  <c r="K510" i="56" s="1"/>
  <c r="K512" i="56" s="1"/>
  <c r="K222" i="57"/>
  <c r="K223" i="57" s="1"/>
  <c r="K225" i="57" s="1"/>
  <c r="K214" i="57"/>
  <c r="K215" i="57" s="1"/>
  <c r="K217" i="57" s="1"/>
  <c r="K207" i="57"/>
  <c r="K208" i="57" s="1"/>
  <c r="K210" i="57" s="1"/>
  <c r="K198" i="57"/>
  <c r="K199" i="57" s="1"/>
  <c r="K201" i="57" s="1"/>
  <c r="K484" i="56"/>
  <c r="K485" i="56" s="1"/>
  <c r="K487" i="56" s="1"/>
  <c r="K468" i="56"/>
  <c r="K469" i="56" s="1"/>
  <c r="K471" i="56" s="1"/>
  <c r="K457" i="56"/>
  <c r="K458" i="56" s="1"/>
  <c r="K460" i="56" s="1"/>
  <c r="K444" i="56"/>
  <c r="K445" i="56" s="1"/>
  <c r="K447" i="56" s="1"/>
  <c r="K433" i="56"/>
  <c r="K434" i="56" s="1"/>
  <c r="K436" i="56" s="1"/>
  <c r="K416" i="56"/>
  <c r="K417" i="56" s="1"/>
  <c r="K419" i="56" s="1"/>
  <c r="K400" i="56"/>
  <c r="K401" i="56" s="1"/>
  <c r="K403" i="56" s="1"/>
  <c r="K391" i="56"/>
  <c r="K392" i="56" s="1"/>
  <c r="K394" i="56" s="1"/>
  <c r="K382" i="56"/>
  <c r="K383" i="56" s="1"/>
  <c r="K385" i="56" s="1"/>
  <c r="K375" i="56"/>
  <c r="K376" i="56" s="1"/>
  <c r="K378" i="56" s="1"/>
  <c r="K360" i="56"/>
  <c r="K361" i="56" s="1"/>
  <c r="K363" i="56" s="1"/>
  <c r="K349" i="56"/>
  <c r="K350" i="56" s="1"/>
  <c r="K352" i="56" s="1"/>
  <c r="K191" i="57"/>
  <c r="K192" i="57" s="1"/>
  <c r="K194" i="57" s="1"/>
  <c r="K341" i="56"/>
  <c r="K342" i="56" s="1"/>
  <c r="K344" i="56" s="1"/>
  <c r="K328" i="56"/>
  <c r="K329" i="56" s="1"/>
  <c r="K331" i="56" s="1"/>
  <c r="K313" i="56"/>
  <c r="K314" i="56" s="1"/>
  <c r="K316" i="56" s="1"/>
  <c r="K304" i="56"/>
  <c r="K305" i="56" s="1"/>
  <c r="K307" i="56" s="1"/>
  <c r="K296" i="56"/>
  <c r="K297" i="56" s="1"/>
  <c r="K299" i="56" s="1"/>
  <c r="K288" i="56"/>
  <c r="K289" i="56" s="1"/>
  <c r="K291" i="56" s="1"/>
  <c r="K272" i="56"/>
  <c r="K273" i="56" s="1"/>
  <c r="K275" i="56" s="1"/>
  <c r="K260" i="56"/>
  <c r="K261" i="56" s="1"/>
  <c r="K263" i="56" s="1"/>
  <c r="K248" i="56"/>
  <c r="K249" i="56" s="1"/>
  <c r="K251" i="56" s="1"/>
  <c r="K236" i="56"/>
  <c r="K237" i="56" s="1"/>
  <c r="K239" i="56" s="1"/>
  <c r="K224" i="56"/>
  <c r="K225" i="56" s="1"/>
  <c r="K227" i="56" s="1"/>
  <c r="K205" i="56"/>
  <c r="K206" i="56" s="1"/>
  <c r="K208" i="56" s="1"/>
  <c r="K196" i="56"/>
  <c r="K197" i="56" s="1"/>
  <c r="K199" i="56" s="1"/>
  <c r="K146" i="56"/>
  <c r="K147" i="56" s="1"/>
  <c r="K149" i="56" s="1"/>
  <c r="K124" i="56"/>
  <c r="K125" i="56" s="1"/>
  <c r="K127" i="56" s="1"/>
  <c r="K184" i="57"/>
  <c r="K185" i="57" s="1"/>
  <c r="K187" i="57" s="1"/>
  <c r="K56" i="56"/>
  <c r="K58" i="56" s="1"/>
  <c r="K110" i="56"/>
  <c r="K111" i="56" s="1"/>
  <c r="K113" i="56" s="1"/>
  <c r="K99" i="56"/>
  <c r="K100" i="56" s="1"/>
  <c r="K102" i="56" s="1"/>
  <c r="K82" i="56"/>
  <c r="K83" i="56" s="1"/>
  <c r="K85" i="56" s="1"/>
  <c r="K175" i="57"/>
  <c r="K176" i="57" s="1"/>
  <c r="K178" i="57" s="1"/>
  <c r="K168" i="57"/>
  <c r="K169" i="57" s="1"/>
  <c r="K171" i="57" s="1"/>
  <c r="K160" i="57"/>
  <c r="K161" i="57" s="1"/>
  <c r="K163" i="57" s="1"/>
  <c r="K153" i="57"/>
  <c r="K154" i="57" s="1"/>
  <c r="K156" i="57" s="1"/>
  <c r="K145" i="57"/>
  <c r="K146" i="57" s="1"/>
  <c r="K148" i="57" s="1"/>
  <c r="K137" i="57"/>
  <c r="K138" i="57" s="1"/>
  <c r="K140" i="57" s="1"/>
  <c r="K125" i="57"/>
  <c r="K126" i="57" s="1"/>
  <c r="K128" i="57" s="1"/>
  <c r="K111" i="57"/>
  <c r="K112" i="57" s="1"/>
  <c r="K114" i="57" s="1"/>
  <c r="K100" i="57"/>
  <c r="K101" i="57" s="1"/>
  <c r="K103" i="57" s="1"/>
  <c r="K88" i="57"/>
  <c r="K89" i="57" s="1"/>
  <c r="K91" i="57" s="1"/>
  <c r="K76" i="57"/>
  <c r="K77" i="57" s="1"/>
  <c r="K79" i="57" s="1"/>
  <c r="K65" i="57"/>
  <c r="K66" i="57" s="1"/>
  <c r="K68" i="57" s="1"/>
  <c r="K54" i="57"/>
  <c r="K55" i="57" s="1"/>
  <c r="K57" i="57" s="1"/>
  <c r="K44" i="57"/>
  <c r="K45" i="57" s="1"/>
  <c r="K47" i="57" s="1"/>
  <c r="K28" i="57"/>
  <c r="K29" i="57" s="1"/>
  <c r="K31" i="57" s="1"/>
  <c r="K144" i="22"/>
  <c r="K145" i="22" s="1"/>
  <c r="D247" i="6" s="1"/>
  <c r="K131" i="22"/>
  <c r="K132" i="22" s="1"/>
  <c r="D246" i="6" s="1"/>
  <c r="K43" i="23"/>
  <c r="K44" i="23" s="1"/>
  <c r="D477" i="6" s="1"/>
  <c r="K118" i="22"/>
  <c r="K119" i="22" s="1"/>
  <c r="D245" i="6" s="1"/>
  <c r="K19" i="57"/>
  <c r="K20" i="57" s="1"/>
  <c r="K22" i="57" s="1"/>
  <c r="G323" i="20"/>
  <c r="H323" i="20" s="1"/>
  <c r="G309" i="20"/>
  <c r="H309" i="20" s="1"/>
  <c r="G310" i="20"/>
  <c r="H310" i="20" s="1"/>
  <c r="G186" i="20"/>
  <c r="H186" i="20" s="1"/>
  <c r="K233" i="6" l="1"/>
  <c r="T233" i="6"/>
  <c r="Q233" i="6"/>
  <c r="H233" i="6"/>
  <c r="I233" i="6"/>
  <c r="R233" i="6"/>
  <c r="K219" i="46"/>
  <c r="K220" i="46"/>
  <c r="K221" i="46" s="1"/>
  <c r="K31" i="6"/>
  <c r="Q31" i="6"/>
  <c r="R31" i="6"/>
  <c r="T31" i="6"/>
  <c r="H31" i="6"/>
  <c r="I31" i="6"/>
  <c r="K32" i="6"/>
  <c r="L32" i="6" s="1"/>
  <c r="M32" i="6" s="1"/>
  <c r="Q32" i="6"/>
  <c r="H32" i="6"/>
  <c r="R32" i="6"/>
  <c r="T32" i="6"/>
  <c r="I32" i="6"/>
  <c r="K103" i="44"/>
  <c r="K104" i="44" s="1"/>
  <c r="K102" i="44"/>
  <c r="K83" i="44"/>
  <c r="K84" i="44"/>
  <c r="K85" i="44" s="1"/>
  <c r="K247" i="6"/>
  <c r="Q247" i="6"/>
  <c r="R247" i="6"/>
  <c r="H247" i="6"/>
  <c r="T247" i="6"/>
  <c r="I247" i="6"/>
  <c r="K246" i="6"/>
  <c r="L246" i="6" s="1"/>
  <c r="M246" i="6" s="1"/>
  <c r="Q246" i="6"/>
  <c r="R246" i="6"/>
  <c r="T246" i="6"/>
  <c r="H246" i="6"/>
  <c r="I246" i="6"/>
  <c r="K149" i="22"/>
  <c r="K150" i="22"/>
  <c r="K151" i="22" s="1"/>
  <c r="K477" i="6"/>
  <c r="T477" i="6"/>
  <c r="Q477" i="6"/>
  <c r="R477" i="6"/>
  <c r="I477" i="6"/>
  <c r="H477" i="6"/>
  <c r="K136" i="22"/>
  <c r="K137" i="22"/>
  <c r="K138" i="22" s="1"/>
  <c r="K48" i="23"/>
  <c r="K49" i="23"/>
  <c r="K50" i="23" s="1"/>
  <c r="K123" i="22"/>
  <c r="K124" i="22"/>
  <c r="K125" i="22" s="1"/>
  <c r="G284" i="20"/>
  <c r="H284" i="20" s="1"/>
  <c r="G298" i="20"/>
  <c r="H298" i="20" s="1"/>
  <c r="G299" i="20"/>
  <c r="H299" i="20" s="1"/>
  <c r="H256" i="20"/>
  <c r="G129" i="20"/>
  <c r="H129" i="20" s="1"/>
  <c r="L233" i="6" l="1"/>
  <c r="M233" i="6" s="1"/>
  <c r="L31" i="6"/>
  <c r="M31" i="6" s="1"/>
  <c r="L247" i="6"/>
  <c r="M247" i="6" s="1"/>
  <c r="L477" i="6"/>
  <c r="M477" i="6" s="1"/>
  <c r="G30" i="20"/>
  <c r="H30" i="20" s="1"/>
  <c r="G32" i="20"/>
  <c r="H32" i="20" s="1"/>
  <c r="G24" i="20"/>
  <c r="H24" i="20" s="1"/>
  <c r="H12" i="56"/>
  <c r="H13" i="56"/>
  <c r="H14" i="56"/>
  <c r="H15" i="56"/>
  <c r="H16" i="56"/>
  <c r="G8" i="57"/>
  <c r="H8" i="57" s="1"/>
  <c r="G9" i="57"/>
  <c r="H9" i="57" s="1"/>
  <c r="G10" i="57"/>
  <c r="H10" i="57" s="1"/>
  <c r="G11" i="57"/>
  <c r="H11" i="57" s="1"/>
  <c r="G12" i="57"/>
  <c r="H12" i="57" s="1"/>
  <c r="G13" i="57"/>
  <c r="H13" i="57" s="1"/>
  <c r="I64" i="32"/>
  <c r="I65" i="32" s="1"/>
  <c r="E61" i="32"/>
  <c r="F61" i="32" s="1"/>
  <c r="I228" i="31"/>
  <c r="I229" i="31" s="1"/>
  <c r="E225" i="31"/>
  <c r="F225" i="31" s="1"/>
  <c r="I213" i="31"/>
  <c r="I214" i="31" s="1"/>
  <c r="E210" i="31"/>
  <c r="F210" i="31" s="1"/>
  <c r="I198" i="31"/>
  <c r="I199" i="31" s="1"/>
  <c r="E195" i="31"/>
  <c r="F195" i="31" s="1"/>
  <c r="I184" i="31"/>
  <c r="I185" i="31" s="1"/>
  <c r="E181" i="31"/>
  <c r="F181" i="31" s="1"/>
  <c r="I172" i="31"/>
  <c r="I173" i="31" s="1"/>
  <c r="E169" i="31"/>
  <c r="F169" i="31" s="1"/>
  <c r="I160" i="31"/>
  <c r="I161" i="31" s="1"/>
  <c r="E157" i="31"/>
  <c r="F157" i="31" s="1"/>
  <c r="I148" i="31"/>
  <c r="I149" i="31" s="1"/>
  <c r="E145" i="31"/>
  <c r="F145" i="31" s="1"/>
  <c r="I126" i="31"/>
  <c r="I127" i="31" s="1"/>
  <c r="E123" i="31"/>
  <c r="F123" i="31" s="1"/>
  <c r="I212" i="27"/>
  <c r="I213" i="27" s="1"/>
  <c r="E209" i="27"/>
  <c r="F209" i="27" s="1"/>
  <c r="I200" i="27"/>
  <c r="I201" i="27" s="1"/>
  <c r="E197" i="27"/>
  <c r="F197" i="27" s="1"/>
  <c r="I183" i="27"/>
  <c r="I184" i="27" s="1"/>
  <c r="E180" i="27"/>
  <c r="F180" i="27" s="1"/>
  <c r="I157" i="27"/>
  <c r="I158" i="27" s="1"/>
  <c r="E154" i="27"/>
  <c r="F154" i="27" s="1"/>
  <c r="I144" i="27"/>
  <c r="I145" i="27" s="1"/>
  <c r="E141" i="27"/>
  <c r="F141" i="27" s="1"/>
  <c r="I130" i="27"/>
  <c r="I131" i="27" s="1"/>
  <c r="E127" i="27"/>
  <c r="F127" i="27" s="1"/>
  <c r="I126" i="27" s="1"/>
  <c r="I71" i="30"/>
  <c r="I72" i="30" s="1"/>
  <c r="E68" i="30"/>
  <c r="F68" i="30" s="1"/>
  <c r="I59" i="30"/>
  <c r="I60" i="30" s="1"/>
  <c r="E56" i="30"/>
  <c r="F56" i="30" s="1"/>
  <c r="I48" i="30"/>
  <c r="I49" i="30" s="1"/>
  <c r="E45" i="30"/>
  <c r="F45" i="30" s="1"/>
  <c r="I248" i="28"/>
  <c r="I249" i="28" s="1"/>
  <c r="E245" i="28"/>
  <c r="F245" i="28" s="1"/>
  <c r="I234" i="28"/>
  <c r="I235" i="28" s="1"/>
  <c r="E231" i="28"/>
  <c r="F231" i="28" s="1"/>
  <c r="I219" i="28"/>
  <c r="I220" i="28" s="1"/>
  <c r="E216" i="28"/>
  <c r="F216" i="28" s="1"/>
  <c r="I206" i="28"/>
  <c r="I207" i="28" s="1"/>
  <c r="E203" i="28"/>
  <c r="F203" i="28" s="1"/>
  <c r="I194" i="28"/>
  <c r="I195" i="28" s="1"/>
  <c r="E191" i="28"/>
  <c r="F191" i="28" s="1"/>
  <c r="I183" i="28"/>
  <c r="I184" i="28" s="1"/>
  <c r="E180" i="28"/>
  <c r="F180" i="28" s="1"/>
  <c r="I171" i="28"/>
  <c r="I172" i="28" s="1"/>
  <c r="E168" i="28"/>
  <c r="F168" i="28" s="1"/>
  <c r="I158" i="28"/>
  <c r="I159" i="28" s="1"/>
  <c r="E155" i="28"/>
  <c r="F155" i="28" s="1"/>
  <c r="I147" i="28"/>
  <c r="I148" i="28" s="1"/>
  <c r="E144" i="28"/>
  <c r="F144" i="28" s="1"/>
  <c r="I136" i="28"/>
  <c r="I137" i="28" s="1"/>
  <c r="E133" i="28"/>
  <c r="F133" i="28" s="1"/>
  <c r="I132" i="28" s="1"/>
  <c r="I127" i="33"/>
  <c r="I128" i="33" s="1"/>
  <c r="E124" i="33"/>
  <c r="F124" i="33" s="1"/>
  <c r="I113" i="33"/>
  <c r="I114" i="33" s="1"/>
  <c r="E110" i="33"/>
  <c r="F110" i="33" s="1"/>
  <c r="I101" i="33"/>
  <c r="I102" i="33" s="1"/>
  <c r="E98" i="33"/>
  <c r="F98" i="33" s="1"/>
  <c r="I88" i="33"/>
  <c r="I89" i="33" s="1"/>
  <c r="E85" i="33"/>
  <c r="F85" i="33" s="1"/>
  <c r="I75" i="33"/>
  <c r="I76" i="33" s="1"/>
  <c r="E72" i="33"/>
  <c r="F72" i="33" s="1"/>
  <c r="I53" i="35"/>
  <c r="I54" i="35" s="1"/>
  <c r="I38" i="35"/>
  <c r="I39" i="35" s="1"/>
  <c r="I170" i="34"/>
  <c r="I171" i="34" s="1"/>
  <c r="E167" i="34"/>
  <c r="F167" i="34" s="1"/>
  <c r="I113" i="34"/>
  <c r="I114" i="34" s="1"/>
  <c r="E110" i="34"/>
  <c r="F110" i="34" s="1"/>
  <c r="I98" i="34"/>
  <c r="I99" i="34" s="1"/>
  <c r="E95" i="34"/>
  <c r="F95" i="34" s="1"/>
  <c r="H11" i="56"/>
  <c r="H10" i="56"/>
  <c r="H9" i="56"/>
  <c r="G50" i="7"/>
  <c r="H50" i="7" s="1"/>
  <c r="G51" i="7"/>
  <c r="H51" i="7" s="1"/>
  <c r="G52" i="7"/>
  <c r="H52" i="7" s="1"/>
  <c r="G53" i="7"/>
  <c r="H53" i="7" s="1"/>
  <c r="G54" i="7"/>
  <c r="H54" i="7" s="1"/>
  <c r="G55" i="7"/>
  <c r="H55" i="7" s="1"/>
  <c r="G56" i="7"/>
  <c r="H56" i="7" s="1"/>
  <c r="G57" i="7"/>
  <c r="H57" i="7" s="1"/>
  <c r="B67" i="6"/>
  <c r="G146" i="12"/>
  <c r="H146" i="12" s="1"/>
  <c r="G145" i="12"/>
  <c r="H145" i="12" s="1"/>
  <c r="G144" i="12"/>
  <c r="H144" i="12" s="1"/>
  <c r="G143" i="12"/>
  <c r="H143" i="12" s="1"/>
  <c r="G142" i="12"/>
  <c r="H142" i="12" s="1"/>
  <c r="G141" i="12"/>
  <c r="H141" i="12" s="1"/>
  <c r="G140" i="12"/>
  <c r="H140" i="12" s="1"/>
  <c r="G139" i="12"/>
  <c r="H139" i="12" s="1"/>
  <c r="G138" i="12"/>
  <c r="H138" i="12" s="1"/>
  <c r="G137" i="12"/>
  <c r="H137" i="12" s="1"/>
  <c r="G136" i="12"/>
  <c r="H136" i="12" s="1"/>
  <c r="G135" i="12"/>
  <c r="H135" i="12" s="1"/>
  <c r="G134" i="12"/>
  <c r="H134" i="12" s="1"/>
  <c r="G133" i="12"/>
  <c r="H133" i="12" s="1"/>
  <c r="G132" i="12"/>
  <c r="H132" i="12" s="1"/>
  <c r="G131" i="12"/>
  <c r="H131" i="12" s="1"/>
  <c r="G130" i="12"/>
  <c r="H130" i="12" s="1"/>
  <c r="K129" i="12"/>
  <c r="K130" i="12" s="1"/>
  <c r="G129" i="12"/>
  <c r="H129" i="12" s="1"/>
  <c r="G128" i="12"/>
  <c r="H128" i="12" s="1"/>
  <c r="G127" i="12"/>
  <c r="H127" i="12" s="1"/>
  <c r="G126" i="12"/>
  <c r="H126" i="12" s="1"/>
  <c r="B232" i="6"/>
  <c r="J232" i="6" s="1"/>
  <c r="F232" i="6"/>
  <c r="G232" i="6" s="1"/>
  <c r="O232" i="6"/>
  <c r="P232" i="6" s="1"/>
  <c r="G335" i="20"/>
  <c r="H335" i="20" s="1"/>
  <c r="K334" i="20"/>
  <c r="K335" i="20" s="1"/>
  <c r="G334" i="20"/>
  <c r="H334" i="20" s="1"/>
  <c r="G333" i="20"/>
  <c r="H333" i="20" s="1"/>
  <c r="G332" i="20"/>
  <c r="H332" i="20" s="1"/>
  <c r="G331" i="20"/>
  <c r="H331" i="20" s="1"/>
  <c r="B231" i="6"/>
  <c r="J231" i="6" s="1"/>
  <c r="G206" i="46"/>
  <c r="H206" i="46" s="1"/>
  <c r="G205" i="46"/>
  <c r="H205" i="46" s="1"/>
  <c r="K204" i="46"/>
  <c r="K205" i="46" s="1"/>
  <c r="G204" i="46"/>
  <c r="H204" i="46" s="1"/>
  <c r="G203" i="46"/>
  <c r="H203" i="46" s="1"/>
  <c r="G202" i="46"/>
  <c r="H202" i="46" s="1"/>
  <c r="G201" i="46"/>
  <c r="H201" i="46" s="1"/>
  <c r="F231" i="6"/>
  <c r="G231" i="6" s="1"/>
  <c r="O231" i="6"/>
  <c r="P231" i="6" s="1"/>
  <c r="B214" i="6"/>
  <c r="J214" i="6" s="1"/>
  <c r="B213" i="6"/>
  <c r="J213" i="6" s="1"/>
  <c r="F214" i="6"/>
  <c r="O214" i="6"/>
  <c r="P214" i="6" s="1"/>
  <c r="G322" i="20"/>
  <c r="H322" i="20" s="1"/>
  <c r="K321" i="20"/>
  <c r="K322" i="20" s="1"/>
  <c r="G321" i="20"/>
  <c r="H321" i="20" s="1"/>
  <c r="G320" i="20"/>
  <c r="H320" i="20" s="1"/>
  <c r="G319" i="20"/>
  <c r="H319" i="20" s="1"/>
  <c r="G318" i="20"/>
  <c r="H318" i="20" s="1"/>
  <c r="K308" i="20"/>
  <c r="K309" i="20" s="1"/>
  <c r="G308" i="20"/>
  <c r="H308" i="20" s="1"/>
  <c r="G307" i="20"/>
  <c r="H307" i="20" s="1"/>
  <c r="G306" i="20"/>
  <c r="H306" i="20" s="1"/>
  <c r="G305" i="20"/>
  <c r="H305" i="20" s="1"/>
  <c r="B212" i="6"/>
  <c r="J212" i="6" s="1"/>
  <c r="E212" i="6"/>
  <c r="F212" i="6" s="1"/>
  <c r="O212" i="6"/>
  <c r="P212" i="6" s="1"/>
  <c r="E213" i="6"/>
  <c r="F213" i="6" s="1"/>
  <c r="G213" i="6" s="1"/>
  <c r="O213" i="6"/>
  <c r="P213" i="6" s="1"/>
  <c r="G297" i="20"/>
  <c r="H297" i="20" s="1"/>
  <c r="K296" i="20"/>
  <c r="K297" i="20" s="1"/>
  <c r="G296" i="20"/>
  <c r="H296" i="20" s="1"/>
  <c r="G295" i="20"/>
  <c r="H295" i="20" s="1"/>
  <c r="G294" i="20"/>
  <c r="H294" i="20" s="1"/>
  <c r="G293" i="20"/>
  <c r="H293" i="20" s="1"/>
  <c r="H147" i="12" l="1"/>
  <c r="F62" i="32"/>
  <c r="I60" i="32"/>
  <c r="F170" i="31"/>
  <c r="I168" i="31"/>
  <c r="F182" i="31"/>
  <c r="I180" i="31"/>
  <c r="F196" i="31"/>
  <c r="I194" i="31"/>
  <c r="I122" i="31"/>
  <c r="F124" i="31"/>
  <c r="F211" i="31"/>
  <c r="I209" i="31"/>
  <c r="I211" i="31" s="1"/>
  <c r="I215" i="31" s="1"/>
  <c r="I144" i="31"/>
  <c r="F146" i="31"/>
  <c r="F226" i="31"/>
  <c r="I224" i="31"/>
  <c r="F158" i="31"/>
  <c r="I156" i="31"/>
  <c r="I127" i="27"/>
  <c r="I128" i="27" s="1"/>
  <c r="F210" i="27"/>
  <c r="I208" i="27"/>
  <c r="I210" i="27" s="1"/>
  <c r="I214" i="27" s="1"/>
  <c r="I140" i="27"/>
  <c r="F142" i="27"/>
  <c r="F155" i="27"/>
  <c r="I153" i="27"/>
  <c r="I155" i="27" s="1"/>
  <c r="I159" i="27" s="1"/>
  <c r="I179" i="27"/>
  <c r="I181" i="27" s="1"/>
  <c r="I185" i="27" s="1"/>
  <c r="F181" i="27"/>
  <c r="I196" i="27"/>
  <c r="I198" i="27" s="1"/>
  <c r="F198" i="27"/>
  <c r="F128" i="27"/>
  <c r="F46" i="30"/>
  <c r="I44" i="30"/>
  <c r="I55" i="30"/>
  <c r="F57" i="30"/>
  <c r="I67" i="30"/>
  <c r="I69" i="30" s="1"/>
  <c r="I73" i="30" s="1"/>
  <c r="F69" i="30"/>
  <c r="F204" i="28"/>
  <c r="I202" i="28"/>
  <c r="I203" i="28" s="1"/>
  <c r="I204" i="28" s="1"/>
  <c r="F192" i="28"/>
  <c r="I190" i="28"/>
  <c r="I244" i="28"/>
  <c r="F246" i="28"/>
  <c r="I133" i="28"/>
  <c r="I134" i="28" s="1"/>
  <c r="F145" i="28"/>
  <c r="I143" i="28"/>
  <c r="F156" i="28"/>
  <c r="I154" i="28"/>
  <c r="I215" i="28"/>
  <c r="F217" i="28"/>
  <c r="F169" i="28"/>
  <c r="I167" i="28"/>
  <c r="F181" i="28"/>
  <c r="I179" i="28"/>
  <c r="I230" i="28"/>
  <c r="F232" i="28"/>
  <c r="F134" i="28"/>
  <c r="F73" i="33"/>
  <c r="I71" i="33"/>
  <c r="I84" i="33"/>
  <c r="F86" i="33"/>
  <c r="F99" i="33"/>
  <c r="I97" i="33"/>
  <c r="F111" i="33"/>
  <c r="I109" i="33"/>
  <c r="F125" i="33"/>
  <c r="I123" i="33"/>
  <c r="F96" i="34"/>
  <c r="I94" i="34"/>
  <c r="F111" i="34"/>
  <c r="I109" i="34"/>
  <c r="F168" i="34"/>
  <c r="I166" i="34"/>
  <c r="H23" i="56"/>
  <c r="K8" i="56"/>
  <c r="H14" i="57"/>
  <c r="K7" i="57"/>
  <c r="G212" i="6"/>
  <c r="K125" i="12"/>
  <c r="H338" i="20"/>
  <c r="K330" i="20"/>
  <c r="K200" i="46"/>
  <c r="H208" i="46"/>
  <c r="G214" i="6"/>
  <c r="H324" i="20"/>
  <c r="K317" i="20"/>
  <c r="H311" i="20"/>
  <c r="K304" i="20"/>
  <c r="K292" i="20"/>
  <c r="H300" i="20"/>
  <c r="G193" i="46"/>
  <c r="H193" i="46" s="1"/>
  <c r="K192" i="46"/>
  <c r="K193" i="46" s="1"/>
  <c r="G192" i="46"/>
  <c r="H192" i="46" s="1"/>
  <c r="G191" i="46"/>
  <c r="H191" i="46" s="1"/>
  <c r="G190" i="46"/>
  <c r="H190" i="46" s="1"/>
  <c r="G189" i="46"/>
  <c r="H189" i="46" s="1"/>
  <c r="I74" i="30" l="1"/>
  <c r="I75" i="30" s="1"/>
  <c r="I186" i="27"/>
  <c r="I187" i="27" s="1"/>
  <c r="I160" i="27"/>
  <c r="I161" i="27" s="1"/>
  <c r="I61" i="32"/>
  <c r="I62" i="32" s="1"/>
  <c r="I145" i="31"/>
  <c r="I146" i="31" s="1"/>
  <c r="I169" i="31"/>
  <c r="I170" i="31" s="1"/>
  <c r="I157" i="31"/>
  <c r="I158" i="31" s="1"/>
  <c r="I123" i="31"/>
  <c r="I124" i="31" s="1"/>
  <c r="I225" i="31"/>
  <c r="I226" i="31" s="1"/>
  <c r="I195" i="31"/>
  <c r="I196" i="31" s="1"/>
  <c r="I216" i="31"/>
  <c r="I217" i="31" s="1"/>
  <c r="I181" i="31"/>
  <c r="I182" i="31" s="1"/>
  <c r="I132" i="27"/>
  <c r="I133" i="27"/>
  <c r="I134" i="27" s="1"/>
  <c r="I202" i="27"/>
  <c r="I203" i="27"/>
  <c r="I204" i="27" s="1"/>
  <c r="I141" i="27"/>
  <c r="I142" i="27" s="1"/>
  <c r="I215" i="27"/>
  <c r="I216" i="27" s="1"/>
  <c r="I56" i="30"/>
  <c r="I57" i="30" s="1"/>
  <c r="I45" i="30"/>
  <c r="I46" i="30" s="1"/>
  <c r="I208" i="28"/>
  <c r="I209" i="28"/>
  <c r="I210" i="28" s="1"/>
  <c r="I138" i="28"/>
  <c r="I139" i="28"/>
  <c r="I140" i="28" s="1"/>
  <c r="I191" i="28"/>
  <c r="I192" i="28" s="1"/>
  <c r="I155" i="28"/>
  <c r="I156" i="28" s="1"/>
  <c r="I231" i="28"/>
  <c r="I232" i="28" s="1"/>
  <c r="I144" i="28"/>
  <c r="I145" i="28" s="1"/>
  <c r="I180" i="28"/>
  <c r="I181" i="28" s="1"/>
  <c r="I168" i="28"/>
  <c r="I169" i="28" s="1"/>
  <c r="I216" i="28"/>
  <c r="I217" i="28" s="1"/>
  <c r="I245" i="28"/>
  <c r="I246" i="28" s="1"/>
  <c r="I110" i="33"/>
  <c r="I111" i="33" s="1"/>
  <c r="I98" i="33"/>
  <c r="I99" i="33" s="1"/>
  <c r="I85" i="33"/>
  <c r="I86" i="33" s="1"/>
  <c r="I124" i="33"/>
  <c r="I125" i="33" s="1"/>
  <c r="I72" i="33"/>
  <c r="I73" i="33" s="1"/>
  <c r="I167" i="34"/>
  <c r="I168" i="34" s="1"/>
  <c r="I95" i="34"/>
  <c r="I96" i="34" s="1"/>
  <c r="I110" i="34"/>
  <c r="I111" i="34" s="1"/>
  <c r="K9" i="56"/>
  <c r="K10" i="56" s="1"/>
  <c r="K12" i="56" s="1"/>
  <c r="K8" i="57"/>
  <c r="K9" i="57" s="1"/>
  <c r="K11" i="57" s="1"/>
  <c r="K126" i="12"/>
  <c r="K127" i="12" s="1"/>
  <c r="D67" i="6" s="1"/>
  <c r="K331" i="20"/>
  <c r="K332" i="20" s="1"/>
  <c r="D232" i="6" s="1"/>
  <c r="Q232" i="6" s="1"/>
  <c r="K201" i="46"/>
  <c r="K202" i="46" s="1"/>
  <c r="D231" i="6" s="1"/>
  <c r="Q231" i="6" s="1"/>
  <c r="K318" i="20"/>
  <c r="K319" i="20" s="1"/>
  <c r="D214" i="6" s="1"/>
  <c r="K305" i="20"/>
  <c r="K306" i="20" s="1"/>
  <c r="D213" i="6" s="1"/>
  <c r="K293" i="20"/>
  <c r="K294" i="20" s="1"/>
  <c r="D212" i="6" s="1"/>
  <c r="H194" i="46"/>
  <c r="K188" i="46"/>
  <c r="K232" i="6" l="1"/>
  <c r="T232" i="6"/>
  <c r="I232" i="6"/>
  <c r="R232" i="6"/>
  <c r="H232" i="6"/>
  <c r="I66" i="32"/>
  <c r="I67" i="32"/>
  <c r="I68" i="32" s="1"/>
  <c r="I200" i="31"/>
  <c r="I201" i="31"/>
  <c r="I202" i="31" s="1"/>
  <c r="I230" i="31"/>
  <c r="I231" i="31"/>
  <c r="I232" i="31" s="1"/>
  <c r="I128" i="31"/>
  <c r="I129" i="31"/>
  <c r="I130" i="31" s="1"/>
  <c r="I174" i="31"/>
  <c r="I175" i="31"/>
  <c r="I176" i="31" s="1"/>
  <c r="I186" i="31"/>
  <c r="I187" i="31"/>
  <c r="I188" i="31" s="1"/>
  <c r="I150" i="31"/>
  <c r="I151" i="31"/>
  <c r="I152" i="31" s="1"/>
  <c r="I162" i="31"/>
  <c r="I163" i="31"/>
  <c r="I164" i="31" s="1"/>
  <c r="I146" i="27"/>
  <c r="I147" i="27"/>
  <c r="I148" i="27" s="1"/>
  <c r="I61" i="30"/>
  <c r="I62" i="30"/>
  <c r="I63" i="30" s="1"/>
  <c r="I50" i="30"/>
  <c r="I51" i="30"/>
  <c r="I52" i="30" s="1"/>
  <c r="I251" i="28"/>
  <c r="I252" i="28" s="1"/>
  <c r="I250" i="28"/>
  <c r="I185" i="28"/>
  <c r="I186" i="28"/>
  <c r="I187" i="28" s="1"/>
  <c r="I149" i="28"/>
  <c r="I150" i="28"/>
  <c r="I151" i="28" s="1"/>
  <c r="I237" i="28"/>
  <c r="I238" i="28" s="1"/>
  <c r="I236" i="28"/>
  <c r="I196" i="28"/>
  <c r="I197" i="28"/>
  <c r="I198" i="28" s="1"/>
  <c r="I160" i="28"/>
  <c r="I161" i="28"/>
  <c r="I162" i="28" s="1"/>
  <c r="I173" i="28"/>
  <c r="I174" i="28"/>
  <c r="I175" i="28" s="1"/>
  <c r="I221" i="28"/>
  <c r="I222" i="28"/>
  <c r="I223" i="28" s="1"/>
  <c r="I77" i="33"/>
  <c r="I78" i="33"/>
  <c r="I79" i="33" s="1"/>
  <c r="I129" i="33"/>
  <c r="I130" i="33"/>
  <c r="I131" i="33" s="1"/>
  <c r="I90" i="33"/>
  <c r="I91" i="33"/>
  <c r="I92" i="33" s="1"/>
  <c r="I103" i="33"/>
  <c r="I104" i="33"/>
  <c r="I105" i="33" s="1"/>
  <c r="I115" i="33"/>
  <c r="I116" i="33"/>
  <c r="I117" i="33" s="1"/>
  <c r="I115" i="34"/>
  <c r="I116" i="34"/>
  <c r="I117" i="34" s="1"/>
  <c r="I100" i="34"/>
  <c r="I101" i="34"/>
  <c r="I102" i="34" s="1"/>
  <c r="I172" i="34"/>
  <c r="I173" i="34"/>
  <c r="I174" i="34" s="1"/>
  <c r="K131" i="12"/>
  <c r="K132" i="12"/>
  <c r="K133" i="12" s="1"/>
  <c r="I231" i="6"/>
  <c r="K231" i="6"/>
  <c r="H231" i="6"/>
  <c r="T231" i="6"/>
  <c r="R231" i="6"/>
  <c r="K336" i="20"/>
  <c r="K337" i="20"/>
  <c r="K338" i="20" s="1"/>
  <c r="Q214" i="6"/>
  <c r="R214" i="6"/>
  <c r="K214" i="6"/>
  <c r="L214" i="6" s="1"/>
  <c r="M214" i="6" s="1"/>
  <c r="T213" i="6"/>
  <c r="Q213" i="6"/>
  <c r="K213" i="6"/>
  <c r="I213" i="6"/>
  <c r="H213" i="6"/>
  <c r="R213" i="6"/>
  <c r="H214" i="6"/>
  <c r="I214" i="6"/>
  <c r="T214" i="6"/>
  <c r="K206" i="46"/>
  <c r="K207" i="46"/>
  <c r="K208" i="46" s="1"/>
  <c r="K323" i="20"/>
  <c r="K324" i="20"/>
  <c r="K325" i="20" s="1"/>
  <c r="K212" i="6"/>
  <c r="T212" i="6"/>
  <c r="I212" i="6"/>
  <c r="H212" i="6"/>
  <c r="Q212" i="6"/>
  <c r="R212" i="6"/>
  <c r="K310" i="20"/>
  <c r="K311" i="20"/>
  <c r="K312" i="20" s="1"/>
  <c r="K298" i="20"/>
  <c r="K299" i="20"/>
  <c r="K300" i="20" s="1"/>
  <c r="K189" i="46"/>
  <c r="K190" i="46" s="1"/>
  <c r="L232" i="6" l="1"/>
  <c r="M232" i="6" s="1"/>
  <c r="L231" i="6"/>
  <c r="M231" i="6" s="1"/>
  <c r="L213" i="6"/>
  <c r="M213" i="6" s="1"/>
  <c r="L212" i="6"/>
  <c r="M212" i="6" s="1"/>
  <c r="K194" i="46"/>
  <c r="K195" i="46"/>
  <c r="K196" i="46" s="1"/>
  <c r="B383" i="6" l="1"/>
  <c r="B360" i="6"/>
  <c r="J360" i="6" s="1"/>
  <c r="B359" i="6"/>
  <c r="J359" i="6" s="1"/>
  <c r="F359" i="6"/>
  <c r="G359" i="6" s="1"/>
  <c r="O359" i="6"/>
  <c r="P359" i="6" s="1"/>
  <c r="F360" i="6"/>
  <c r="G360" i="6" s="1"/>
  <c r="O360" i="6"/>
  <c r="P360" i="6" s="1"/>
  <c r="E23" i="35"/>
  <c r="F23" i="35" s="1"/>
  <c r="C343" i="8"/>
  <c r="E50" i="35" s="1"/>
  <c r="F50" i="35" s="1"/>
  <c r="I26" i="35"/>
  <c r="I27" i="35" s="1"/>
  <c r="C342" i="8"/>
  <c r="E35" i="35" s="1"/>
  <c r="F35" i="35" s="1"/>
  <c r="B351" i="6"/>
  <c r="J351" i="6" s="1"/>
  <c r="F351" i="6"/>
  <c r="G351" i="6" s="1"/>
  <c r="O351" i="6"/>
  <c r="P351" i="6" s="1"/>
  <c r="F51" i="35" l="1"/>
  <c r="I49" i="35"/>
  <c r="I50" i="35" s="1"/>
  <c r="I51" i="35" s="1"/>
  <c r="I34" i="35"/>
  <c r="I35" i="35" s="1"/>
  <c r="I36" i="35" s="1"/>
  <c r="F36" i="35"/>
  <c r="F24" i="35"/>
  <c r="I22" i="35"/>
  <c r="I24" i="35" s="1"/>
  <c r="I56" i="35" l="1"/>
  <c r="I57" i="35" s="1"/>
  <c r="I55" i="35"/>
  <c r="I40" i="35"/>
  <c r="I41" i="35"/>
  <c r="I42" i="35" s="1"/>
  <c r="I28" i="35"/>
  <c r="D359" i="6"/>
  <c r="I29" i="35"/>
  <c r="I30" i="35" s="1"/>
  <c r="D360" i="6"/>
  <c r="T360" i="6" l="1"/>
  <c r="I360" i="6"/>
  <c r="H360" i="6"/>
  <c r="K360" i="6"/>
  <c r="R360" i="6"/>
  <c r="Q360" i="6"/>
  <c r="T359" i="6"/>
  <c r="Q359" i="6"/>
  <c r="R359" i="6"/>
  <c r="K359" i="6"/>
  <c r="H359" i="6"/>
  <c r="I359" i="6"/>
  <c r="D351" i="6"/>
  <c r="L359" i="6" l="1"/>
  <c r="M359" i="6" s="1"/>
  <c r="L360" i="6"/>
  <c r="M360" i="6" s="1"/>
  <c r="T351" i="6"/>
  <c r="H351" i="6"/>
  <c r="I351" i="6"/>
  <c r="K351" i="6"/>
  <c r="L351" i="6" s="1"/>
  <c r="M351" i="6" s="1"/>
  <c r="Q351" i="6"/>
  <c r="R351" i="6"/>
  <c r="B294" i="6" l="1"/>
  <c r="J294" i="6" s="1"/>
  <c r="B293" i="6"/>
  <c r="J293" i="6" s="1"/>
  <c r="F294" i="6"/>
  <c r="G294" i="6" s="1"/>
  <c r="O294" i="6"/>
  <c r="P294" i="6" s="1"/>
  <c r="I34" i="30"/>
  <c r="I35" i="30" s="1"/>
  <c r="E31" i="30"/>
  <c r="F31" i="30" s="1"/>
  <c r="F293" i="6"/>
  <c r="G293" i="6" s="1"/>
  <c r="O293" i="6"/>
  <c r="P293" i="6" s="1"/>
  <c r="B253" i="6"/>
  <c r="J253" i="6" s="1"/>
  <c r="F253" i="6"/>
  <c r="G253" i="6" s="1"/>
  <c r="O253" i="6"/>
  <c r="P253" i="6" s="1"/>
  <c r="I117" i="27"/>
  <c r="I118" i="27" s="1"/>
  <c r="E114" i="27"/>
  <c r="F114" i="27" s="1"/>
  <c r="F32" i="30" l="1"/>
  <c r="I30" i="30"/>
  <c r="I32" i="30" s="1"/>
  <c r="I113" i="27"/>
  <c r="I115" i="27" s="1"/>
  <c r="F115" i="27"/>
  <c r="I36" i="30" l="1"/>
  <c r="D293" i="6"/>
  <c r="T293" i="6" s="1"/>
  <c r="D294" i="6"/>
  <c r="T294" i="6" s="1"/>
  <c r="I37" i="30"/>
  <c r="I38" i="30" s="1"/>
  <c r="I119" i="27"/>
  <c r="D253" i="6"/>
  <c r="T253" i="6" s="1"/>
  <c r="I120" i="27"/>
  <c r="I121" i="27" s="1"/>
  <c r="Q294" i="6" l="1"/>
  <c r="R294" i="6"/>
  <c r="K294" i="6"/>
  <c r="I294" i="6"/>
  <c r="H294" i="6"/>
  <c r="Q293" i="6"/>
  <c r="K293" i="6"/>
  <c r="I293" i="6"/>
  <c r="R293" i="6"/>
  <c r="H293" i="6"/>
  <c r="K253" i="6"/>
  <c r="Q253" i="6"/>
  <c r="R253" i="6"/>
  <c r="I253" i="6"/>
  <c r="H253" i="6"/>
  <c r="G45" i="22"/>
  <c r="H45" i="22" s="1"/>
  <c r="G25" i="22"/>
  <c r="H25" i="22" s="1"/>
  <c r="G17" i="22"/>
  <c r="H17" i="22" s="1"/>
  <c r="G55" i="22"/>
  <c r="H55" i="22" s="1"/>
  <c r="G48" i="15"/>
  <c r="H48" i="15" s="1"/>
  <c r="B69" i="6"/>
  <c r="L293" i="6" l="1"/>
  <c r="M293" i="6" s="1"/>
  <c r="L294" i="6"/>
  <c r="M294" i="6" s="1"/>
  <c r="L253" i="6"/>
  <c r="M253" i="6" s="1"/>
  <c r="B211" i="6"/>
  <c r="J211" i="6" s="1"/>
  <c r="K283" i="20"/>
  <c r="K284" i="20" s="1"/>
  <c r="G283" i="20"/>
  <c r="H283" i="20" s="1"/>
  <c r="G282" i="20"/>
  <c r="H282" i="20" s="1"/>
  <c r="G281" i="20"/>
  <c r="H281" i="20" s="1"/>
  <c r="G280" i="20"/>
  <c r="H280" i="20" s="1"/>
  <c r="E211" i="6"/>
  <c r="O211" i="6"/>
  <c r="P211" i="6" s="1"/>
  <c r="G106" i="22"/>
  <c r="H106" i="22" s="1"/>
  <c r="G39" i="22"/>
  <c r="H39" i="22" s="1"/>
  <c r="G112" i="22"/>
  <c r="H112" i="22" s="1"/>
  <c r="B243" i="6"/>
  <c r="J243" i="6" s="1"/>
  <c r="F243" i="6"/>
  <c r="G243" i="6" s="1"/>
  <c r="N243" i="6"/>
  <c r="O243" i="6" s="1"/>
  <c r="P243" i="6" s="1"/>
  <c r="G111" i="22"/>
  <c r="H111" i="22" s="1"/>
  <c r="G110" i="22"/>
  <c r="H110" i="22" s="1"/>
  <c r="G109" i="22"/>
  <c r="H109" i="22" s="1"/>
  <c r="G108" i="22"/>
  <c r="H108" i="22" s="1"/>
  <c r="K107" i="22"/>
  <c r="K108" i="22" s="1"/>
  <c r="G107" i="22"/>
  <c r="H107" i="22" s="1"/>
  <c r="G105" i="22"/>
  <c r="H105" i="22" s="1"/>
  <c r="G104" i="22"/>
  <c r="H104" i="22" s="1"/>
  <c r="F211" i="6" l="1"/>
  <c r="G211" i="6" s="1"/>
  <c r="H285" i="20"/>
  <c r="K279" i="20"/>
  <c r="H113" i="22"/>
  <c r="K103" i="22"/>
  <c r="B504" i="6"/>
  <c r="J504" i="6" s="1"/>
  <c r="F504" i="6"/>
  <c r="G504" i="6" s="1"/>
  <c r="O504" i="6"/>
  <c r="P504" i="6" s="1"/>
  <c r="K37" i="40"/>
  <c r="K38" i="40" s="1"/>
  <c r="G37" i="40"/>
  <c r="H37" i="40" s="1"/>
  <c r="H36" i="40"/>
  <c r="G35" i="40"/>
  <c r="H35" i="40" s="1"/>
  <c r="G34" i="40"/>
  <c r="H34" i="40" s="1"/>
  <c r="G24" i="40"/>
  <c r="H24" i="40" s="1"/>
  <c r="B503" i="6"/>
  <c r="J503" i="6" s="1"/>
  <c r="F503" i="6"/>
  <c r="G503" i="6" s="1"/>
  <c r="O503" i="6"/>
  <c r="P503" i="6" s="1"/>
  <c r="G11" i="40"/>
  <c r="H11" i="40" s="1"/>
  <c r="K11" i="40"/>
  <c r="K12" i="40" s="1"/>
  <c r="G10" i="40"/>
  <c r="H10" i="40" s="1"/>
  <c r="H9" i="40"/>
  <c r="G8" i="40"/>
  <c r="H8" i="40" s="1"/>
  <c r="G26" i="40"/>
  <c r="H26" i="40" s="1"/>
  <c r="H25" i="40"/>
  <c r="K24" i="40"/>
  <c r="K25" i="40" s="1"/>
  <c r="G23" i="40"/>
  <c r="H23" i="40" s="1"/>
  <c r="G22" i="40"/>
  <c r="H22" i="40" s="1"/>
  <c r="G21" i="40"/>
  <c r="H21" i="40" s="1"/>
  <c r="B486" i="6"/>
  <c r="J486" i="6" s="1"/>
  <c r="G59" i="18"/>
  <c r="H59" i="18" s="1"/>
  <c r="G60" i="18"/>
  <c r="H60" i="18" s="1"/>
  <c r="K58" i="18"/>
  <c r="K59" i="18" s="1"/>
  <c r="H58" i="18"/>
  <c r="G57" i="18"/>
  <c r="H57" i="18" s="1"/>
  <c r="G56" i="18"/>
  <c r="H56" i="18" s="1"/>
  <c r="G55" i="18"/>
  <c r="H55" i="18" s="1"/>
  <c r="F486" i="6"/>
  <c r="G486" i="6" s="1"/>
  <c r="O486" i="6"/>
  <c r="P486" i="6" s="1"/>
  <c r="B451" i="6"/>
  <c r="J451" i="6" s="1"/>
  <c r="G60" i="19"/>
  <c r="H60" i="19" s="1"/>
  <c r="K59" i="19"/>
  <c r="K60" i="19" s="1"/>
  <c r="G59" i="19"/>
  <c r="H59" i="19" s="1"/>
  <c r="G58" i="19"/>
  <c r="H58" i="19" s="1"/>
  <c r="G57" i="19"/>
  <c r="H57" i="19" s="1"/>
  <c r="G56" i="19"/>
  <c r="H56" i="19" s="1"/>
  <c r="F451" i="6"/>
  <c r="G451" i="6" s="1"/>
  <c r="O451" i="6"/>
  <c r="P451" i="6" s="1"/>
  <c r="I83" i="34"/>
  <c r="I84" i="34" s="1"/>
  <c r="E80" i="34"/>
  <c r="F80" i="34" s="1"/>
  <c r="I68" i="34"/>
  <c r="I69" i="34" s="1"/>
  <c r="E65" i="34"/>
  <c r="F65" i="34" s="1"/>
  <c r="I53" i="34"/>
  <c r="I54" i="34" s="1"/>
  <c r="E50" i="34"/>
  <c r="F50" i="34" s="1"/>
  <c r="B303" i="6"/>
  <c r="J303" i="6" s="1"/>
  <c r="B318" i="6"/>
  <c r="J318" i="6" s="1"/>
  <c r="F303" i="6"/>
  <c r="G303" i="6" s="1"/>
  <c r="N303" i="6"/>
  <c r="O303" i="6" s="1"/>
  <c r="F318" i="6"/>
  <c r="G318" i="6" s="1"/>
  <c r="N318" i="6"/>
  <c r="O318" i="6" s="1"/>
  <c r="I113" i="31"/>
  <c r="I114" i="31" s="1"/>
  <c r="E110" i="31"/>
  <c r="F110" i="31" s="1"/>
  <c r="G57" i="22"/>
  <c r="H57" i="22" s="1"/>
  <c r="G44" i="22"/>
  <c r="H44" i="22" s="1"/>
  <c r="G33" i="22"/>
  <c r="H33" i="22" s="1"/>
  <c r="G16" i="22"/>
  <c r="H16" i="22" s="1"/>
  <c r="G15" i="22"/>
  <c r="H15" i="22" s="1"/>
  <c r="G14" i="22"/>
  <c r="H14" i="22" s="1"/>
  <c r="B210" i="6"/>
  <c r="J210" i="6" s="1"/>
  <c r="B209" i="6"/>
  <c r="J209" i="6" s="1"/>
  <c r="F209" i="6"/>
  <c r="G209" i="6" s="1"/>
  <c r="O209" i="6"/>
  <c r="P209" i="6" s="1"/>
  <c r="O210" i="6"/>
  <c r="P210" i="6" s="1"/>
  <c r="G270" i="20"/>
  <c r="H270" i="20" s="1"/>
  <c r="K269" i="20"/>
  <c r="K270" i="20" s="1"/>
  <c r="G269" i="20"/>
  <c r="H269" i="20" s="1"/>
  <c r="G268" i="20"/>
  <c r="H268" i="20" s="1"/>
  <c r="G267" i="20"/>
  <c r="H267" i="20" s="1"/>
  <c r="G266" i="20"/>
  <c r="H266" i="20" s="1"/>
  <c r="K255" i="20"/>
  <c r="K256" i="20" s="1"/>
  <c r="G255" i="20"/>
  <c r="H255" i="20" s="1"/>
  <c r="G254" i="20"/>
  <c r="H254" i="20" s="1"/>
  <c r="G253" i="20"/>
  <c r="H253" i="20" s="1"/>
  <c r="G252" i="20"/>
  <c r="H252" i="20" s="1"/>
  <c r="B208" i="6"/>
  <c r="J208" i="6" s="1"/>
  <c r="B207" i="6"/>
  <c r="J207" i="6" s="1"/>
  <c r="B206" i="6"/>
  <c r="J206" i="6" s="1"/>
  <c r="B205" i="6"/>
  <c r="J205" i="6" s="1"/>
  <c r="F205" i="6"/>
  <c r="O205" i="6"/>
  <c r="P205" i="6" s="1"/>
  <c r="F206" i="6"/>
  <c r="G206" i="6" s="1"/>
  <c r="O206" i="6"/>
  <c r="P206" i="6" s="1"/>
  <c r="F207" i="6"/>
  <c r="G207" i="6" s="1"/>
  <c r="O207" i="6"/>
  <c r="P207" i="6" s="1"/>
  <c r="F208" i="6"/>
  <c r="O208" i="6"/>
  <c r="P208" i="6" s="1"/>
  <c r="G243" i="20"/>
  <c r="H243" i="20" s="1"/>
  <c r="K244" i="20"/>
  <c r="K245" i="20" s="1"/>
  <c r="G242" i="20"/>
  <c r="H242" i="20" s="1"/>
  <c r="G241" i="20"/>
  <c r="H241" i="20" s="1"/>
  <c r="G240" i="20"/>
  <c r="H240" i="20" s="1"/>
  <c r="G239" i="20"/>
  <c r="H239" i="20" s="1"/>
  <c r="G229" i="20"/>
  <c r="H229" i="20" s="1"/>
  <c r="G228" i="20"/>
  <c r="H228" i="20" s="1"/>
  <c r="K229" i="20"/>
  <c r="K230" i="20" s="1"/>
  <c r="G227" i="20"/>
  <c r="H227" i="20" s="1"/>
  <c r="G226" i="20"/>
  <c r="H226" i="20" s="1"/>
  <c r="G216" i="20"/>
  <c r="H216" i="20" s="1"/>
  <c r="K217" i="20"/>
  <c r="K218" i="20" s="1"/>
  <c r="G215" i="20"/>
  <c r="H215" i="20" s="1"/>
  <c r="G214" i="20"/>
  <c r="H214" i="20" s="1"/>
  <c r="G206" i="20"/>
  <c r="H206" i="20" s="1"/>
  <c r="K206" i="20"/>
  <c r="K207" i="20" s="1"/>
  <c r="G205" i="20"/>
  <c r="H205" i="20" s="1"/>
  <c r="G204" i="20"/>
  <c r="H204" i="20" s="1"/>
  <c r="G203" i="20"/>
  <c r="H203" i="20" s="1"/>
  <c r="K195" i="20"/>
  <c r="K196" i="20" s="1"/>
  <c r="G194" i="20"/>
  <c r="H194" i="20" s="1"/>
  <c r="G193" i="20"/>
  <c r="H193" i="20" s="1"/>
  <c r="G192" i="20"/>
  <c r="H192" i="20" s="1"/>
  <c r="B204" i="6"/>
  <c r="J204" i="6" s="1"/>
  <c r="F204" i="6"/>
  <c r="G204" i="6" s="1"/>
  <c r="O204" i="6"/>
  <c r="P204" i="6" s="1"/>
  <c r="G185" i="20"/>
  <c r="H185" i="20" s="1"/>
  <c r="K184" i="20"/>
  <c r="K185" i="20" s="1"/>
  <c r="G184" i="20"/>
  <c r="H184" i="20" s="1"/>
  <c r="G183" i="20"/>
  <c r="H183" i="20" s="1"/>
  <c r="G182" i="20"/>
  <c r="H182" i="20" s="1"/>
  <c r="G181" i="20"/>
  <c r="H181" i="20" s="1"/>
  <c r="B203" i="6"/>
  <c r="J203" i="6" s="1"/>
  <c r="G171" i="20"/>
  <c r="H171" i="20" s="1"/>
  <c r="G172" i="20"/>
  <c r="H172" i="20" s="1"/>
  <c r="G173" i="20"/>
  <c r="H173" i="20" s="1"/>
  <c r="K171" i="20"/>
  <c r="K172" i="20" s="1"/>
  <c r="G170" i="20"/>
  <c r="H170" i="20" s="1"/>
  <c r="G169" i="20"/>
  <c r="H169" i="20" s="1"/>
  <c r="G168" i="20"/>
  <c r="H168" i="20" s="1"/>
  <c r="O203" i="6"/>
  <c r="P203" i="6" s="1"/>
  <c r="B202" i="6"/>
  <c r="J202" i="6" s="1"/>
  <c r="B201" i="6"/>
  <c r="J201" i="6" s="1"/>
  <c r="F201" i="6"/>
  <c r="G201" i="6" s="1"/>
  <c r="O201" i="6"/>
  <c r="P201" i="6" s="1"/>
  <c r="O202" i="6"/>
  <c r="P202" i="6" s="1"/>
  <c r="E219" i="6"/>
  <c r="E220" i="6"/>
  <c r="E221" i="6"/>
  <c r="E222" i="6"/>
  <c r="E223" i="6"/>
  <c r="E224" i="6"/>
  <c r="E225" i="6"/>
  <c r="E226" i="6"/>
  <c r="S137" i="6"/>
  <c r="S138" i="6"/>
  <c r="S139" i="6"/>
  <c r="G24" i="19"/>
  <c r="H24" i="19" s="1"/>
  <c r="G16" i="11"/>
  <c r="H16" i="11" s="1"/>
  <c r="G23" i="5"/>
  <c r="H23" i="5" s="1"/>
  <c r="G24" i="5"/>
  <c r="H24" i="5" s="1"/>
  <c r="G23" i="15"/>
  <c r="H23" i="15" s="1"/>
  <c r="G104" i="14"/>
  <c r="H104" i="14" s="1"/>
  <c r="G105" i="14"/>
  <c r="H105" i="14" s="1"/>
  <c r="G106" i="14"/>
  <c r="H106" i="14" s="1"/>
  <c r="G107" i="14"/>
  <c r="H107" i="14" s="1"/>
  <c r="G101" i="14"/>
  <c r="H101" i="14" s="1"/>
  <c r="G102" i="14"/>
  <c r="H102" i="14" s="1"/>
  <c r="G103" i="14"/>
  <c r="H103" i="14" s="1"/>
  <c r="G221" i="13"/>
  <c r="H221" i="13" s="1"/>
  <c r="G76" i="13"/>
  <c r="H76" i="13" s="1"/>
  <c r="G99" i="5"/>
  <c r="H99" i="5" s="1"/>
  <c r="G74" i="5"/>
  <c r="H74" i="5" s="1"/>
  <c r="G75" i="5"/>
  <c r="H75" i="5" s="1"/>
  <c r="G76" i="5"/>
  <c r="H76" i="5" s="1"/>
  <c r="G58" i="5"/>
  <c r="H58" i="5" s="1"/>
  <c r="G37" i="5"/>
  <c r="H37" i="5" s="1"/>
  <c r="G22" i="5"/>
  <c r="H22" i="5" s="1"/>
  <c r="G183" i="4"/>
  <c r="H183" i="4" s="1"/>
  <c r="G184" i="4"/>
  <c r="H184" i="4" s="1"/>
  <c r="B282" i="6"/>
  <c r="J282" i="6" s="1"/>
  <c r="B272" i="6"/>
  <c r="J272" i="6" s="1"/>
  <c r="F272" i="6"/>
  <c r="G272" i="6" s="1"/>
  <c r="O272" i="6"/>
  <c r="P272" i="6" s="1"/>
  <c r="F282" i="6"/>
  <c r="G282" i="6" s="1"/>
  <c r="O282" i="6"/>
  <c r="P282" i="6" s="1"/>
  <c r="B283" i="6"/>
  <c r="J283" i="6" s="1"/>
  <c r="B273" i="6"/>
  <c r="J273" i="6" s="1"/>
  <c r="F283" i="6"/>
  <c r="G283" i="6" s="1"/>
  <c r="O283" i="6"/>
  <c r="P283" i="6" s="1"/>
  <c r="I123" i="28"/>
  <c r="I124" i="28" s="1"/>
  <c r="E120" i="28"/>
  <c r="F120" i="28" s="1"/>
  <c r="I109" i="28"/>
  <c r="I110" i="28" s="1"/>
  <c r="E106" i="28"/>
  <c r="F106" i="28" s="1"/>
  <c r="B284" i="6"/>
  <c r="J284" i="6" s="1"/>
  <c r="B274" i="6"/>
  <c r="J274" i="6" s="1"/>
  <c r="F274" i="6"/>
  <c r="G274" i="6" s="1"/>
  <c r="O274" i="6"/>
  <c r="F284" i="6"/>
  <c r="G284" i="6" s="1"/>
  <c r="O284" i="6"/>
  <c r="F273" i="6"/>
  <c r="G273" i="6" s="1"/>
  <c r="O273" i="6"/>
  <c r="I94" i="28"/>
  <c r="I95" i="28" s="1"/>
  <c r="E91" i="28"/>
  <c r="F91" i="28" s="1"/>
  <c r="K280" i="20" l="1"/>
  <c r="K281" i="20" s="1"/>
  <c r="D211" i="6" s="1"/>
  <c r="K104" i="22"/>
  <c r="K105" i="22" s="1"/>
  <c r="D243" i="6" s="1"/>
  <c r="T243" i="6" s="1"/>
  <c r="K33" i="40"/>
  <c r="H38" i="40"/>
  <c r="H12" i="40"/>
  <c r="K7" i="40"/>
  <c r="K20" i="40"/>
  <c r="H27" i="40"/>
  <c r="K54" i="18"/>
  <c r="H61" i="18"/>
  <c r="H62" i="19"/>
  <c r="K55" i="19"/>
  <c r="F81" i="34"/>
  <c r="I79" i="34"/>
  <c r="I81" i="34" s="1"/>
  <c r="F51" i="34"/>
  <c r="I49" i="34"/>
  <c r="F66" i="34"/>
  <c r="I64" i="34"/>
  <c r="P318" i="6"/>
  <c r="P303" i="6"/>
  <c r="F210" i="6"/>
  <c r="G210" i="6" s="1"/>
  <c r="F111" i="31"/>
  <c r="I109" i="31"/>
  <c r="I111" i="31" s="1"/>
  <c r="H257" i="20"/>
  <c r="K251" i="20"/>
  <c r="H271" i="20"/>
  <c r="K265" i="20"/>
  <c r="G205" i="6"/>
  <c r="G208" i="6"/>
  <c r="H195" i="20"/>
  <c r="K191" i="20"/>
  <c r="H207" i="20"/>
  <c r="H244" i="20"/>
  <c r="K240" i="20"/>
  <c r="K213" i="20"/>
  <c r="H219" i="20"/>
  <c r="K225" i="20"/>
  <c r="H230" i="20"/>
  <c r="K202" i="20"/>
  <c r="H187" i="20"/>
  <c r="K180" i="20"/>
  <c r="K167" i="20"/>
  <c r="H174" i="20"/>
  <c r="F202" i="6"/>
  <c r="G202" i="6" s="1"/>
  <c r="P273" i="6"/>
  <c r="P284" i="6"/>
  <c r="P274" i="6"/>
  <c r="F121" i="28"/>
  <c r="I119" i="28"/>
  <c r="I121" i="28" s="1"/>
  <c r="F107" i="28"/>
  <c r="I105" i="28"/>
  <c r="I107" i="28" s="1"/>
  <c r="F92" i="28"/>
  <c r="I90" i="28"/>
  <c r="I92" i="28" s="1"/>
  <c r="K211" i="6" l="1"/>
  <c r="L211" i="6" s="1"/>
  <c r="M211" i="6" s="1"/>
  <c r="T211" i="6"/>
  <c r="Q211" i="6"/>
  <c r="R211" i="6"/>
  <c r="H211" i="6"/>
  <c r="I211" i="6"/>
  <c r="K285" i="20"/>
  <c r="K286" i="20"/>
  <c r="K287" i="20" s="1"/>
  <c r="H243" i="6"/>
  <c r="I243" i="6"/>
  <c r="Q243" i="6"/>
  <c r="R243" i="6"/>
  <c r="K243" i="6"/>
  <c r="K109" i="22"/>
  <c r="K110" i="22"/>
  <c r="K111" i="22" s="1"/>
  <c r="K34" i="40"/>
  <c r="K35" i="40" s="1"/>
  <c r="D504" i="6" s="1"/>
  <c r="T504" i="6" s="1"/>
  <c r="K8" i="40"/>
  <c r="K9" i="40" s="1"/>
  <c r="K21" i="40"/>
  <c r="K22" i="40" s="1"/>
  <c r="D503" i="6" s="1"/>
  <c r="T503" i="6" s="1"/>
  <c r="K55" i="18"/>
  <c r="K56" i="18" s="1"/>
  <c r="D486" i="6" s="1"/>
  <c r="I85" i="34"/>
  <c r="K56" i="19"/>
  <c r="K57" i="19" s="1"/>
  <c r="D451" i="6" s="1"/>
  <c r="T451" i="6" s="1"/>
  <c r="I115" i="31"/>
  <c r="D303" i="6"/>
  <c r="I86" i="34"/>
  <c r="I87" i="34" s="1"/>
  <c r="I51" i="34"/>
  <c r="I66" i="34"/>
  <c r="I116" i="31"/>
  <c r="I117" i="31" s="1"/>
  <c r="K266" i="20"/>
  <c r="K267" i="20" s="1"/>
  <c r="D210" i="6" s="1"/>
  <c r="K253" i="20"/>
  <c r="D209" i="6" s="1"/>
  <c r="K192" i="20"/>
  <c r="K193" i="20" s="1"/>
  <c r="D208" i="6" s="1"/>
  <c r="K203" i="20"/>
  <c r="K204" i="20" s="1"/>
  <c r="D205" i="6" s="1"/>
  <c r="K214" i="20"/>
  <c r="K215" i="20" s="1"/>
  <c r="D206" i="6" s="1"/>
  <c r="K241" i="20"/>
  <c r="K242" i="20" s="1"/>
  <c r="D207" i="6" s="1"/>
  <c r="K226" i="20"/>
  <c r="K227" i="20" s="1"/>
  <c r="K181" i="20"/>
  <c r="K182" i="20" s="1"/>
  <c r="D204" i="6" s="1"/>
  <c r="K168" i="20"/>
  <c r="K169" i="20" s="1"/>
  <c r="D203" i="6" s="1"/>
  <c r="I125" i="28"/>
  <c r="D272" i="6"/>
  <c r="T272" i="6" s="1"/>
  <c r="I111" i="28"/>
  <c r="D273" i="6"/>
  <c r="I96" i="28"/>
  <c r="D274" i="6"/>
  <c r="D282" i="6"/>
  <c r="T282" i="6" s="1"/>
  <c r="I126" i="28"/>
  <c r="I127" i="28" s="1"/>
  <c r="I112" i="28"/>
  <c r="I113" i="28" s="1"/>
  <c r="D283" i="6"/>
  <c r="T283" i="6" s="1"/>
  <c r="I97" i="28"/>
  <c r="I98" i="28" s="1"/>
  <c r="R303" i="6" l="1"/>
  <c r="T303" i="6"/>
  <c r="L243" i="6"/>
  <c r="M243" i="6" s="1"/>
  <c r="K451" i="6"/>
  <c r="H451" i="6"/>
  <c r="Q451" i="6"/>
  <c r="I451" i="6"/>
  <c r="R451" i="6"/>
  <c r="T486" i="6"/>
  <c r="R486" i="6"/>
  <c r="K486" i="6"/>
  <c r="H486" i="6"/>
  <c r="Q486" i="6"/>
  <c r="I486" i="6"/>
  <c r="K504" i="6"/>
  <c r="L504" i="6" s="1"/>
  <c r="M504" i="6" s="1"/>
  <c r="Q504" i="6"/>
  <c r="R504" i="6"/>
  <c r="H504" i="6"/>
  <c r="I504" i="6"/>
  <c r="K39" i="40"/>
  <c r="K40" i="40"/>
  <c r="K41" i="40" s="1"/>
  <c r="K503" i="6"/>
  <c r="Q503" i="6"/>
  <c r="R503" i="6"/>
  <c r="H503" i="6"/>
  <c r="I503" i="6"/>
  <c r="K13" i="40"/>
  <c r="K14" i="40"/>
  <c r="K15" i="40" s="1"/>
  <c r="K26" i="40"/>
  <c r="K27" i="40"/>
  <c r="K28" i="40" s="1"/>
  <c r="K60" i="18"/>
  <c r="K61" i="18"/>
  <c r="K62" i="18" s="1"/>
  <c r="K61" i="19"/>
  <c r="K62" i="19"/>
  <c r="K63" i="19" s="1"/>
  <c r="Q303" i="6"/>
  <c r="D318" i="6"/>
  <c r="T318" i="6" s="1"/>
  <c r="K303" i="6"/>
  <c r="L303" i="6" s="1"/>
  <c r="M303" i="6" s="1"/>
  <c r="H303" i="6"/>
  <c r="I303" i="6"/>
  <c r="I70" i="34"/>
  <c r="I71" i="34"/>
  <c r="I72" i="34" s="1"/>
  <c r="I55" i="34"/>
  <c r="I56" i="34"/>
  <c r="I57" i="34" s="1"/>
  <c r="K205" i="6"/>
  <c r="L205" i="6" s="1"/>
  <c r="M205" i="6" s="1"/>
  <c r="R205" i="6"/>
  <c r="Q205" i="6"/>
  <c r="T205" i="6"/>
  <c r="H205" i="6"/>
  <c r="I205" i="6"/>
  <c r="K204" i="6"/>
  <c r="L204" i="6" s="1"/>
  <c r="M204" i="6" s="1"/>
  <c r="Q204" i="6"/>
  <c r="R204" i="6"/>
  <c r="I204" i="6"/>
  <c r="H204" i="6"/>
  <c r="T204" i="6"/>
  <c r="T207" i="6"/>
  <c r="K207" i="6"/>
  <c r="L207" i="6" s="1"/>
  <c r="M207" i="6" s="1"/>
  <c r="I207" i="6"/>
  <c r="H207" i="6"/>
  <c r="Q207" i="6"/>
  <c r="R207" i="6"/>
  <c r="K209" i="6"/>
  <c r="T209" i="6"/>
  <c r="H209" i="6"/>
  <c r="I209" i="6"/>
  <c r="Q209" i="6"/>
  <c r="R209" i="6"/>
  <c r="I206" i="6"/>
  <c r="R206" i="6"/>
  <c r="H206" i="6"/>
  <c r="Q206" i="6"/>
  <c r="K206" i="6"/>
  <c r="H210" i="6"/>
  <c r="I210" i="6"/>
  <c r="T210" i="6"/>
  <c r="K210" i="6"/>
  <c r="L210" i="6" s="1"/>
  <c r="M210" i="6" s="1"/>
  <c r="Q210" i="6"/>
  <c r="R210" i="6"/>
  <c r="T206" i="6"/>
  <c r="K208" i="6"/>
  <c r="L208" i="6" s="1"/>
  <c r="M208" i="6" s="1"/>
  <c r="Q208" i="6"/>
  <c r="R208" i="6"/>
  <c r="H208" i="6"/>
  <c r="I208" i="6"/>
  <c r="T208" i="6"/>
  <c r="K257" i="20"/>
  <c r="K258" i="20"/>
  <c r="K259" i="20" s="1"/>
  <c r="K271" i="20"/>
  <c r="K272" i="20"/>
  <c r="K273" i="20" s="1"/>
  <c r="K231" i="20"/>
  <c r="K232" i="20"/>
  <c r="K233" i="20" s="1"/>
  <c r="K246" i="20"/>
  <c r="K247" i="20"/>
  <c r="K248" i="20" s="1"/>
  <c r="K219" i="20"/>
  <c r="K220" i="20"/>
  <c r="K221" i="20" s="1"/>
  <c r="K197" i="20"/>
  <c r="K198" i="20"/>
  <c r="K199" i="20" s="1"/>
  <c r="K208" i="20"/>
  <c r="K209" i="20"/>
  <c r="K210" i="20" s="1"/>
  <c r="K186" i="20"/>
  <c r="K187" i="20"/>
  <c r="K188" i="20" s="1"/>
  <c r="Q203" i="6"/>
  <c r="R203" i="6"/>
  <c r="K203" i="6"/>
  <c r="K173" i="20"/>
  <c r="K174" i="20"/>
  <c r="K175" i="20" s="1"/>
  <c r="R273" i="6"/>
  <c r="T273" i="6"/>
  <c r="K274" i="6"/>
  <c r="L274" i="6" s="1"/>
  <c r="M274" i="6" s="1"/>
  <c r="T274" i="6"/>
  <c r="Q273" i="6"/>
  <c r="K273" i="6"/>
  <c r="L273" i="6" s="1"/>
  <c r="M273" i="6" s="1"/>
  <c r="I273" i="6"/>
  <c r="H273" i="6"/>
  <c r="K283" i="6"/>
  <c r="L283" i="6" s="1"/>
  <c r="M283" i="6" s="1"/>
  <c r="R283" i="6"/>
  <c r="I283" i="6"/>
  <c r="H283" i="6"/>
  <c r="Q283" i="6"/>
  <c r="K282" i="6"/>
  <c r="Q282" i="6"/>
  <c r="R282" i="6"/>
  <c r="H282" i="6"/>
  <c r="I282" i="6"/>
  <c r="Q272" i="6"/>
  <c r="K272" i="6"/>
  <c r="H272" i="6"/>
  <c r="R272" i="6"/>
  <c r="I272" i="6"/>
  <c r="D284" i="6"/>
  <c r="T284" i="6" s="1"/>
  <c r="I274" i="6"/>
  <c r="R274" i="6"/>
  <c r="Q274" i="6"/>
  <c r="H274" i="6"/>
  <c r="L486" i="6" l="1"/>
  <c r="M486" i="6" s="1"/>
  <c r="L451" i="6"/>
  <c r="M451" i="6" s="1"/>
  <c r="L503" i="6"/>
  <c r="M503" i="6" s="1"/>
  <c r="K318" i="6"/>
  <c r="L318" i="6" s="1"/>
  <c r="M318" i="6" s="1"/>
  <c r="H318" i="6"/>
  <c r="I318" i="6"/>
  <c r="R318" i="6"/>
  <c r="Q318" i="6"/>
  <c r="L209" i="6"/>
  <c r="M209" i="6" s="1"/>
  <c r="L206" i="6"/>
  <c r="M206" i="6" s="1"/>
  <c r="L203" i="6"/>
  <c r="M203" i="6" s="1"/>
  <c r="K284" i="6"/>
  <c r="L284" i="6" s="1"/>
  <c r="M284" i="6" s="1"/>
  <c r="L272" i="6"/>
  <c r="M272" i="6" s="1"/>
  <c r="L282" i="6"/>
  <c r="M282" i="6" s="1"/>
  <c r="I284" i="6"/>
  <c r="Q284" i="6"/>
  <c r="H284" i="6"/>
  <c r="R284" i="6"/>
  <c r="B230" i="6" l="1"/>
  <c r="J230" i="6" s="1"/>
  <c r="B229" i="6"/>
  <c r="J229" i="6" s="1"/>
  <c r="F229" i="6"/>
  <c r="G229" i="6" s="1"/>
  <c r="O229" i="6"/>
  <c r="P229" i="6" s="1"/>
  <c r="F230" i="6"/>
  <c r="G230" i="6" s="1"/>
  <c r="O230" i="6"/>
  <c r="P230" i="6" s="1"/>
  <c r="G178" i="46"/>
  <c r="H178" i="46" s="1"/>
  <c r="G177" i="46"/>
  <c r="H177" i="46" s="1"/>
  <c r="K176" i="46"/>
  <c r="K177" i="46" s="1"/>
  <c r="G176" i="46"/>
  <c r="H176" i="46" s="1"/>
  <c r="G175" i="46"/>
  <c r="H175" i="46" s="1"/>
  <c r="G174" i="46"/>
  <c r="H174" i="46" s="1"/>
  <c r="G173" i="46"/>
  <c r="H173" i="46" s="1"/>
  <c r="G155" i="46"/>
  <c r="H155" i="46" s="1"/>
  <c r="G166" i="46"/>
  <c r="H166" i="46" s="1"/>
  <c r="K165" i="46"/>
  <c r="K166" i="46" s="1"/>
  <c r="G165" i="46"/>
  <c r="H165" i="46" s="1"/>
  <c r="G164" i="46"/>
  <c r="H164" i="46" s="1"/>
  <c r="G163" i="46"/>
  <c r="H163" i="46" s="1"/>
  <c r="G162" i="46"/>
  <c r="H162" i="46" s="1"/>
  <c r="B228" i="6"/>
  <c r="J228" i="6" s="1"/>
  <c r="B227" i="6"/>
  <c r="J227" i="6" s="1"/>
  <c r="F227" i="6"/>
  <c r="G227" i="6" s="1"/>
  <c r="O227" i="6"/>
  <c r="P227" i="6" s="1"/>
  <c r="F228" i="6"/>
  <c r="G228" i="6" s="1"/>
  <c r="O228" i="6"/>
  <c r="P228" i="6" s="1"/>
  <c r="B226" i="6"/>
  <c r="G154" i="46"/>
  <c r="H154" i="46" s="1"/>
  <c r="K153" i="46"/>
  <c r="K154" i="46" s="1"/>
  <c r="G153" i="46"/>
  <c r="H153" i="46" s="1"/>
  <c r="G152" i="46"/>
  <c r="H152" i="46" s="1"/>
  <c r="G151" i="46"/>
  <c r="H151" i="46" s="1"/>
  <c r="G150" i="46"/>
  <c r="H150" i="46" s="1"/>
  <c r="G143" i="46"/>
  <c r="H143" i="46" s="1"/>
  <c r="G142" i="46"/>
  <c r="H142" i="46" s="1"/>
  <c r="G141" i="46"/>
  <c r="H141" i="46" s="1"/>
  <c r="K140" i="46"/>
  <c r="K141" i="46" s="1"/>
  <c r="G140" i="46"/>
  <c r="H140" i="46" s="1"/>
  <c r="G139" i="46"/>
  <c r="H139" i="46" s="1"/>
  <c r="G138" i="46"/>
  <c r="H138" i="46" s="1"/>
  <c r="G137" i="46"/>
  <c r="H137" i="46" s="1"/>
  <c r="G129" i="46"/>
  <c r="H129" i="46" s="1"/>
  <c r="G128" i="46"/>
  <c r="H128" i="46" s="1"/>
  <c r="K127" i="46"/>
  <c r="K128" i="46" s="1"/>
  <c r="G127" i="46"/>
  <c r="H127" i="46" s="1"/>
  <c r="G126" i="46"/>
  <c r="H126" i="46" s="1"/>
  <c r="G125" i="46"/>
  <c r="H125" i="46" s="1"/>
  <c r="G124" i="46"/>
  <c r="H124" i="46" s="1"/>
  <c r="G117" i="46"/>
  <c r="H117" i="46" s="1"/>
  <c r="G116" i="46"/>
  <c r="H116" i="46" s="1"/>
  <c r="G115" i="46"/>
  <c r="H115" i="46" s="1"/>
  <c r="K114" i="46"/>
  <c r="K115" i="46" s="1"/>
  <c r="G114" i="46"/>
  <c r="H114" i="46" s="1"/>
  <c r="G113" i="46"/>
  <c r="H113" i="46" s="1"/>
  <c r="G112" i="46"/>
  <c r="H112" i="46" s="1"/>
  <c r="G111" i="46"/>
  <c r="H111" i="46" s="1"/>
  <c r="K172" i="46" l="1"/>
  <c r="H179" i="46"/>
  <c r="H167" i="46"/>
  <c r="K161" i="46"/>
  <c r="H156" i="46"/>
  <c r="K149" i="46"/>
  <c r="H144" i="46"/>
  <c r="K136" i="46"/>
  <c r="K123" i="46"/>
  <c r="H132" i="46"/>
  <c r="H118" i="46"/>
  <c r="K110" i="46"/>
  <c r="K173" i="46" l="1"/>
  <c r="K174" i="46" s="1"/>
  <c r="K162" i="46"/>
  <c r="K163" i="46" s="1"/>
  <c r="K150" i="46"/>
  <c r="K137" i="46"/>
  <c r="K138" i="46" s="1"/>
  <c r="D228" i="6" s="1"/>
  <c r="K124" i="46"/>
  <c r="K125" i="46" s="1"/>
  <c r="D227" i="6" s="1"/>
  <c r="K111" i="46"/>
  <c r="K112" i="46" s="1"/>
  <c r="D226" i="6" s="1"/>
  <c r="T226" i="6" s="1"/>
  <c r="D229" i="6" l="1"/>
  <c r="T229" i="6" s="1"/>
  <c r="Q228" i="6"/>
  <c r="T228" i="6"/>
  <c r="Q227" i="6"/>
  <c r="T227" i="6"/>
  <c r="D230" i="6"/>
  <c r="T230" i="6" s="1"/>
  <c r="K179" i="46"/>
  <c r="K180" i="46" s="1"/>
  <c r="K178" i="46"/>
  <c r="K226" i="6"/>
  <c r="K227" i="6"/>
  <c r="L227" i="6" s="1"/>
  <c r="M227" i="6" s="1"/>
  <c r="K228" i="6"/>
  <c r="K167" i="46"/>
  <c r="K168" i="46"/>
  <c r="K169" i="46" s="1"/>
  <c r="I227" i="6"/>
  <c r="R227" i="6"/>
  <c r="H227" i="6"/>
  <c r="H228" i="6"/>
  <c r="I228" i="6"/>
  <c r="R228" i="6"/>
  <c r="K156" i="46"/>
  <c r="K157" i="46" s="1"/>
  <c r="K155" i="46"/>
  <c r="K142" i="46"/>
  <c r="K143" i="46"/>
  <c r="K144" i="46" s="1"/>
  <c r="K129" i="46"/>
  <c r="K130" i="46"/>
  <c r="K131" i="46" s="1"/>
  <c r="K116" i="46"/>
  <c r="K117" i="46"/>
  <c r="K118" i="46" s="1"/>
  <c r="Q229" i="6" l="1"/>
  <c r="I229" i="6"/>
  <c r="H229" i="6"/>
  <c r="R229" i="6"/>
  <c r="K229" i="6"/>
  <c r="L229" i="6" s="1"/>
  <c r="M229" i="6" s="1"/>
  <c r="K230" i="6"/>
  <c r="Q230" i="6"/>
  <c r="R230" i="6"/>
  <c r="H230" i="6"/>
  <c r="I230" i="6"/>
  <c r="L228" i="6"/>
  <c r="M228" i="6" s="1"/>
  <c r="B144" i="6"/>
  <c r="J144" i="6" s="1"/>
  <c r="B143" i="6"/>
  <c r="J143" i="6" s="1"/>
  <c r="E143" i="6"/>
  <c r="S143" i="6" s="1"/>
  <c r="O143" i="6"/>
  <c r="P143" i="6" s="1"/>
  <c r="E144" i="6"/>
  <c r="S144" i="6" s="1"/>
  <c r="O144" i="6"/>
  <c r="P144" i="6" s="1"/>
  <c r="B148" i="6"/>
  <c r="J148" i="6" s="1"/>
  <c r="B147" i="6"/>
  <c r="J147" i="6" s="1"/>
  <c r="B146" i="6"/>
  <c r="J146" i="6" s="1"/>
  <c r="B145" i="6"/>
  <c r="J145" i="6" s="1"/>
  <c r="E145" i="6"/>
  <c r="S145" i="6" s="1"/>
  <c r="O145" i="6"/>
  <c r="P145" i="6" s="1"/>
  <c r="E146" i="6"/>
  <c r="S146" i="6" s="1"/>
  <c r="O146" i="6"/>
  <c r="P146" i="6" s="1"/>
  <c r="E147" i="6"/>
  <c r="S147" i="6" s="1"/>
  <c r="O147" i="6"/>
  <c r="P147" i="6" s="1"/>
  <c r="E148" i="6"/>
  <c r="S148" i="6" s="1"/>
  <c r="O148" i="6"/>
  <c r="P148" i="6" s="1"/>
  <c r="F200" i="17"/>
  <c r="D200" i="17"/>
  <c r="G277" i="17"/>
  <c r="H277" i="17" s="1"/>
  <c r="G297" i="17"/>
  <c r="H297" i="17" s="1"/>
  <c r="G339" i="17"/>
  <c r="H339" i="17" s="1"/>
  <c r="G338" i="17"/>
  <c r="H338" i="17" s="1"/>
  <c r="G337" i="17"/>
  <c r="H337" i="17" s="1"/>
  <c r="G336" i="17"/>
  <c r="H336" i="17" s="1"/>
  <c r="G335" i="17"/>
  <c r="H335" i="17" s="1"/>
  <c r="G334" i="17"/>
  <c r="H334" i="17" s="1"/>
  <c r="G333" i="17"/>
  <c r="H333" i="17" s="1"/>
  <c r="G332" i="17"/>
  <c r="H332" i="17" s="1"/>
  <c r="G331" i="17"/>
  <c r="H331" i="17" s="1"/>
  <c r="G330" i="17"/>
  <c r="H330" i="17" s="1"/>
  <c r="G329" i="17"/>
  <c r="H329" i="17" s="1"/>
  <c r="G328" i="17"/>
  <c r="H328" i="17" s="1"/>
  <c r="K327" i="17"/>
  <c r="K328" i="17" s="1"/>
  <c r="G327" i="17"/>
  <c r="H327" i="17" s="1"/>
  <c r="G326" i="17"/>
  <c r="H326" i="17" s="1"/>
  <c r="G325" i="17"/>
  <c r="H325" i="17" s="1"/>
  <c r="G324" i="17"/>
  <c r="H324" i="17" s="1"/>
  <c r="G318" i="17"/>
  <c r="H318" i="17" s="1"/>
  <c r="G317" i="17"/>
  <c r="H317" i="17" s="1"/>
  <c r="G316" i="17"/>
  <c r="H316" i="17" s="1"/>
  <c r="G315" i="17"/>
  <c r="H315" i="17" s="1"/>
  <c r="G314" i="17"/>
  <c r="H314" i="17" s="1"/>
  <c r="G313" i="17"/>
  <c r="H313" i="17" s="1"/>
  <c r="G312" i="17"/>
  <c r="H312" i="17" s="1"/>
  <c r="G311" i="17"/>
  <c r="H311" i="17" s="1"/>
  <c r="G310" i="17"/>
  <c r="H310" i="17" s="1"/>
  <c r="G309" i="17"/>
  <c r="H309" i="17" s="1"/>
  <c r="G308" i="17"/>
  <c r="H308" i="17" s="1"/>
  <c r="G307" i="17"/>
  <c r="H307" i="17" s="1"/>
  <c r="K306" i="17"/>
  <c r="K307" i="17" s="1"/>
  <c r="G306" i="17"/>
  <c r="H306" i="17" s="1"/>
  <c r="G305" i="17"/>
  <c r="H305" i="17" s="1"/>
  <c r="G304" i="17"/>
  <c r="H304" i="17" s="1"/>
  <c r="G303" i="17"/>
  <c r="H303" i="17" s="1"/>
  <c r="G296" i="17"/>
  <c r="H296" i="17" s="1"/>
  <c r="G295" i="17"/>
  <c r="H295" i="17" s="1"/>
  <c r="G294" i="17"/>
  <c r="H294" i="17" s="1"/>
  <c r="G293" i="17"/>
  <c r="H293" i="17" s="1"/>
  <c r="G292" i="17"/>
  <c r="H292" i="17" s="1"/>
  <c r="G291" i="17"/>
  <c r="H291" i="17" s="1"/>
  <c r="G290" i="17"/>
  <c r="H290" i="17" s="1"/>
  <c r="G289" i="17"/>
  <c r="H289" i="17" s="1"/>
  <c r="G288" i="17"/>
  <c r="H288" i="17" s="1"/>
  <c r="G287" i="17"/>
  <c r="H287" i="17" s="1"/>
  <c r="G286" i="17"/>
  <c r="H286" i="17" s="1"/>
  <c r="K285" i="17"/>
  <c r="K286" i="17" s="1"/>
  <c r="G285" i="17"/>
  <c r="H285" i="17" s="1"/>
  <c r="G284" i="17"/>
  <c r="H284" i="17" s="1"/>
  <c r="G283" i="17"/>
  <c r="H283" i="17" s="1"/>
  <c r="G282" i="17"/>
  <c r="H282" i="17" s="1"/>
  <c r="G276" i="17"/>
  <c r="H276" i="17" s="1"/>
  <c r="G275" i="17"/>
  <c r="H275" i="17" s="1"/>
  <c r="G274" i="17"/>
  <c r="H274" i="17" s="1"/>
  <c r="G273" i="17"/>
  <c r="H273" i="17" s="1"/>
  <c r="G272" i="17"/>
  <c r="H272" i="17" s="1"/>
  <c r="G271" i="17"/>
  <c r="H271" i="17" s="1"/>
  <c r="G270" i="17"/>
  <c r="H270" i="17" s="1"/>
  <c r="G269" i="17"/>
  <c r="H269" i="17" s="1"/>
  <c r="G268" i="17"/>
  <c r="H268" i="17" s="1"/>
  <c r="G267" i="17"/>
  <c r="H267" i="17" s="1"/>
  <c r="G266" i="17"/>
  <c r="H266" i="17" s="1"/>
  <c r="K265" i="17"/>
  <c r="K266" i="17" s="1"/>
  <c r="G265" i="17"/>
  <c r="H265" i="17" s="1"/>
  <c r="G264" i="17"/>
  <c r="H264" i="17" s="1"/>
  <c r="G263" i="17"/>
  <c r="H263" i="17" s="1"/>
  <c r="G262" i="17"/>
  <c r="H262" i="17" s="1"/>
  <c r="G256" i="17"/>
  <c r="H256" i="17" s="1"/>
  <c r="G255" i="17"/>
  <c r="H255" i="17" s="1"/>
  <c r="G254" i="17"/>
  <c r="H254" i="17" s="1"/>
  <c r="G253" i="17"/>
  <c r="H253" i="17" s="1"/>
  <c r="G252" i="17"/>
  <c r="H252" i="17" s="1"/>
  <c r="G251" i="17"/>
  <c r="H251" i="17" s="1"/>
  <c r="G250" i="17"/>
  <c r="H250" i="17" s="1"/>
  <c r="G249" i="17"/>
  <c r="H249" i="17" s="1"/>
  <c r="G248" i="17"/>
  <c r="H248" i="17" s="1"/>
  <c r="G247" i="17"/>
  <c r="H247" i="17" s="1"/>
  <c r="G246" i="17"/>
  <c r="H246" i="17" s="1"/>
  <c r="K245" i="17"/>
  <c r="K246" i="17" s="1"/>
  <c r="G245" i="17"/>
  <c r="H245" i="17" s="1"/>
  <c r="G244" i="17"/>
  <c r="H244" i="17" s="1"/>
  <c r="G243" i="17"/>
  <c r="H243" i="17" s="1"/>
  <c r="G242" i="17"/>
  <c r="H242" i="17" s="1"/>
  <c r="G236" i="17"/>
  <c r="H236" i="17" s="1"/>
  <c r="G235" i="17"/>
  <c r="H235" i="17" s="1"/>
  <c r="G234" i="17"/>
  <c r="H234" i="17" s="1"/>
  <c r="G233" i="17"/>
  <c r="H233" i="17" s="1"/>
  <c r="G232" i="17"/>
  <c r="H232" i="17" s="1"/>
  <c r="G231" i="17"/>
  <c r="H231" i="17" s="1"/>
  <c r="G230" i="17"/>
  <c r="H230" i="17" s="1"/>
  <c r="G229" i="17"/>
  <c r="H229" i="17" s="1"/>
  <c r="G228" i="17"/>
  <c r="H228" i="17" s="1"/>
  <c r="G227" i="17"/>
  <c r="H227" i="17" s="1"/>
  <c r="G226" i="17"/>
  <c r="H226" i="17" s="1"/>
  <c r="K225" i="17"/>
  <c r="K226" i="17" s="1"/>
  <c r="G225" i="17"/>
  <c r="H225" i="17" s="1"/>
  <c r="G224" i="17"/>
  <c r="H224" i="17" s="1"/>
  <c r="G223" i="17"/>
  <c r="H223" i="17" s="1"/>
  <c r="G222" i="17"/>
  <c r="H222" i="17" s="1"/>
  <c r="B142" i="6"/>
  <c r="J142" i="6" s="1"/>
  <c r="B141" i="6"/>
  <c r="J141" i="6" s="1"/>
  <c r="E141" i="6"/>
  <c r="S141" i="6" s="1"/>
  <c r="O141" i="6"/>
  <c r="P141" i="6" s="1"/>
  <c r="E142" i="6"/>
  <c r="S142" i="6" s="1"/>
  <c r="O142" i="6"/>
  <c r="P142" i="6" s="1"/>
  <c r="G214" i="17"/>
  <c r="H214" i="17" s="1"/>
  <c r="G213" i="17"/>
  <c r="H213" i="17" s="1"/>
  <c r="G212" i="17"/>
  <c r="H212" i="17" s="1"/>
  <c r="G211" i="17"/>
  <c r="H211" i="17" s="1"/>
  <c r="G210" i="17"/>
  <c r="H210" i="17" s="1"/>
  <c r="G209" i="17"/>
  <c r="H209" i="17" s="1"/>
  <c r="G208" i="17"/>
  <c r="H208" i="17" s="1"/>
  <c r="G207" i="17"/>
  <c r="H207" i="17" s="1"/>
  <c r="G206" i="17"/>
  <c r="H206" i="17" s="1"/>
  <c r="G205" i="17"/>
  <c r="H205" i="17" s="1"/>
  <c r="G204" i="17"/>
  <c r="H204" i="17" s="1"/>
  <c r="K203" i="17"/>
  <c r="K204" i="17" s="1"/>
  <c r="G203" i="17"/>
  <c r="H203" i="17" s="1"/>
  <c r="G202" i="17"/>
  <c r="H202" i="17" s="1"/>
  <c r="G201" i="17"/>
  <c r="H201" i="17" s="1"/>
  <c r="G200" i="17"/>
  <c r="H200" i="17" s="1"/>
  <c r="G193" i="17"/>
  <c r="H193" i="17" s="1"/>
  <c r="G192" i="17"/>
  <c r="H192" i="17" s="1"/>
  <c r="G191" i="17"/>
  <c r="H191" i="17" s="1"/>
  <c r="G190" i="17"/>
  <c r="H190" i="17" s="1"/>
  <c r="G189" i="17"/>
  <c r="H189" i="17" s="1"/>
  <c r="G188" i="17"/>
  <c r="H188" i="17" s="1"/>
  <c r="G187" i="17"/>
  <c r="H187" i="17" s="1"/>
  <c r="G186" i="17"/>
  <c r="H186" i="17" s="1"/>
  <c r="G185" i="17"/>
  <c r="H185" i="17" s="1"/>
  <c r="G184" i="17"/>
  <c r="H184" i="17" s="1"/>
  <c r="G183" i="17"/>
  <c r="H183" i="17" s="1"/>
  <c r="K182" i="17"/>
  <c r="K183" i="17" s="1"/>
  <c r="G182" i="17"/>
  <c r="H182" i="17" s="1"/>
  <c r="G181" i="17"/>
  <c r="H181" i="17" s="1"/>
  <c r="G180" i="17"/>
  <c r="H180" i="17" s="1"/>
  <c r="G179" i="17"/>
  <c r="H179" i="17" s="1"/>
  <c r="G85" i="17"/>
  <c r="H85" i="17" s="1"/>
  <c r="G86" i="17"/>
  <c r="H86" i="17" s="1"/>
  <c r="G87" i="17"/>
  <c r="H87" i="17" s="1"/>
  <c r="G88" i="17"/>
  <c r="H88" i="17" s="1"/>
  <c r="G89" i="17"/>
  <c r="H89" i="17" s="1"/>
  <c r="G90" i="17"/>
  <c r="H90" i="17" s="1"/>
  <c r="G91" i="17"/>
  <c r="H91" i="17" s="1"/>
  <c r="G92" i="17"/>
  <c r="H92" i="17" s="1"/>
  <c r="G93" i="17"/>
  <c r="H93" i="17" s="1"/>
  <c r="G94" i="17"/>
  <c r="H94" i="17" s="1"/>
  <c r="G95" i="17"/>
  <c r="H95" i="17" s="1"/>
  <c r="G96" i="17"/>
  <c r="H96" i="17" s="1"/>
  <c r="G97" i="17"/>
  <c r="H97" i="17" s="1"/>
  <c r="G98" i="17"/>
  <c r="H98" i="17" s="1"/>
  <c r="G99" i="17"/>
  <c r="H99" i="17" s="1"/>
  <c r="G100" i="17"/>
  <c r="H100" i="17" s="1"/>
  <c r="G101" i="17"/>
  <c r="H101" i="17" s="1"/>
  <c r="G102" i="17"/>
  <c r="H102" i="17" s="1"/>
  <c r="G103" i="17"/>
  <c r="H103" i="17" s="1"/>
  <c r="G109" i="17"/>
  <c r="H109" i="17" s="1"/>
  <c r="G110" i="17"/>
  <c r="H110" i="17" s="1"/>
  <c r="G111" i="17"/>
  <c r="H111" i="17" s="1"/>
  <c r="G112" i="17"/>
  <c r="H112" i="17" s="1"/>
  <c r="G113" i="17"/>
  <c r="H113" i="17" s="1"/>
  <c r="G114" i="17"/>
  <c r="H114" i="17" s="1"/>
  <c r="G115" i="17"/>
  <c r="H115" i="17" s="1"/>
  <c r="G116" i="17"/>
  <c r="H116" i="17" s="1"/>
  <c r="G117" i="17"/>
  <c r="H117" i="17" s="1"/>
  <c r="G118" i="17"/>
  <c r="H118" i="17" s="1"/>
  <c r="G119" i="17"/>
  <c r="H119" i="17" s="1"/>
  <c r="G120" i="17"/>
  <c r="H120" i="17" s="1"/>
  <c r="G121" i="17"/>
  <c r="H121" i="17" s="1"/>
  <c r="G122" i="17"/>
  <c r="H122" i="17" s="1"/>
  <c r="G123" i="17"/>
  <c r="H123" i="17" s="1"/>
  <c r="G124" i="17"/>
  <c r="H124" i="17" s="1"/>
  <c r="G125" i="17"/>
  <c r="H125" i="17" s="1"/>
  <c r="G126" i="17"/>
  <c r="H126" i="17" s="1"/>
  <c r="G127" i="17"/>
  <c r="H127" i="17" s="1"/>
  <c r="G133" i="17"/>
  <c r="H133" i="17" s="1"/>
  <c r="G134" i="17"/>
  <c r="H134" i="17" s="1"/>
  <c r="G135" i="17"/>
  <c r="H135" i="17" s="1"/>
  <c r="G136" i="17"/>
  <c r="H136" i="17" s="1"/>
  <c r="G137" i="17"/>
  <c r="H137" i="17" s="1"/>
  <c r="G138" i="17"/>
  <c r="H138" i="17" s="1"/>
  <c r="G139" i="17"/>
  <c r="H139" i="17" s="1"/>
  <c r="G140" i="17"/>
  <c r="H140" i="17" s="1"/>
  <c r="G141" i="17"/>
  <c r="H141" i="17" s="1"/>
  <c r="G142" i="17"/>
  <c r="H142" i="17" s="1"/>
  <c r="G143" i="17"/>
  <c r="H143" i="17" s="1"/>
  <c r="G144" i="17"/>
  <c r="H144" i="17" s="1"/>
  <c r="G145" i="17"/>
  <c r="H145" i="17" s="1"/>
  <c r="G146" i="17"/>
  <c r="H146" i="17" s="1"/>
  <c r="G147" i="17"/>
  <c r="H147" i="17" s="1"/>
  <c r="G148" i="17"/>
  <c r="H148" i="17" s="1"/>
  <c r="G149" i="17"/>
  <c r="H149" i="17" s="1"/>
  <c r="G150" i="17"/>
  <c r="H150" i="17" s="1"/>
  <c r="E140" i="6"/>
  <c r="S140" i="6" s="1"/>
  <c r="B140" i="6"/>
  <c r="J140" i="6" s="1"/>
  <c r="O140" i="6"/>
  <c r="P140" i="6" s="1"/>
  <c r="G156" i="17"/>
  <c r="H156" i="17" s="1"/>
  <c r="G157" i="17"/>
  <c r="H157" i="17" s="1"/>
  <c r="G158" i="17"/>
  <c r="H158" i="17" s="1"/>
  <c r="G159" i="17"/>
  <c r="H159" i="17" s="1"/>
  <c r="G160" i="17"/>
  <c r="H160" i="17" s="1"/>
  <c r="G161" i="17"/>
  <c r="H161" i="17" s="1"/>
  <c r="G162" i="17"/>
  <c r="H162" i="17" s="1"/>
  <c r="G163" i="17"/>
  <c r="H163" i="17" s="1"/>
  <c r="G164" i="17"/>
  <c r="H164" i="17" s="1"/>
  <c r="G165" i="17"/>
  <c r="H165" i="17" s="1"/>
  <c r="G166" i="17"/>
  <c r="H166" i="17" s="1"/>
  <c r="G167" i="17"/>
  <c r="H167" i="17" s="1"/>
  <c r="G168" i="17"/>
  <c r="H168" i="17" s="1"/>
  <c r="G169" i="17"/>
  <c r="H169" i="17" s="1"/>
  <c r="G170" i="17"/>
  <c r="H170" i="17" s="1"/>
  <c r="G171" i="17"/>
  <c r="H171" i="17" s="1"/>
  <c r="G172" i="17"/>
  <c r="H172" i="17" s="1"/>
  <c r="G173" i="17"/>
  <c r="H173" i="17" s="1"/>
  <c r="K158" i="17"/>
  <c r="K159" i="17" s="1"/>
  <c r="G155" i="17"/>
  <c r="H155" i="17" s="1"/>
  <c r="B139" i="6"/>
  <c r="K135" i="17"/>
  <c r="K136" i="17" s="1"/>
  <c r="G132" i="17"/>
  <c r="H132" i="17" s="1"/>
  <c r="F142" i="6" l="1"/>
  <c r="G142" i="6" s="1"/>
  <c r="F148" i="6"/>
  <c r="G148" i="6" s="1"/>
  <c r="F144" i="6"/>
  <c r="G144" i="6" s="1"/>
  <c r="F146" i="6"/>
  <c r="G146" i="6" s="1"/>
  <c r="F141" i="6"/>
  <c r="G141" i="6" s="1"/>
  <c r="F147" i="6"/>
  <c r="G147" i="6" s="1"/>
  <c r="F143" i="6"/>
  <c r="G143" i="6" s="1"/>
  <c r="F140" i="6"/>
  <c r="G140" i="6" s="1"/>
  <c r="F145" i="6"/>
  <c r="G145" i="6" s="1"/>
  <c r="L230" i="6"/>
  <c r="M230" i="6" s="1"/>
  <c r="H340" i="17"/>
  <c r="K323" i="17"/>
  <c r="K324" i="17" s="1"/>
  <c r="K325" i="17" s="1"/>
  <c r="D148" i="6" s="1"/>
  <c r="H278" i="17"/>
  <c r="K302" i="17"/>
  <c r="H319" i="17"/>
  <c r="H298" i="17"/>
  <c r="K281" i="17"/>
  <c r="K261" i="17"/>
  <c r="H257" i="17"/>
  <c r="K241" i="17"/>
  <c r="H237" i="17"/>
  <c r="K221" i="17"/>
  <c r="H215" i="17"/>
  <c r="K199" i="17"/>
  <c r="K178" i="17"/>
  <c r="H194" i="17"/>
  <c r="K154" i="17"/>
  <c r="H174" i="17"/>
  <c r="H151" i="17"/>
  <c r="K131" i="17"/>
  <c r="B138" i="6"/>
  <c r="J138" i="6" s="1"/>
  <c r="F138" i="6"/>
  <c r="O138" i="6"/>
  <c r="P138" i="6" s="1"/>
  <c r="F139" i="6"/>
  <c r="G139" i="6" s="1"/>
  <c r="J139" i="6"/>
  <c r="O139" i="6"/>
  <c r="P139" i="6" s="1"/>
  <c r="K111" i="17"/>
  <c r="K112" i="17" s="1"/>
  <c r="G108" i="17"/>
  <c r="H108" i="17" s="1"/>
  <c r="H128" i="17" s="1"/>
  <c r="B137" i="6"/>
  <c r="J137" i="6" s="1"/>
  <c r="F137" i="6"/>
  <c r="O137" i="6"/>
  <c r="P137" i="6" s="1"/>
  <c r="K87" i="17"/>
  <c r="K88" i="17" s="1"/>
  <c r="G84" i="17"/>
  <c r="H84" i="17" s="1"/>
  <c r="B394" i="6"/>
  <c r="K39" i="39"/>
  <c r="K40" i="39" s="1"/>
  <c r="G36" i="39"/>
  <c r="H36" i="39" s="1"/>
  <c r="F394" i="6"/>
  <c r="G394" i="6" s="1"/>
  <c r="O394" i="6"/>
  <c r="B310" i="6"/>
  <c r="J310" i="6" s="1"/>
  <c r="B311" i="6"/>
  <c r="J311" i="6" s="1"/>
  <c r="I98" i="31"/>
  <c r="I99" i="31" s="1"/>
  <c r="E95" i="31"/>
  <c r="F95" i="31" s="1"/>
  <c r="F311" i="6"/>
  <c r="G311" i="6" s="1"/>
  <c r="N311" i="6"/>
  <c r="O311" i="6" s="1"/>
  <c r="P311" i="6" s="1"/>
  <c r="F310" i="6"/>
  <c r="G310" i="6" s="1"/>
  <c r="N310" i="6"/>
  <c r="O310" i="6" s="1"/>
  <c r="E12" i="6"/>
  <c r="K148" i="6" l="1"/>
  <c r="L148" i="6" s="1"/>
  <c r="M148" i="6" s="1"/>
  <c r="T148" i="6"/>
  <c r="R148" i="6"/>
  <c r="I148" i="6"/>
  <c r="Q148" i="6"/>
  <c r="H148" i="6"/>
  <c r="K329" i="17"/>
  <c r="K330" i="17"/>
  <c r="K331" i="17" s="1"/>
  <c r="K303" i="17"/>
  <c r="K304" i="17" s="1"/>
  <c r="D147" i="6" s="1"/>
  <c r="T147" i="6" s="1"/>
  <c r="K282" i="17"/>
  <c r="K283" i="17" s="1"/>
  <c r="D146" i="6" s="1"/>
  <c r="K262" i="17"/>
  <c r="K263" i="17" s="1"/>
  <c r="D145" i="6" s="1"/>
  <c r="K242" i="17"/>
  <c r="K243" i="17" s="1"/>
  <c r="D144" i="6" s="1"/>
  <c r="T144" i="6" s="1"/>
  <c r="K222" i="17"/>
  <c r="K223" i="17" s="1"/>
  <c r="D143" i="6" s="1"/>
  <c r="T143" i="6" s="1"/>
  <c r="K200" i="17"/>
  <c r="K201" i="17" s="1"/>
  <c r="D142" i="6" s="1"/>
  <c r="K179" i="17"/>
  <c r="K180" i="17" s="1"/>
  <c r="D141" i="6" s="1"/>
  <c r="K155" i="17"/>
  <c r="K156" i="17" s="1"/>
  <c r="D140" i="6" s="1"/>
  <c r="K132" i="17"/>
  <c r="K133" i="17" s="1"/>
  <c r="D139" i="6" s="1"/>
  <c r="G138" i="6"/>
  <c r="G137" i="6"/>
  <c r="K107" i="17"/>
  <c r="K83" i="17"/>
  <c r="H104" i="17"/>
  <c r="P394" i="6"/>
  <c r="K35" i="39"/>
  <c r="K37" i="39" s="1"/>
  <c r="H37" i="39"/>
  <c r="F96" i="31"/>
  <c r="I94" i="31"/>
  <c r="I96" i="31" s="1"/>
  <c r="P310" i="6"/>
  <c r="G183" i="13"/>
  <c r="H183" i="13" s="1"/>
  <c r="G184" i="13"/>
  <c r="H184" i="13" s="1"/>
  <c r="G185" i="13"/>
  <c r="H185" i="13" s="1"/>
  <c r="G186" i="13"/>
  <c r="H186" i="13" s="1"/>
  <c r="G187" i="13"/>
  <c r="H187" i="13" s="1"/>
  <c r="G280" i="13"/>
  <c r="H280" i="13" s="1"/>
  <c r="G281" i="13"/>
  <c r="H281" i="13" s="1"/>
  <c r="G282" i="13"/>
  <c r="H282" i="13" s="1"/>
  <c r="G283" i="13"/>
  <c r="H283" i="13" s="1"/>
  <c r="G284" i="13"/>
  <c r="H284" i="13" s="1"/>
  <c r="E49" i="32"/>
  <c r="E38" i="32"/>
  <c r="E25" i="32"/>
  <c r="Q140" i="6" l="1"/>
  <c r="T140" i="6"/>
  <c r="Q141" i="6"/>
  <c r="T141" i="6"/>
  <c r="I146" i="6"/>
  <c r="T146" i="6"/>
  <c r="H145" i="6"/>
  <c r="T145" i="6"/>
  <c r="Q139" i="6"/>
  <c r="T139" i="6"/>
  <c r="Q142" i="6"/>
  <c r="T142" i="6"/>
  <c r="H146" i="6"/>
  <c r="K143" i="6"/>
  <c r="L143" i="6" s="1"/>
  <c r="M143" i="6" s="1"/>
  <c r="Q143" i="6"/>
  <c r="R143" i="6"/>
  <c r="I143" i="6"/>
  <c r="H143" i="6"/>
  <c r="K145" i="6"/>
  <c r="L145" i="6" s="1"/>
  <c r="M145" i="6" s="1"/>
  <c r="R145" i="6"/>
  <c r="Q145" i="6"/>
  <c r="K144" i="6"/>
  <c r="L144" i="6" s="1"/>
  <c r="M144" i="6" s="1"/>
  <c r="Q144" i="6"/>
  <c r="H144" i="6"/>
  <c r="R144" i="6"/>
  <c r="I144" i="6"/>
  <c r="Q146" i="6"/>
  <c r="K146" i="6"/>
  <c r="R146" i="6"/>
  <c r="I145" i="6"/>
  <c r="Q147" i="6"/>
  <c r="K147" i="6"/>
  <c r="R147" i="6"/>
  <c r="I147" i="6"/>
  <c r="H147" i="6"/>
  <c r="K141" i="6"/>
  <c r="L141" i="6" s="1"/>
  <c r="M141" i="6" s="1"/>
  <c r="H141" i="6"/>
  <c r="I141" i="6"/>
  <c r="R141" i="6"/>
  <c r="I142" i="6"/>
  <c r="H142" i="6"/>
  <c r="K142" i="6"/>
  <c r="L142" i="6" s="1"/>
  <c r="M142" i="6" s="1"/>
  <c r="R142" i="6"/>
  <c r="K308" i="17"/>
  <c r="K309" i="17"/>
  <c r="K310" i="17" s="1"/>
  <c r="K287" i="17"/>
  <c r="K288" i="17"/>
  <c r="K289" i="17" s="1"/>
  <c r="K267" i="17"/>
  <c r="K268" i="17"/>
  <c r="K269" i="17" s="1"/>
  <c r="K247" i="17"/>
  <c r="K248" i="17"/>
  <c r="K249" i="17" s="1"/>
  <c r="K227" i="17"/>
  <c r="K228" i="17"/>
  <c r="K229" i="17" s="1"/>
  <c r="K205" i="17"/>
  <c r="K206" i="17"/>
  <c r="K207" i="17" s="1"/>
  <c r="K184" i="17"/>
  <c r="K185" i="17"/>
  <c r="K186" i="17" s="1"/>
  <c r="K139" i="6"/>
  <c r="L139" i="6" s="1"/>
  <c r="M139" i="6" s="1"/>
  <c r="R139" i="6"/>
  <c r="H139" i="6"/>
  <c r="H140" i="6"/>
  <c r="K140" i="6"/>
  <c r="L140" i="6" s="1"/>
  <c r="M140" i="6" s="1"/>
  <c r="I140" i="6"/>
  <c r="R140" i="6"/>
  <c r="I139" i="6"/>
  <c r="K160" i="17"/>
  <c r="K161" i="17"/>
  <c r="K162" i="17" s="1"/>
  <c r="K137" i="17"/>
  <c r="K138" i="17"/>
  <c r="K139" i="17" s="1"/>
  <c r="K108" i="17"/>
  <c r="K109" i="17" s="1"/>
  <c r="D138" i="6" s="1"/>
  <c r="K84" i="17"/>
  <c r="K85" i="17" s="1"/>
  <c r="D137" i="6" s="1"/>
  <c r="K41" i="39"/>
  <c r="D394" i="6"/>
  <c r="K42" i="39"/>
  <c r="K43" i="39" s="1"/>
  <c r="I100" i="31"/>
  <c r="D311" i="6"/>
  <c r="T311" i="6" s="1"/>
  <c r="D310" i="6"/>
  <c r="I101" i="31"/>
  <c r="I102" i="31" s="1"/>
  <c r="E136" i="6"/>
  <c r="B136" i="6"/>
  <c r="G78" i="17"/>
  <c r="H78" i="17" s="1"/>
  <c r="G77" i="17"/>
  <c r="H77" i="17" s="1"/>
  <c r="G76" i="17"/>
  <c r="H76" i="17" s="1"/>
  <c r="K75" i="17"/>
  <c r="K76" i="17" s="1"/>
  <c r="G75" i="17"/>
  <c r="H75" i="17" s="1"/>
  <c r="G74" i="17"/>
  <c r="H74" i="17" s="1"/>
  <c r="G73" i="17"/>
  <c r="H73" i="17" s="1"/>
  <c r="G72" i="17"/>
  <c r="H72" i="17" s="1"/>
  <c r="G78" i="20"/>
  <c r="G80" i="20"/>
  <c r="G82" i="20"/>
  <c r="G79" i="20"/>
  <c r="G41" i="44"/>
  <c r="H41" i="44" s="1"/>
  <c r="E182" i="6"/>
  <c r="S182" i="6" s="1"/>
  <c r="E183" i="6"/>
  <c r="S183" i="6" s="1"/>
  <c r="E184" i="6"/>
  <c r="S184" i="6" s="1"/>
  <c r="O437" i="6"/>
  <c r="O438" i="6"/>
  <c r="O439" i="6"/>
  <c r="O440" i="6"/>
  <c r="O441" i="6"/>
  <c r="O447" i="6"/>
  <c r="O448" i="6"/>
  <c r="O449" i="6"/>
  <c r="O450" i="6"/>
  <c r="H45" i="18"/>
  <c r="H34" i="18"/>
  <c r="H8" i="18"/>
  <c r="H11" i="18"/>
  <c r="G14" i="19"/>
  <c r="H14" i="19" s="1"/>
  <c r="E58" i="43"/>
  <c r="E46" i="43"/>
  <c r="E33" i="43"/>
  <c r="E21" i="43"/>
  <c r="E8" i="43"/>
  <c r="H41" i="17"/>
  <c r="H16" i="17"/>
  <c r="G234" i="13"/>
  <c r="H234" i="13" s="1"/>
  <c r="G233" i="13"/>
  <c r="H233" i="13" s="1"/>
  <c r="G173" i="13"/>
  <c r="H173" i="13" s="1"/>
  <c r="G179" i="13"/>
  <c r="H179" i="13" s="1"/>
  <c r="G158" i="13"/>
  <c r="H158" i="13" s="1"/>
  <c r="G157" i="13"/>
  <c r="H157" i="13" s="1"/>
  <c r="G163" i="13"/>
  <c r="H163" i="13" s="1"/>
  <c r="G152" i="13"/>
  <c r="H152" i="13" s="1"/>
  <c r="G131" i="13"/>
  <c r="H131" i="13" s="1"/>
  <c r="G139" i="13"/>
  <c r="H139" i="13" s="1"/>
  <c r="G83" i="14"/>
  <c r="H83" i="14" s="1"/>
  <c r="G18" i="14"/>
  <c r="H18" i="14" s="1"/>
  <c r="G15" i="14"/>
  <c r="H15" i="14" s="1"/>
  <c r="G12" i="14"/>
  <c r="H12" i="14" s="1"/>
  <c r="G17" i="14"/>
  <c r="H17" i="14" s="1"/>
  <c r="G14" i="14"/>
  <c r="H14" i="14" s="1"/>
  <c r="E116" i="6"/>
  <c r="B116" i="6"/>
  <c r="G117" i="15"/>
  <c r="H117" i="15" s="1"/>
  <c r="G123" i="15"/>
  <c r="H123" i="15" s="1"/>
  <c r="G132" i="15"/>
  <c r="H132" i="15" s="1"/>
  <c r="G130" i="15"/>
  <c r="H130" i="15" s="1"/>
  <c r="G129" i="15"/>
  <c r="H129" i="15" s="1"/>
  <c r="G131" i="15"/>
  <c r="H131" i="15" s="1"/>
  <c r="G127" i="15"/>
  <c r="H127" i="15" s="1"/>
  <c r="G128" i="15"/>
  <c r="H128" i="15" s="1"/>
  <c r="G126" i="15"/>
  <c r="H126" i="15" s="1"/>
  <c r="G122" i="15"/>
  <c r="H122" i="15" s="1"/>
  <c r="G118" i="15"/>
  <c r="H118" i="15" s="1"/>
  <c r="G125" i="15"/>
  <c r="H125" i="15" s="1"/>
  <c r="K121" i="15"/>
  <c r="K122" i="15" s="1"/>
  <c r="G121" i="15"/>
  <c r="H121" i="15" s="1"/>
  <c r="G120" i="15"/>
  <c r="H120" i="15" s="1"/>
  <c r="G124" i="15"/>
  <c r="H124" i="15" s="1"/>
  <c r="G119" i="15"/>
  <c r="H119" i="15" s="1"/>
  <c r="G55" i="13"/>
  <c r="H55" i="13" s="1"/>
  <c r="G8" i="44"/>
  <c r="G60" i="44"/>
  <c r="H60" i="44" s="1"/>
  <c r="G61" i="44"/>
  <c r="H61" i="44" s="1"/>
  <c r="G62" i="44"/>
  <c r="H62" i="44" s="1"/>
  <c r="G63" i="44"/>
  <c r="H63" i="44" s="1"/>
  <c r="K63" i="44"/>
  <c r="K64" i="44" s="1"/>
  <c r="G64" i="44"/>
  <c r="H64" i="44" s="1"/>
  <c r="G65" i="44"/>
  <c r="H65" i="44" s="1"/>
  <c r="G66" i="44"/>
  <c r="H66" i="44" s="1"/>
  <c r="G67" i="44"/>
  <c r="H67" i="44" s="1"/>
  <c r="G68" i="44"/>
  <c r="H68" i="44" s="1"/>
  <c r="G69" i="44"/>
  <c r="H69" i="44" s="1"/>
  <c r="G70" i="44"/>
  <c r="H70" i="44" s="1"/>
  <c r="G71" i="44"/>
  <c r="H71" i="44" s="1"/>
  <c r="G72" i="44"/>
  <c r="H72" i="44" s="1"/>
  <c r="E14" i="6"/>
  <c r="K54" i="4"/>
  <c r="K55" i="4" s="1"/>
  <c r="K72" i="4"/>
  <c r="K73" i="4" s="1"/>
  <c r="G278" i="13"/>
  <c r="H278" i="13" s="1"/>
  <c r="G277" i="13"/>
  <c r="H277" i="13" s="1"/>
  <c r="G270" i="13"/>
  <c r="H270" i="13" s="1"/>
  <c r="H349" i="29"/>
  <c r="H312" i="29"/>
  <c r="H289" i="29"/>
  <c r="G132" i="29"/>
  <c r="G130" i="29"/>
  <c r="G129" i="29"/>
  <c r="G134" i="29"/>
  <c r="G128" i="29"/>
  <c r="H136" i="29"/>
  <c r="G133" i="29"/>
  <c r="G152" i="29"/>
  <c r="G148" i="29"/>
  <c r="G143" i="29"/>
  <c r="G146" i="29"/>
  <c r="G151" i="29"/>
  <c r="G145" i="29"/>
  <c r="G142" i="29"/>
  <c r="G150" i="29"/>
  <c r="G149" i="29"/>
  <c r="G144" i="29"/>
  <c r="G161" i="29"/>
  <c r="H161" i="29" s="1"/>
  <c r="G164" i="29"/>
  <c r="H164" i="29" s="1"/>
  <c r="G159" i="29"/>
  <c r="H159" i="29" s="1"/>
  <c r="G160" i="29"/>
  <c r="H160" i="29" s="1"/>
  <c r="G165" i="29"/>
  <c r="H165" i="29" s="1"/>
  <c r="G162" i="29"/>
  <c r="H162" i="29" s="1"/>
  <c r="G167" i="29"/>
  <c r="H167" i="29" s="1"/>
  <c r="G166" i="29"/>
  <c r="H166" i="29" s="1"/>
  <c r="G158" i="29"/>
  <c r="H158" i="29" s="1"/>
  <c r="G35" i="23"/>
  <c r="H35" i="23" s="1"/>
  <c r="J116" i="6" l="1"/>
  <c r="R310" i="6"/>
  <c r="T310" i="6"/>
  <c r="Q394" i="6"/>
  <c r="T394" i="6"/>
  <c r="Q137" i="6"/>
  <c r="T137" i="6"/>
  <c r="Q138" i="6"/>
  <c r="T138" i="6"/>
  <c r="L147" i="6"/>
  <c r="M147" i="6" s="1"/>
  <c r="L146" i="6"/>
  <c r="M146" i="6" s="1"/>
  <c r="R138" i="6"/>
  <c r="H138" i="6"/>
  <c r="K138" i="6"/>
  <c r="I138" i="6"/>
  <c r="K137" i="6"/>
  <c r="R137" i="6"/>
  <c r="H137" i="6"/>
  <c r="I137" i="6"/>
  <c r="K113" i="17"/>
  <c r="K114" i="17"/>
  <c r="K115" i="17" s="1"/>
  <c r="K89" i="17"/>
  <c r="K90" i="17"/>
  <c r="K91" i="17" s="1"/>
  <c r="Q310" i="6"/>
  <c r="K394" i="6"/>
  <c r="H394" i="6"/>
  <c r="I394" i="6"/>
  <c r="R394" i="6"/>
  <c r="K310" i="6"/>
  <c r="H310" i="6"/>
  <c r="I310" i="6"/>
  <c r="K311" i="6"/>
  <c r="L311" i="6" s="1"/>
  <c r="M311" i="6" s="1"/>
  <c r="Q311" i="6"/>
  <c r="H311" i="6"/>
  <c r="R311" i="6"/>
  <c r="I311" i="6"/>
  <c r="F116" i="6"/>
  <c r="G116" i="6" s="1"/>
  <c r="O116" i="6"/>
  <c r="P116" i="6" s="1"/>
  <c r="H79" i="17"/>
  <c r="K71" i="17"/>
  <c r="H133" i="15"/>
  <c r="K117" i="15"/>
  <c r="K59" i="44"/>
  <c r="K60" i="44" s="1"/>
  <c r="H73" i="44"/>
  <c r="K156" i="20"/>
  <c r="K157" i="20" s="1"/>
  <c r="G155" i="20"/>
  <c r="H155" i="20" s="1"/>
  <c r="G154" i="20"/>
  <c r="H154" i="20" s="1"/>
  <c r="G153" i="20"/>
  <c r="H153" i="20" s="1"/>
  <c r="K81" i="20"/>
  <c r="K82" i="20" s="1"/>
  <c r="G95" i="20"/>
  <c r="H95" i="20" s="1"/>
  <c r="H80" i="20"/>
  <c r="G48" i="20"/>
  <c r="H48" i="20" s="1"/>
  <c r="G45" i="20"/>
  <c r="H45" i="20" s="1"/>
  <c r="G60" i="20"/>
  <c r="H60" i="20" s="1"/>
  <c r="G19" i="20"/>
  <c r="H19" i="20" s="1"/>
  <c r="G142" i="20"/>
  <c r="H142" i="20" s="1"/>
  <c r="K141" i="20"/>
  <c r="K142" i="20" s="1"/>
  <c r="G141" i="20"/>
  <c r="H141" i="20" s="1"/>
  <c r="G140" i="20"/>
  <c r="H140" i="20" s="1"/>
  <c r="G139" i="20"/>
  <c r="H139" i="20" s="1"/>
  <c r="G138" i="20"/>
  <c r="H138" i="20" s="1"/>
  <c r="G9" i="20"/>
  <c r="H9" i="20" s="1"/>
  <c r="G10" i="20"/>
  <c r="H10" i="20" s="1"/>
  <c r="K12" i="20"/>
  <c r="K13" i="20" s="1"/>
  <c r="G14" i="20"/>
  <c r="H14" i="20" s="1"/>
  <c r="G13" i="20"/>
  <c r="H13" i="20" s="1"/>
  <c r="G11" i="20"/>
  <c r="H11" i="20" s="1"/>
  <c r="G12" i="20"/>
  <c r="H12" i="20" s="1"/>
  <c r="G49" i="46"/>
  <c r="H49" i="46" s="1"/>
  <c r="B30" i="6"/>
  <c r="J30" i="6" s="1"/>
  <c r="F30" i="6"/>
  <c r="G30" i="6" s="1"/>
  <c r="O30" i="6"/>
  <c r="P30" i="6" s="1"/>
  <c r="B184" i="6"/>
  <c r="J184" i="6" s="1"/>
  <c r="E181" i="6"/>
  <c r="E180" i="6"/>
  <c r="G113" i="29"/>
  <c r="H113" i="29" s="1"/>
  <c r="B183" i="6"/>
  <c r="J183" i="6" s="1"/>
  <c r="B182" i="6"/>
  <c r="J182" i="6" s="1"/>
  <c r="B181" i="6"/>
  <c r="J181" i="6" s="1"/>
  <c r="B180" i="6"/>
  <c r="J180" i="6" s="1"/>
  <c r="F182" i="6"/>
  <c r="F183" i="6"/>
  <c r="F184" i="6"/>
  <c r="O181" i="6"/>
  <c r="P181" i="6" s="1"/>
  <c r="O182" i="6"/>
  <c r="O183" i="6"/>
  <c r="O184" i="6"/>
  <c r="O180" i="6"/>
  <c r="E393" i="6"/>
  <c r="B393" i="6"/>
  <c r="G467" i="29"/>
  <c r="H467" i="29" s="1"/>
  <c r="G464" i="29"/>
  <c r="H464" i="29" s="1"/>
  <c r="G458" i="29"/>
  <c r="H458" i="29" s="1"/>
  <c r="G462" i="29"/>
  <c r="H462" i="29" s="1"/>
  <c r="G461" i="29"/>
  <c r="H461" i="29" s="1"/>
  <c r="G463" i="29"/>
  <c r="H463" i="29" s="1"/>
  <c r="G465" i="29"/>
  <c r="H465" i="29" s="1"/>
  <c r="G457" i="29"/>
  <c r="H457" i="29" s="1"/>
  <c r="G459" i="29"/>
  <c r="H459" i="29" s="1"/>
  <c r="K459" i="29"/>
  <c r="K460" i="29" s="1"/>
  <c r="G460" i="29"/>
  <c r="H460" i="29" s="1"/>
  <c r="G468" i="29"/>
  <c r="H468" i="29" s="1"/>
  <c r="G456" i="29"/>
  <c r="H456" i="29" s="1"/>
  <c r="G466" i="29"/>
  <c r="H466" i="29" s="1"/>
  <c r="G449" i="29"/>
  <c r="H449" i="29" s="1"/>
  <c r="G448" i="29"/>
  <c r="H448" i="29" s="1"/>
  <c r="G447" i="29"/>
  <c r="H447" i="29" s="1"/>
  <c r="G446" i="29"/>
  <c r="H446" i="29" s="1"/>
  <c r="G445" i="29"/>
  <c r="H445" i="29" s="1"/>
  <c r="G444" i="29"/>
  <c r="H444" i="29" s="1"/>
  <c r="K443" i="29"/>
  <c r="K444" i="29" s="1"/>
  <c r="G443" i="29"/>
  <c r="H443" i="29" s="1"/>
  <c r="G442" i="29"/>
  <c r="H442" i="29" s="1"/>
  <c r="G441" i="29"/>
  <c r="H441" i="29" s="1"/>
  <c r="G440" i="29"/>
  <c r="H440" i="29" s="1"/>
  <c r="G428" i="29"/>
  <c r="H428" i="29" s="1"/>
  <c r="G434" i="29"/>
  <c r="H434" i="29" s="1"/>
  <c r="G433" i="29"/>
  <c r="H433" i="29" s="1"/>
  <c r="G425" i="29"/>
  <c r="H425" i="29" s="1"/>
  <c r="G432" i="29"/>
  <c r="H432" i="29" s="1"/>
  <c r="G431" i="29"/>
  <c r="H431" i="29" s="1"/>
  <c r="K428" i="29"/>
  <c r="K429" i="29" s="1"/>
  <c r="G430" i="29"/>
  <c r="H430" i="29" s="1"/>
  <c r="G429" i="29"/>
  <c r="H429" i="29" s="1"/>
  <c r="G426" i="29"/>
  <c r="H426" i="29" s="1"/>
  <c r="G427" i="29"/>
  <c r="H427" i="29" s="1"/>
  <c r="G418" i="29"/>
  <c r="H418" i="29" s="1"/>
  <c r="G417" i="29"/>
  <c r="H417" i="29" s="1"/>
  <c r="G413" i="29"/>
  <c r="H413" i="29" s="1"/>
  <c r="G415" i="29"/>
  <c r="H415" i="29" s="1"/>
  <c r="G412" i="29"/>
  <c r="H412" i="29" s="1"/>
  <c r="G416" i="29"/>
  <c r="H416" i="29" s="1"/>
  <c r="K412" i="29"/>
  <c r="K413" i="29" s="1"/>
  <c r="G414" i="29"/>
  <c r="H414" i="29" s="1"/>
  <c r="G411" i="29"/>
  <c r="H411" i="29" s="1"/>
  <c r="G409" i="29"/>
  <c r="H409" i="29" s="1"/>
  <c r="G410" i="29"/>
  <c r="H410" i="29" s="1"/>
  <c r="G397" i="29"/>
  <c r="H397" i="29" s="1"/>
  <c r="G394" i="29"/>
  <c r="H394" i="29" s="1"/>
  <c r="G401" i="29"/>
  <c r="H401" i="29" s="1"/>
  <c r="G400" i="29"/>
  <c r="H400" i="29" s="1"/>
  <c r="G396" i="29"/>
  <c r="H396" i="29" s="1"/>
  <c r="G395" i="29"/>
  <c r="H395" i="29" s="1"/>
  <c r="G398" i="29"/>
  <c r="H398" i="29" s="1"/>
  <c r="G393" i="29"/>
  <c r="H393" i="29" s="1"/>
  <c r="G391" i="29"/>
  <c r="H391" i="29" s="1"/>
  <c r="G392" i="29"/>
  <c r="H392" i="29" s="1"/>
  <c r="G399" i="29"/>
  <c r="H399" i="29" s="1"/>
  <c r="K390" i="29"/>
  <c r="K391" i="29" s="1"/>
  <c r="G389" i="29"/>
  <c r="H389" i="29" s="1"/>
  <c r="G387" i="29"/>
  <c r="H387" i="29" s="1"/>
  <c r="G390" i="29"/>
  <c r="H390" i="29" s="1"/>
  <c r="G388" i="29"/>
  <c r="H388" i="29" s="1"/>
  <c r="B200" i="6"/>
  <c r="J200" i="6" s="1"/>
  <c r="K128" i="20"/>
  <c r="K129" i="20" s="1"/>
  <c r="G128" i="20"/>
  <c r="H128" i="20" s="1"/>
  <c r="G127" i="20"/>
  <c r="H127" i="20" s="1"/>
  <c r="G126" i="20"/>
  <c r="H126" i="20" s="1"/>
  <c r="G125" i="20"/>
  <c r="H125" i="20" s="1"/>
  <c r="G74" i="29"/>
  <c r="H74" i="29" s="1"/>
  <c r="G41" i="29"/>
  <c r="H41" i="29" s="1"/>
  <c r="B29" i="6"/>
  <c r="J29" i="6" s="1"/>
  <c r="G31" i="44"/>
  <c r="H31" i="44" s="1"/>
  <c r="G44" i="44"/>
  <c r="H44" i="44" s="1"/>
  <c r="G50" i="44"/>
  <c r="H50" i="44" s="1"/>
  <c r="G34" i="44"/>
  <c r="H34" i="44" s="1"/>
  <c r="G32" i="44"/>
  <c r="H32" i="44" s="1"/>
  <c r="G35" i="44"/>
  <c r="H35" i="44" s="1"/>
  <c r="G47" i="44"/>
  <c r="H47" i="44" s="1"/>
  <c r="G53" i="44"/>
  <c r="H53" i="44" s="1"/>
  <c r="G36" i="44"/>
  <c r="H36" i="44" s="1"/>
  <c r="G52" i="44"/>
  <c r="H52" i="44" s="1"/>
  <c r="G40" i="44"/>
  <c r="H40" i="44" s="1"/>
  <c r="G37" i="44"/>
  <c r="H37" i="44" s="1"/>
  <c r="G42" i="44"/>
  <c r="H42" i="44" s="1"/>
  <c r="G51" i="44"/>
  <c r="H51" i="44" s="1"/>
  <c r="G49" i="44"/>
  <c r="H49" i="44" s="1"/>
  <c r="G48" i="44"/>
  <c r="H48" i="44" s="1"/>
  <c r="G38" i="44"/>
  <c r="H38" i="44" s="1"/>
  <c r="G43" i="44"/>
  <c r="H43" i="44" s="1"/>
  <c r="K34" i="44"/>
  <c r="K35" i="44" s="1"/>
  <c r="G46" i="44"/>
  <c r="H46" i="44" s="1"/>
  <c r="G39" i="44"/>
  <c r="H39" i="44" s="1"/>
  <c r="G45" i="44"/>
  <c r="H45" i="44" s="1"/>
  <c r="G33" i="44"/>
  <c r="H33" i="44" s="1"/>
  <c r="E10" i="6"/>
  <c r="B10" i="6"/>
  <c r="J10" i="6" s="1"/>
  <c r="G268" i="4"/>
  <c r="H268" i="4" s="1"/>
  <c r="G267" i="4"/>
  <c r="H267" i="4" s="1"/>
  <c r="G266" i="4"/>
  <c r="H266" i="4" s="1"/>
  <c r="G265" i="4"/>
  <c r="H265" i="4" s="1"/>
  <c r="G264" i="4"/>
  <c r="H264" i="4" s="1"/>
  <c r="G263" i="4"/>
  <c r="H263" i="4" s="1"/>
  <c r="G262" i="4"/>
  <c r="H262" i="4" s="1"/>
  <c r="G261" i="4"/>
  <c r="H261" i="4" s="1"/>
  <c r="G260" i="4"/>
  <c r="H260" i="4" s="1"/>
  <c r="G259" i="4"/>
  <c r="H259" i="4" s="1"/>
  <c r="G258" i="4"/>
  <c r="H258" i="4" s="1"/>
  <c r="G257" i="4"/>
  <c r="H257" i="4" s="1"/>
  <c r="K256" i="4"/>
  <c r="K257" i="4" s="1"/>
  <c r="G256" i="4"/>
  <c r="H256" i="4" s="1"/>
  <c r="G255" i="4"/>
  <c r="H255" i="4" s="1"/>
  <c r="G254" i="4"/>
  <c r="H254" i="4" s="1"/>
  <c r="G253" i="4"/>
  <c r="H253" i="4" s="1"/>
  <c r="E115" i="6"/>
  <c r="B115" i="6"/>
  <c r="J115" i="6" s="1"/>
  <c r="G96" i="15"/>
  <c r="H96" i="15" s="1"/>
  <c r="G102" i="15"/>
  <c r="H102" i="15" s="1"/>
  <c r="G111" i="15"/>
  <c r="H111" i="15" s="1"/>
  <c r="G109" i="15"/>
  <c r="H109" i="15" s="1"/>
  <c r="G108" i="15"/>
  <c r="H108" i="15" s="1"/>
  <c r="G110" i="15"/>
  <c r="H110" i="15" s="1"/>
  <c r="G106" i="15"/>
  <c r="H106" i="15" s="1"/>
  <c r="G107" i="15"/>
  <c r="H107" i="15" s="1"/>
  <c r="G105" i="15"/>
  <c r="H105" i="15" s="1"/>
  <c r="G101" i="15"/>
  <c r="H101" i="15" s="1"/>
  <c r="G97" i="15"/>
  <c r="H97" i="15" s="1"/>
  <c r="G104" i="15"/>
  <c r="H104" i="15" s="1"/>
  <c r="K100" i="15"/>
  <c r="K101" i="15" s="1"/>
  <c r="G100" i="15"/>
  <c r="H100" i="15" s="1"/>
  <c r="G99" i="15"/>
  <c r="H99" i="15" s="1"/>
  <c r="G103" i="15"/>
  <c r="H103" i="15" s="1"/>
  <c r="G98" i="15"/>
  <c r="H98" i="15" s="1"/>
  <c r="H8" i="44"/>
  <c r="G11" i="44"/>
  <c r="H11" i="44" s="1"/>
  <c r="G10" i="44"/>
  <c r="H10" i="44" s="1"/>
  <c r="G12" i="44"/>
  <c r="H12" i="44" s="1"/>
  <c r="K10" i="44"/>
  <c r="K11" i="44" s="1"/>
  <c r="G13" i="44"/>
  <c r="H13" i="44" s="1"/>
  <c r="G9" i="44"/>
  <c r="H9" i="44" s="1"/>
  <c r="G16" i="44"/>
  <c r="H16" i="44" s="1"/>
  <c r="G15" i="44"/>
  <c r="H15" i="44" s="1"/>
  <c r="G17" i="44"/>
  <c r="H17" i="44" s="1"/>
  <c r="G14" i="44"/>
  <c r="H14" i="44" s="1"/>
  <c r="G18" i="44"/>
  <c r="H18" i="44" s="1"/>
  <c r="G24" i="44"/>
  <c r="H24" i="44" s="1"/>
  <c r="G19" i="44"/>
  <c r="H19" i="44" s="1"/>
  <c r="G21" i="44"/>
  <c r="H21" i="44" s="1"/>
  <c r="G20" i="44"/>
  <c r="H20" i="44" s="1"/>
  <c r="G22" i="44"/>
  <c r="H22" i="44" s="1"/>
  <c r="G23" i="44"/>
  <c r="H23" i="44" s="1"/>
  <c r="G7" i="44"/>
  <c r="H7" i="44" s="1"/>
  <c r="G35" i="20"/>
  <c r="H35" i="20" s="1"/>
  <c r="H79" i="20"/>
  <c r="K11" i="4"/>
  <c r="K12" i="4" s="1"/>
  <c r="G130" i="14"/>
  <c r="H130" i="14" s="1"/>
  <c r="G116" i="14"/>
  <c r="H116" i="14" s="1"/>
  <c r="G90" i="20"/>
  <c r="H90" i="20" s="1"/>
  <c r="G34" i="23"/>
  <c r="H34" i="23" s="1"/>
  <c r="J197" i="6"/>
  <c r="B240" i="6"/>
  <c r="J240" i="6" s="1"/>
  <c r="F222" i="6"/>
  <c r="B222" i="6"/>
  <c r="J222" i="6" s="1"/>
  <c r="F226" i="6"/>
  <c r="G226" i="6" s="1"/>
  <c r="J226" i="6"/>
  <c r="B219" i="6"/>
  <c r="J219" i="6" s="1"/>
  <c r="B224" i="6"/>
  <c r="J224" i="6" s="1"/>
  <c r="B225" i="6"/>
  <c r="J225" i="6" s="1"/>
  <c r="B223" i="6"/>
  <c r="J223" i="6" s="1"/>
  <c r="B221" i="6"/>
  <c r="J221" i="6" s="1"/>
  <c r="B220" i="6"/>
  <c r="J220" i="6" s="1"/>
  <c r="G103" i="46"/>
  <c r="H103" i="46" s="1"/>
  <c r="G99" i="46"/>
  <c r="H99" i="46" s="1"/>
  <c r="G98" i="46"/>
  <c r="H98" i="46" s="1"/>
  <c r="G102" i="46"/>
  <c r="H102" i="46" s="1"/>
  <c r="G97" i="46"/>
  <c r="H97" i="46" s="1"/>
  <c r="G101" i="46"/>
  <c r="H101" i="46" s="1"/>
  <c r="G100" i="46"/>
  <c r="H100" i="46" s="1"/>
  <c r="G82" i="46"/>
  <c r="H82" i="46" s="1"/>
  <c r="G88" i="46"/>
  <c r="H88" i="46" s="1"/>
  <c r="G90" i="46"/>
  <c r="H90" i="46" s="1"/>
  <c r="G89" i="46"/>
  <c r="H89" i="46" s="1"/>
  <c r="G83" i="46"/>
  <c r="H83" i="46" s="1"/>
  <c r="G81" i="46"/>
  <c r="H81" i="46" s="1"/>
  <c r="G84" i="46"/>
  <c r="H84" i="46" s="1"/>
  <c r="G87" i="46"/>
  <c r="H87" i="46" s="1"/>
  <c r="G85" i="46"/>
  <c r="H85" i="46" s="1"/>
  <c r="G86" i="46"/>
  <c r="H86" i="46" s="1"/>
  <c r="G76" i="46"/>
  <c r="H76" i="46" s="1"/>
  <c r="G71" i="46"/>
  <c r="H71" i="46" s="1"/>
  <c r="G70" i="46"/>
  <c r="H70" i="46" s="1"/>
  <c r="G75" i="46"/>
  <c r="H75" i="46" s="1"/>
  <c r="G72" i="46"/>
  <c r="H72" i="46" s="1"/>
  <c r="G74" i="46"/>
  <c r="H74" i="46" s="1"/>
  <c r="G73" i="46"/>
  <c r="H73" i="46" s="1"/>
  <c r="G61" i="46"/>
  <c r="H61" i="46" s="1"/>
  <c r="G58" i="46"/>
  <c r="H58" i="46" s="1"/>
  <c r="G57" i="46"/>
  <c r="H57" i="46" s="1"/>
  <c r="G60" i="46"/>
  <c r="H60" i="46" s="1"/>
  <c r="G59" i="46"/>
  <c r="H59" i="46" s="1"/>
  <c r="G45" i="46"/>
  <c r="H45" i="46" s="1"/>
  <c r="G46" i="46"/>
  <c r="H46" i="46" s="1"/>
  <c r="G44" i="46"/>
  <c r="H44" i="46" s="1"/>
  <c r="G47" i="46"/>
  <c r="H47" i="46" s="1"/>
  <c r="G50" i="46"/>
  <c r="H50" i="46" s="1"/>
  <c r="G48" i="46"/>
  <c r="H48" i="46" s="1"/>
  <c r="G38" i="46"/>
  <c r="H38" i="46" s="1"/>
  <c r="G33" i="46"/>
  <c r="H33" i="46" s="1"/>
  <c r="G37" i="46"/>
  <c r="H37" i="46" s="1"/>
  <c r="G34" i="46"/>
  <c r="H34" i="46" s="1"/>
  <c r="G36" i="46"/>
  <c r="H36" i="46" s="1"/>
  <c r="G35" i="46"/>
  <c r="H35" i="46" s="1"/>
  <c r="G27" i="46"/>
  <c r="H27" i="46" s="1"/>
  <c r="G25" i="46"/>
  <c r="H25" i="46" s="1"/>
  <c r="G24" i="46"/>
  <c r="H24" i="46" s="1"/>
  <c r="G26" i="46"/>
  <c r="H26" i="46" s="1"/>
  <c r="G23" i="46"/>
  <c r="H23" i="46" s="1"/>
  <c r="G22" i="46"/>
  <c r="H22" i="46" s="1"/>
  <c r="G28" i="46"/>
  <c r="H28" i="46" s="1"/>
  <c r="G16" i="46"/>
  <c r="H16" i="46" s="1"/>
  <c r="G11" i="46"/>
  <c r="H11" i="46" s="1"/>
  <c r="G12" i="46"/>
  <c r="H12" i="46" s="1"/>
  <c r="G9" i="46"/>
  <c r="H9" i="46" s="1"/>
  <c r="G8" i="46"/>
  <c r="H8" i="46" s="1"/>
  <c r="G10" i="46"/>
  <c r="H10" i="46" s="1"/>
  <c r="G13" i="46"/>
  <c r="H13" i="46" s="1"/>
  <c r="G15" i="46"/>
  <c r="H15" i="46" s="1"/>
  <c r="G14" i="46"/>
  <c r="H14" i="46" s="1"/>
  <c r="E79" i="36"/>
  <c r="E42" i="37"/>
  <c r="E43" i="37"/>
  <c r="E44" i="37"/>
  <c r="E45" i="37"/>
  <c r="E31" i="37"/>
  <c r="E20" i="37"/>
  <c r="E21" i="37"/>
  <c r="E22" i="37"/>
  <c r="E9" i="37"/>
  <c r="E8" i="35"/>
  <c r="E36" i="34"/>
  <c r="E23" i="34"/>
  <c r="E8" i="34"/>
  <c r="E60" i="33"/>
  <c r="E46" i="33"/>
  <c r="E34" i="33"/>
  <c r="E21" i="33"/>
  <c r="E8" i="33"/>
  <c r="E80" i="31"/>
  <c r="E66" i="31"/>
  <c r="E42" i="31"/>
  <c r="E30" i="31"/>
  <c r="E19" i="31"/>
  <c r="E8" i="31"/>
  <c r="E19" i="30"/>
  <c r="E8" i="30"/>
  <c r="E78" i="28"/>
  <c r="E66" i="28"/>
  <c r="E55" i="28"/>
  <c r="E43" i="28"/>
  <c r="E30" i="28"/>
  <c r="E19" i="28"/>
  <c r="E8" i="28"/>
  <c r="E101" i="27"/>
  <c r="E90" i="27"/>
  <c r="E78" i="27"/>
  <c r="E61" i="27"/>
  <c r="E48" i="27"/>
  <c r="E35" i="27"/>
  <c r="E22" i="27"/>
  <c r="E8" i="27"/>
  <c r="E86" i="41"/>
  <c r="E74" i="41"/>
  <c r="E62" i="41"/>
  <c r="E47" i="41"/>
  <c r="E35" i="41"/>
  <c r="E24" i="41"/>
  <c r="E8" i="41"/>
  <c r="E177" i="38"/>
  <c r="E163" i="38"/>
  <c r="E152" i="38"/>
  <c r="E140" i="38"/>
  <c r="E128" i="38"/>
  <c r="E117" i="38"/>
  <c r="E105" i="38"/>
  <c r="E93" i="38"/>
  <c r="E79" i="38"/>
  <c r="E67" i="38"/>
  <c r="E54" i="38"/>
  <c r="E43" i="38"/>
  <c r="E32" i="38"/>
  <c r="E21" i="38"/>
  <c r="E9" i="38"/>
  <c r="G24" i="39"/>
  <c r="G12" i="39"/>
  <c r="E116" i="25"/>
  <c r="E105" i="25"/>
  <c r="E93" i="25"/>
  <c r="E81" i="25"/>
  <c r="E68" i="25"/>
  <c r="E54" i="25"/>
  <c r="E43" i="25"/>
  <c r="F43" i="25" s="1"/>
  <c r="I46" i="25"/>
  <c r="I47" i="25"/>
  <c r="E32" i="25"/>
  <c r="E20" i="25"/>
  <c r="E8" i="25"/>
  <c r="G91" i="22"/>
  <c r="H91" i="22" s="1"/>
  <c r="G92" i="22"/>
  <c r="H92" i="22" s="1"/>
  <c r="G93" i="22"/>
  <c r="H93" i="22" s="1"/>
  <c r="G94" i="22"/>
  <c r="H94" i="22" s="1"/>
  <c r="G95" i="22"/>
  <c r="H95" i="22" s="1"/>
  <c r="G96" i="22"/>
  <c r="H96" i="22" s="1"/>
  <c r="G97" i="22"/>
  <c r="H97" i="22" s="1"/>
  <c r="G98" i="22"/>
  <c r="H98" i="22" s="1"/>
  <c r="G76" i="22"/>
  <c r="H76" i="22" s="1"/>
  <c r="G77" i="22"/>
  <c r="H77" i="22" s="1"/>
  <c r="G78" i="22"/>
  <c r="H78" i="22" s="1"/>
  <c r="G79" i="22"/>
  <c r="H79" i="22" s="1"/>
  <c r="G80" i="22"/>
  <c r="H80" i="22" s="1"/>
  <c r="G81" i="22"/>
  <c r="H81" i="22" s="1"/>
  <c r="G82" i="22"/>
  <c r="H82" i="22" s="1"/>
  <c r="G63" i="22"/>
  <c r="H63" i="22" s="1"/>
  <c r="G66" i="22"/>
  <c r="H66" i="22" s="1"/>
  <c r="G65" i="22"/>
  <c r="H65" i="22" s="1"/>
  <c r="G67" i="22"/>
  <c r="H67" i="22" s="1"/>
  <c r="G70" i="22"/>
  <c r="H70" i="22" s="1"/>
  <c r="G69" i="22"/>
  <c r="H69" i="22" s="1"/>
  <c r="G68" i="22"/>
  <c r="H68" i="22" s="1"/>
  <c r="G64" i="22"/>
  <c r="H64" i="22" s="1"/>
  <c r="G50" i="22"/>
  <c r="H50" i="22" s="1"/>
  <c r="G51" i="22"/>
  <c r="H51" i="22" s="1"/>
  <c r="G52" i="22"/>
  <c r="H52" i="22" s="1"/>
  <c r="G53" i="22"/>
  <c r="H53" i="22" s="1"/>
  <c r="G54" i="22"/>
  <c r="H54" i="22" s="1"/>
  <c r="G56" i="22"/>
  <c r="H56" i="22" s="1"/>
  <c r="G38" i="22"/>
  <c r="H38" i="22" s="1"/>
  <c r="G40" i="22"/>
  <c r="H40" i="22" s="1"/>
  <c r="G41" i="22"/>
  <c r="H41" i="22" s="1"/>
  <c r="G42" i="22"/>
  <c r="H42" i="22" s="1"/>
  <c r="G43" i="22"/>
  <c r="H43" i="22" s="1"/>
  <c r="G23" i="22"/>
  <c r="H23" i="22" s="1"/>
  <c r="G24" i="22"/>
  <c r="H24" i="22" s="1"/>
  <c r="G26" i="22"/>
  <c r="H26" i="22" s="1"/>
  <c r="G27" i="22"/>
  <c r="H27" i="22" s="1"/>
  <c r="G28" i="22"/>
  <c r="H28" i="22" s="1"/>
  <c r="G29" i="22"/>
  <c r="H29" i="22" s="1"/>
  <c r="G30" i="22"/>
  <c r="H30" i="22" s="1"/>
  <c r="G31" i="22"/>
  <c r="H31" i="22" s="1"/>
  <c r="G32" i="22"/>
  <c r="H32" i="22" s="1"/>
  <c r="G8" i="22"/>
  <c r="H8" i="22" s="1"/>
  <c r="G9" i="22"/>
  <c r="H9" i="22" s="1"/>
  <c r="G10" i="22"/>
  <c r="H10" i="22" s="1"/>
  <c r="G11" i="22"/>
  <c r="H11" i="22" s="1"/>
  <c r="G12" i="22"/>
  <c r="H12" i="22" s="1"/>
  <c r="G13" i="22"/>
  <c r="H13" i="22" s="1"/>
  <c r="G42" i="18"/>
  <c r="H42" i="18" s="1"/>
  <c r="G43" i="18"/>
  <c r="H43" i="18" s="1"/>
  <c r="G44" i="18"/>
  <c r="H44" i="18" s="1"/>
  <c r="G31" i="18"/>
  <c r="H31" i="18" s="1"/>
  <c r="G32" i="18"/>
  <c r="H32" i="18" s="1"/>
  <c r="G33" i="18"/>
  <c r="H33" i="18" s="1"/>
  <c r="G20" i="18"/>
  <c r="H20" i="18" s="1"/>
  <c r="G21" i="18"/>
  <c r="H21" i="18" s="1"/>
  <c r="G22" i="18"/>
  <c r="H22" i="18" s="1"/>
  <c r="G23" i="18"/>
  <c r="H23" i="18" s="1"/>
  <c r="G24" i="18"/>
  <c r="H24" i="18" s="1"/>
  <c r="G12" i="18"/>
  <c r="H12" i="18" s="1"/>
  <c r="G9" i="18"/>
  <c r="H9" i="18" s="1"/>
  <c r="G10" i="18"/>
  <c r="H10" i="18" s="1"/>
  <c r="G31" i="23"/>
  <c r="H31" i="23" s="1"/>
  <c r="G32" i="23"/>
  <c r="H32" i="23" s="1"/>
  <c r="G33" i="23"/>
  <c r="H33" i="23" s="1"/>
  <c r="G20" i="23"/>
  <c r="H20" i="23" s="1"/>
  <c r="G21" i="23"/>
  <c r="H21" i="23" s="1"/>
  <c r="G22" i="23"/>
  <c r="H22" i="23" s="1"/>
  <c r="G23" i="23"/>
  <c r="H23" i="23" s="1"/>
  <c r="G24" i="23"/>
  <c r="H24" i="23" s="1"/>
  <c r="G25" i="23"/>
  <c r="H25" i="23" s="1"/>
  <c r="G8" i="23"/>
  <c r="G9" i="23"/>
  <c r="G10" i="23"/>
  <c r="G11" i="23"/>
  <c r="G12" i="23"/>
  <c r="G13" i="23"/>
  <c r="E94" i="36"/>
  <c r="E95" i="36"/>
  <c r="E96" i="36"/>
  <c r="E97" i="36"/>
  <c r="E98" i="36"/>
  <c r="E99" i="36"/>
  <c r="E100" i="36"/>
  <c r="E101" i="36"/>
  <c r="E67" i="36"/>
  <c r="E55" i="36"/>
  <c r="E44" i="36"/>
  <c r="E32" i="36"/>
  <c r="E20" i="36"/>
  <c r="E8" i="36"/>
  <c r="G43" i="19"/>
  <c r="H43" i="19" s="1"/>
  <c r="G44" i="19"/>
  <c r="H44" i="19" s="1"/>
  <c r="G45" i="19"/>
  <c r="H45" i="19" s="1"/>
  <c r="G46" i="19"/>
  <c r="H46" i="19" s="1"/>
  <c r="G31" i="19"/>
  <c r="H31" i="19" s="1"/>
  <c r="G32" i="19"/>
  <c r="H32" i="19" s="1"/>
  <c r="G33" i="19"/>
  <c r="H33" i="19" s="1"/>
  <c r="G34" i="19"/>
  <c r="H34" i="19" s="1"/>
  <c r="G35" i="19"/>
  <c r="H35" i="19" s="1"/>
  <c r="G36" i="19"/>
  <c r="H36" i="19" s="1"/>
  <c r="G20" i="19"/>
  <c r="H20" i="19" s="1"/>
  <c r="G21" i="19"/>
  <c r="H21" i="19" s="1"/>
  <c r="G22" i="19"/>
  <c r="H22" i="19" s="1"/>
  <c r="G23" i="19"/>
  <c r="H23" i="19" s="1"/>
  <c r="G12" i="19"/>
  <c r="H12" i="19" s="1"/>
  <c r="G8" i="19"/>
  <c r="H8" i="19" s="1"/>
  <c r="G11" i="19"/>
  <c r="H11" i="19" s="1"/>
  <c r="G13" i="19"/>
  <c r="H13" i="19" s="1"/>
  <c r="G10" i="19"/>
  <c r="H10" i="19" s="1"/>
  <c r="G9" i="19"/>
  <c r="H9" i="19" s="1"/>
  <c r="E103" i="24"/>
  <c r="E92" i="24"/>
  <c r="E80" i="24"/>
  <c r="E68" i="24"/>
  <c r="E56" i="24"/>
  <c r="E57" i="24"/>
  <c r="E58" i="24"/>
  <c r="E44" i="24"/>
  <c r="E32" i="24"/>
  <c r="E21" i="24"/>
  <c r="E8" i="24"/>
  <c r="G8" i="42"/>
  <c r="H8" i="42" s="1"/>
  <c r="G9" i="42"/>
  <c r="H9" i="42" s="1"/>
  <c r="G10" i="42"/>
  <c r="H10" i="42" s="1"/>
  <c r="G11" i="42"/>
  <c r="H11" i="42" s="1"/>
  <c r="G12" i="42"/>
  <c r="H12" i="42" s="1"/>
  <c r="G13" i="42"/>
  <c r="H13" i="42" s="1"/>
  <c r="G14" i="42"/>
  <c r="H14" i="42" s="1"/>
  <c r="G15" i="42"/>
  <c r="H15" i="42" s="1"/>
  <c r="G113" i="20"/>
  <c r="H113" i="20" s="1"/>
  <c r="G114" i="20"/>
  <c r="H114" i="20" s="1"/>
  <c r="G116" i="20"/>
  <c r="H116" i="20" s="1"/>
  <c r="G117" i="20"/>
  <c r="H117" i="20" s="1"/>
  <c r="G115" i="20"/>
  <c r="H115" i="20" s="1"/>
  <c r="G105" i="20"/>
  <c r="G103" i="20"/>
  <c r="G104" i="20"/>
  <c r="G106" i="20"/>
  <c r="H106" i="20" s="1"/>
  <c r="G102" i="20"/>
  <c r="H102" i="20" s="1"/>
  <c r="G94" i="20"/>
  <c r="G91" i="20"/>
  <c r="G92" i="20"/>
  <c r="G93" i="20"/>
  <c r="H82" i="20"/>
  <c r="H78" i="20"/>
  <c r="G81" i="20"/>
  <c r="H81" i="20" s="1"/>
  <c r="G66" i="20"/>
  <c r="H66" i="20" s="1"/>
  <c r="G67" i="20"/>
  <c r="H67" i="20" s="1"/>
  <c r="G68" i="20"/>
  <c r="H68" i="20" s="1"/>
  <c r="G69" i="20"/>
  <c r="H69" i="20" s="1"/>
  <c r="G70" i="20"/>
  <c r="H70" i="20" s="1"/>
  <c r="G71" i="20"/>
  <c r="H71" i="20" s="1"/>
  <c r="G72" i="20"/>
  <c r="H72" i="20" s="1"/>
  <c r="G57" i="20"/>
  <c r="H57" i="20" s="1"/>
  <c r="G59" i="20"/>
  <c r="H59" i="20" s="1"/>
  <c r="G56" i="20"/>
  <c r="H56" i="20" s="1"/>
  <c r="G58" i="20"/>
  <c r="H58" i="20" s="1"/>
  <c r="G54" i="20"/>
  <c r="H54" i="20" s="1"/>
  <c r="G55" i="20"/>
  <c r="H55" i="20" s="1"/>
  <c r="G44" i="20"/>
  <c r="H44" i="20" s="1"/>
  <c r="G42" i="20"/>
  <c r="H42" i="20" s="1"/>
  <c r="G46" i="20"/>
  <c r="H46" i="20" s="1"/>
  <c r="G43" i="20"/>
  <c r="H43" i="20" s="1"/>
  <c r="G47" i="20"/>
  <c r="H47" i="20" s="1"/>
  <c r="G33" i="20"/>
  <c r="H33" i="20" s="1"/>
  <c r="G34" i="20"/>
  <c r="H34" i="20" s="1"/>
  <c r="G31" i="20"/>
  <c r="H31" i="20" s="1"/>
  <c r="G36" i="20"/>
  <c r="H36" i="20" s="1"/>
  <c r="G20" i="20"/>
  <c r="H20" i="20" s="1"/>
  <c r="G21" i="20"/>
  <c r="H21" i="20" s="1"/>
  <c r="G23" i="20"/>
  <c r="H23" i="20" s="1"/>
  <c r="G22" i="20"/>
  <c r="H22" i="20" s="1"/>
  <c r="G371" i="29"/>
  <c r="H371" i="29" s="1"/>
  <c r="G374" i="29"/>
  <c r="H374" i="29" s="1"/>
  <c r="G373" i="29"/>
  <c r="H373" i="29" s="1"/>
  <c r="G372" i="29"/>
  <c r="H372" i="29" s="1"/>
  <c r="G375" i="29"/>
  <c r="H375" i="29" s="1"/>
  <c r="G358" i="29"/>
  <c r="H358" i="29" s="1"/>
  <c r="G359" i="29"/>
  <c r="H359" i="29" s="1"/>
  <c r="G348" i="29"/>
  <c r="H348" i="29" s="1"/>
  <c r="G347" i="29"/>
  <c r="H347" i="29" s="1"/>
  <c r="G335" i="29"/>
  <c r="H335" i="29" s="1"/>
  <c r="G336" i="29"/>
  <c r="H336" i="29" s="1"/>
  <c r="G325" i="29"/>
  <c r="H325" i="29" s="1"/>
  <c r="G324" i="29"/>
  <c r="H324" i="29" s="1"/>
  <c r="G323" i="29"/>
  <c r="H323" i="29" s="1"/>
  <c r="G326" i="29"/>
  <c r="H326" i="29" s="1"/>
  <c r="G311" i="29"/>
  <c r="H311" i="29" s="1"/>
  <c r="G299" i="29"/>
  <c r="H299" i="29" s="1"/>
  <c r="G300" i="29"/>
  <c r="H300" i="29" s="1"/>
  <c r="G301" i="29"/>
  <c r="H301" i="29" s="1"/>
  <c r="G288" i="29"/>
  <c r="H288" i="29" s="1"/>
  <c r="B28" i="6"/>
  <c r="J28" i="6" s="1"/>
  <c r="G275" i="29"/>
  <c r="H275" i="29" s="1"/>
  <c r="G278" i="29"/>
  <c r="H278" i="29" s="1"/>
  <c r="G279" i="29"/>
  <c r="H279" i="29" s="1"/>
  <c r="G277" i="29"/>
  <c r="H277" i="29" s="1"/>
  <c r="G276" i="29"/>
  <c r="H276" i="29" s="1"/>
  <c r="G264" i="29"/>
  <c r="H264" i="29" s="1"/>
  <c r="G266" i="29"/>
  <c r="H266" i="29" s="1"/>
  <c r="G265" i="29"/>
  <c r="H265" i="29" s="1"/>
  <c r="G256" i="29"/>
  <c r="H256" i="29" s="1"/>
  <c r="G253" i="29"/>
  <c r="H253" i="29" s="1"/>
  <c r="G254" i="29"/>
  <c r="H254" i="29" s="1"/>
  <c r="G257" i="29"/>
  <c r="H257" i="29" s="1"/>
  <c r="G255" i="29"/>
  <c r="H255" i="29" s="1"/>
  <c r="G245" i="29"/>
  <c r="H245" i="29" s="1"/>
  <c r="G243" i="29"/>
  <c r="H243" i="29" s="1"/>
  <c r="G244" i="29"/>
  <c r="H244" i="29" s="1"/>
  <c r="G237" i="29"/>
  <c r="H237" i="29" s="1"/>
  <c r="G235" i="29"/>
  <c r="H235" i="29" s="1"/>
  <c r="G236" i="29"/>
  <c r="H236" i="29" s="1"/>
  <c r="G239" i="29"/>
  <c r="H239" i="29" s="1"/>
  <c r="G241" i="29"/>
  <c r="H241" i="29" s="1"/>
  <c r="G242" i="29"/>
  <c r="H242" i="29" s="1"/>
  <c r="G246" i="29"/>
  <c r="H246" i="29" s="1"/>
  <c r="G238" i="29"/>
  <c r="H238" i="29" s="1"/>
  <c r="G240" i="29"/>
  <c r="H240" i="29" s="1"/>
  <c r="G247" i="29"/>
  <c r="H247" i="29" s="1"/>
  <c r="G226" i="29"/>
  <c r="H226" i="29" s="1"/>
  <c r="G225" i="29"/>
  <c r="H225" i="29" s="1"/>
  <c r="G228" i="29"/>
  <c r="H228" i="29" s="1"/>
  <c r="G227" i="29"/>
  <c r="H227" i="29" s="1"/>
  <c r="G223" i="29"/>
  <c r="H223" i="29" s="1"/>
  <c r="G229" i="29"/>
  <c r="H229" i="29" s="1"/>
  <c r="G224" i="29"/>
  <c r="H224" i="29" s="1"/>
  <c r="G212" i="29"/>
  <c r="H212" i="29" s="1"/>
  <c r="G211" i="29"/>
  <c r="H211" i="29" s="1"/>
  <c r="G210" i="29"/>
  <c r="H210" i="29" s="1"/>
  <c r="G215" i="29"/>
  <c r="H215" i="29" s="1"/>
  <c r="G213" i="29"/>
  <c r="H213" i="29" s="1"/>
  <c r="G216" i="29"/>
  <c r="H216" i="29" s="1"/>
  <c r="G208" i="29"/>
  <c r="H208" i="29" s="1"/>
  <c r="G217" i="29"/>
  <c r="H217" i="29" s="1"/>
  <c r="G214" i="29"/>
  <c r="H214" i="29" s="1"/>
  <c r="G209" i="29"/>
  <c r="H209" i="29" s="1"/>
  <c r="G198" i="29"/>
  <c r="H198" i="29" s="1"/>
  <c r="G192" i="29"/>
  <c r="H192" i="29" s="1"/>
  <c r="G199" i="29"/>
  <c r="H199" i="29" s="1"/>
  <c r="G196" i="29"/>
  <c r="H196" i="29" s="1"/>
  <c r="G191" i="29"/>
  <c r="H191" i="29" s="1"/>
  <c r="G194" i="29"/>
  <c r="H194" i="29" s="1"/>
  <c r="G202" i="29"/>
  <c r="H202" i="29" s="1"/>
  <c r="G197" i="29"/>
  <c r="H197" i="29" s="1"/>
  <c r="G195" i="29"/>
  <c r="H195" i="29" s="1"/>
  <c r="G201" i="29"/>
  <c r="H201" i="29" s="1"/>
  <c r="G193" i="29"/>
  <c r="H193" i="29" s="1"/>
  <c r="G200" i="29"/>
  <c r="H200" i="29" s="1"/>
  <c r="G184" i="29"/>
  <c r="H184" i="29" s="1"/>
  <c r="G182" i="29"/>
  <c r="H182" i="29" s="1"/>
  <c r="G183" i="29"/>
  <c r="H183" i="29" s="1"/>
  <c r="G179" i="29"/>
  <c r="H179" i="29" s="1"/>
  <c r="G176" i="29"/>
  <c r="H176" i="29" s="1"/>
  <c r="G175" i="29"/>
  <c r="H175" i="29" s="1"/>
  <c r="G185" i="29"/>
  <c r="H185" i="29" s="1"/>
  <c r="G180" i="29"/>
  <c r="H180" i="29" s="1"/>
  <c r="G181" i="29"/>
  <c r="H181" i="29" s="1"/>
  <c r="G173" i="29"/>
  <c r="H173" i="29" s="1"/>
  <c r="G178" i="29"/>
  <c r="H178" i="29" s="1"/>
  <c r="G174" i="29"/>
  <c r="H174" i="29" s="1"/>
  <c r="G177" i="29"/>
  <c r="H177" i="29" s="1"/>
  <c r="G163" i="29"/>
  <c r="H163" i="29" s="1"/>
  <c r="G147" i="29"/>
  <c r="H147" i="29" s="1"/>
  <c r="H152" i="29"/>
  <c r="H148" i="29"/>
  <c r="H143" i="29"/>
  <c r="H146" i="29"/>
  <c r="H151" i="29"/>
  <c r="H145" i="29"/>
  <c r="H142" i="29"/>
  <c r="H150" i="29"/>
  <c r="H149" i="29"/>
  <c r="H144" i="29"/>
  <c r="G131" i="29"/>
  <c r="H131" i="29" s="1"/>
  <c r="G135" i="29"/>
  <c r="H135" i="29" s="1"/>
  <c r="H132" i="29"/>
  <c r="H130" i="29"/>
  <c r="H129" i="29"/>
  <c r="H134" i="29"/>
  <c r="H128" i="29"/>
  <c r="H133" i="29"/>
  <c r="G112" i="29"/>
  <c r="G118" i="29"/>
  <c r="G120" i="29"/>
  <c r="G119" i="29"/>
  <c r="G122" i="29"/>
  <c r="G116" i="29"/>
  <c r="G117" i="29"/>
  <c r="G114" i="29"/>
  <c r="G121" i="29"/>
  <c r="G115" i="29"/>
  <c r="G111" i="29"/>
  <c r="G99" i="29"/>
  <c r="G103" i="29"/>
  <c r="G100" i="29"/>
  <c r="G104" i="29"/>
  <c r="G102" i="29"/>
  <c r="G101" i="29"/>
  <c r="G105" i="29"/>
  <c r="G88" i="29"/>
  <c r="H88" i="29" s="1"/>
  <c r="G93" i="29"/>
  <c r="H93" i="29" s="1"/>
  <c r="G89" i="29"/>
  <c r="H89" i="29" s="1"/>
  <c r="G84" i="29"/>
  <c r="H84" i="29" s="1"/>
  <c r="G87" i="29"/>
  <c r="H87" i="29" s="1"/>
  <c r="G90" i="29"/>
  <c r="H90" i="29" s="1"/>
  <c r="G86" i="29"/>
  <c r="H86" i="29" s="1"/>
  <c r="G83" i="29"/>
  <c r="H83" i="29" s="1"/>
  <c r="G92" i="29"/>
  <c r="H92" i="29" s="1"/>
  <c r="G91" i="29"/>
  <c r="H91" i="29" s="1"/>
  <c r="G85" i="29"/>
  <c r="H85" i="29" s="1"/>
  <c r="G75" i="29"/>
  <c r="H75" i="29" s="1"/>
  <c r="G66" i="29"/>
  <c r="H66" i="29" s="1"/>
  <c r="G76" i="29"/>
  <c r="H76" i="29" s="1"/>
  <c r="G70" i="29"/>
  <c r="H70" i="29" s="1"/>
  <c r="G69" i="29"/>
  <c r="H69" i="29" s="1"/>
  <c r="G71" i="29"/>
  <c r="H71" i="29" s="1"/>
  <c r="G73" i="29"/>
  <c r="H73" i="29" s="1"/>
  <c r="G65" i="29"/>
  <c r="H65" i="29" s="1"/>
  <c r="G67" i="29"/>
  <c r="H67" i="29" s="1"/>
  <c r="G72" i="29"/>
  <c r="H72" i="29" s="1"/>
  <c r="G68" i="29"/>
  <c r="H68" i="29" s="1"/>
  <c r="G77" i="29"/>
  <c r="H77" i="29" s="1"/>
  <c r="G58" i="29"/>
  <c r="H58" i="29" s="1"/>
  <c r="G50" i="29"/>
  <c r="H50" i="29" s="1"/>
  <c r="G49" i="29"/>
  <c r="H49" i="29" s="1"/>
  <c r="G51" i="29"/>
  <c r="H51" i="29" s="1"/>
  <c r="G55" i="29"/>
  <c r="H55" i="29" s="1"/>
  <c r="G56" i="29"/>
  <c r="H56" i="29" s="1"/>
  <c r="G54" i="29"/>
  <c r="H54" i="29" s="1"/>
  <c r="G59" i="29"/>
  <c r="H59" i="29" s="1"/>
  <c r="G48" i="29"/>
  <c r="H48" i="29" s="1"/>
  <c r="G57" i="29"/>
  <c r="H57" i="29" s="1"/>
  <c r="G52" i="29"/>
  <c r="H52" i="29" s="1"/>
  <c r="G53" i="29"/>
  <c r="H53" i="29" s="1"/>
  <c r="G42" i="29"/>
  <c r="H42" i="29" s="1"/>
  <c r="G33" i="29"/>
  <c r="H33" i="29" s="1"/>
  <c r="G39" i="29"/>
  <c r="H39" i="29" s="1"/>
  <c r="G35" i="29"/>
  <c r="H35" i="29" s="1"/>
  <c r="G30" i="29"/>
  <c r="H30" i="29" s="1"/>
  <c r="G27" i="29"/>
  <c r="H27" i="29" s="1"/>
  <c r="G38" i="29"/>
  <c r="H38" i="29" s="1"/>
  <c r="G28" i="29"/>
  <c r="H28" i="29" s="1"/>
  <c r="G34" i="29"/>
  <c r="H34" i="29" s="1"/>
  <c r="G29" i="29"/>
  <c r="H29" i="29" s="1"/>
  <c r="G37" i="29"/>
  <c r="H37" i="29" s="1"/>
  <c r="G31" i="29"/>
  <c r="H31" i="29" s="1"/>
  <c r="G40" i="29"/>
  <c r="H40" i="29" s="1"/>
  <c r="G32" i="29"/>
  <c r="H32" i="29" s="1"/>
  <c r="G43" i="29"/>
  <c r="H43" i="29" s="1"/>
  <c r="G36" i="29"/>
  <c r="H36" i="29" s="1"/>
  <c r="G10" i="29"/>
  <c r="H10" i="29" s="1"/>
  <c r="G9" i="29"/>
  <c r="H9" i="29" s="1"/>
  <c r="G14" i="29"/>
  <c r="H14" i="29" s="1"/>
  <c r="G21" i="29"/>
  <c r="H21" i="29" s="1"/>
  <c r="G17" i="29"/>
  <c r="H17" i="29" s="1"/>
  <c r="G13" i="29"/>
  <c r="H13" i="29" s="1"/>
  <c r="G16" i="29"/>
  <c r="H16" i="29" s="1"/>
  <c r="G20" i="29"/>
  <c r="H20" i="29" s="1"/>
  <c r="G18" i="29"/>
  <c r="H18" i="29" s="1"/>
  <c r="G15" i="29"/>
  <c r="H15" i="29" s="1"/>
  <c r="G19" i="29"/>
  <c r="H19" i="29" s="1"/>
  <c r="G12" i="29"/>
  <c r="H12" i="29" s="1"/>
  <c r="G8" i="29"/>
  <c r="H8" i="29" s="1"/>
  <c r="G11" i="29"/>
  <c r="H11" i="29" s="1"/>
  <c r="G60" i="17"/>
  <c r="H60" i="17" s="1"/>
  <c r="G66" i="17"/>
  <c r="H66" i="17" s="1"/>
  <c r="G62" i="17"/>
  <c r="H62" i="17" s="1"/>
  <c r="G65" i="17"/>
  <c r="H65" i="17" s="1"/>
  <c r="G59" i="17"/>
  <c r="H59" i="17" s="1"/>
  <c r="G64" i="17"/>
  <c r="H64" i="17" s="1"/>
  <c r="G63" i="17"/>
  <c r="H63" i="17" s="1"/>
  <c r="G61" i="17"/>
  <c r="H61" i="17" s="1"/>
  <c r="G48" i="17"/>
  <c r="H48" i="17" s="1"/>
  <c r="G51" i="17"/>
  <c r="H51" i="17" s="1"/>
  <c r="G50" i="17"/>
  <c r="H50" i="17" s="1"/>
  <c r="G49" i="17"/>
  <c r="H49" i="17" s="1"/>
  <c r="G47" i="17"/>
  <c r="H47" i="17" s="1"/>
  <c r="G46" i="17"/>
  <c r="H46" i="17" s="1"/>
  <c r="G40" i="17"/>
  <c r="H40" i="17" s="1"/>
  <c r="G37" i="17"/>
  <c r="H37" i="17" s="1"/>
  <c r="G35" i="17"/>
  <c r="H35" i="17" s="1"/>
  <c r="G34" i="17"/>
  <c r="H34" i="17" s="1"/>
  <c r="G36" i="17"/>
  <c r="H36" i="17" s="1"/>
  <c r="G39" i="17"/>
  <c r="H39" i="17" s="1"/>
  <c r="G38" i="17"/>
  <c r="H38" i="17" s="1"/>
  <c r="G33" i="17"/>
  <c r="H33" i="17" s="1"/>
  <c r="G21" i="17"/>
  <c r="H21" i="17" s="1"/>
  <c r="G28" i="17"/>
  <c r="H28" i="17" s="1"/>
  <c r="G24" i="17"/>
  <c r="H24" i="17" s="1"/>
  <c r="G25" i="17"/>
  <c r="H25" i="17" s="1"/>
  <c r="G27" i="17"/>
  <c r="H27" i="17" s="1"/>
  <c r="G26" i="17"/>
  <c r="H26" i="17" s="1"/>
  <c r="G22" i="17"/>
  <c r="H22" i="17" s="1"/>
  <c r="G23" i="17"/>
  <c r="H23" i="17" s="1"/>
  <c r="G15" i="17"/>
  <c r="H15" i="17" s="1"/>
  <c r="G12" i="17"/>
  <c r="H12" i="17" s="1"/>
  <c r="G10" i="17"/>
  <c r="H10" i="17" s="1"/>
  <c r="G11" i="17"/>
  <c r="H11" i="17" s="1"/>
  <c r="G9" i="17"/>
  <c r="H9" i="17" s="1"/>
  <c r="G14" i="17"/>
  <c r="H14" i="17" s="1"/>
  <c r="G13" i="17"/>
  <c r="H13" i="17" s="1"/>
  <c r="G33" i="16"/>
  <c r="H33" i="16" s="1"/>
  <c r="G34" i="16"/>
  <c r="H34" i="16" s="1"/>
  <c r="G35" i="16"/>
  <c r="H35" i="16" s="1"/>
  <c r="G32" i="16"/>
  <c r="H32" i="16" s="1"/>
  <c r="G31" i="16"/>
  <c r="H31" i="16" s="1"/>
  <c r="G21" i="16"/>
  <c r="G22" i="16"/>
  <c r="G23" i="16"/>
  <c r="G24" i="16"/>
  <c r="G25" i="16"/>
  <c r="G20" i="16"/>
  <c r="G19" i="16"/>
  <c r="G9" i="16"/>
  <c r="H9" i="16" s="1"/>
  <c r="G11" i="16"/>
  <c r="H11" i="16" s="1"/>
  <c r="G8" i="16"/>
  <c r="H8" i="16" s="1"/>
  <c r="G14" i="16"/>
  <c r="H14" i="16" s="1"/>
  <c r="G13" i="16"/>
  <c r="H13" i="16" s="1"/>
  <c r="G10" i="16"/>
  <c r="H10" i="16" s="1"/>
  <c r="G12" i="16"/>
  <c r="H12" i="16" s="1"/>
  <c r="G88" i="15"/>
  <c r="H88" i="15" s="1"/>
  <c r="G89" i="15"/>
  <c r="H89" i="15" s="1"/>
  <c r="G80" i="15"/>
  <c r="H80" i="15" s="1"/>
  <c r="G75" i="15"/>
  <c r="H75" i="15" s="1"/>
  <c r="G76" i="15"/>
  <c r="H76" i="15" s="1"/>
  <c r="G77" i="15"/>
  <c r="H77" i="15" s="1"/>
  <c r="G78" i="15"/>
  <c r="H78" i="15" s="1"/>
  <c r="G81" i="15"/>
  <c r="H81" i="15" s="1"/>
  <c r="G72" i="15"/>
  <c r="H72" i="15" s="1"/>
  <c r="G82" i="15"/>
  <c r="H82" i="15" s="1"/>
  <c r="G83" i="15"/>
  <c r="H83" i="15" s="1"/>
  <c r="G87" i="15"/>
  <c r="H87" i="15" s="1"/>
  <c r="G85" i="15"/>
  <c r="H85" i="15" s="1"/>
  <c r="G74" i="15"/>
  <c r="H74" i="15" s="1"/>
  <c r="G86" i="15"/>
  <c r="H86" i="15" s="1"/>
  <c r="G73" i="15"/>
  <c r="H73" i="15" s="1"/>
  <c r="G84" i="15"/>
  <c r="H84" i="15" s="1"/>
  <c r="G79" i="15"/>
  <c r="H79" i="15" s="1"/>
  <c r="G62" i="15"/>
  <c r="H62" i="15" s="1"/>
  <c r="G55" i="15"/>
  <c r="H55" i="15" s="1"/>
  <c r="G60" i="15"/>
  <c r="H60" i="15" s="1"/>
  <c r="G58" i="15"/>
  <c r="H58" i="15" s="1"/>
  <c r="G56" i="15"/>
  <c r="H56" i="15" s="1"/>
  <c r="G66" i="15"/>
  <c r="H66" i="15" s="1"/>
  <c r="G67" i="15"/>
  <c r="H67" i="15" s="1"/>
  <c r="G54" i="15"/>
  <c r="H54" i="15" s="1"/>
  <c r="G53" i="15"/>
  <c r="H53" i="15" s="1"/>
  <c r="G61" i="15"/>
  <c r="H61" i="15" s="1"/>
  <c r="G57" i="15"/>
  <c r="H57" i="15" s="1"/>
  <c r="G59" i="15"/>
  <c r="H59" i="15" s="1"/>
  <c r="G65" i="15"/>
  <c r="H65" i="15" s="1"/>
  <c r="G63" i="15"/>
  <c r="H63" i="15" s="1"/>
  <c r="G64" i="15"/>
  <c r="H64" i="15" s="1"/>
  <c r="G43" i="15"/>
  <c r="H43" i="15" s="1"/>
  <c r="G32" i="15"/>
  <c r="H32" i="15" s="1"/>
  <c r="G34" i="15"/>
  <c r="H34" i="15" s="1"/>
  <c r="G42" i="15"/>
  <c r="H42" i="15" s="1"/>
  <c r="G35" i="15"/>
  <c r="H35" i="15" s="1"/>
  <c r="G38" i="15"/>
  <c r="H38" i="15" s="1"/>
  <c r="G33" i="15"/>
  <c r="H33" i="15" s="1"/>
  <c r="G46" i="15"/>
  <c r="H46" i="15" s="1"/>
  <c r="G41" i="15"/>
  <c r="H41" i="15" s="1"/>
  <c r="G39" i="15"/>
  <c r="H39" i="15" s="1"/>
  <c r="G37" i="15"/>
  <c r="H37" i="15" s="1"/>
  <c r="G45" i="15"/>
  <c r="H45" i="15" s="1"/>
  <c r="G40" i="15"/>
  <c r="H40" i="15" s="1"/>
  <c r="G47" i="15"/>
  <c r="H47" i="15" s="1"/>
  <c r="G36" i="15"/>
  <c r="H36" i="15" s="1"/>
  <c r="G44" i="15"/>
  <c r="H44" i="15" s="1"/>
  <c r="G25" i="15"/>
  <c r="H25" i="15" s="1"/>
  <c r="G24" i="15"/>
  <c r="H24" i="15" s="1"/>
  <c r="G9" i="15"/>
  <c r="H9" i="15" s="1"/>
  <c r="G20" i="15"/>
  <c r="H20" i="15" s="1"/>
  <c r="G10" i="15"/>
  <c r="H10" i="15" s="1"/>
  <c r="G16" i="15"/>
  <c r="H16" i="15" s="1"/>
  <c r="G21" i="15"/>
  <c r="H21" i="15" s="1"/>
  <c r="G17" i="15"/>
  <c r="H17" i="15" s="1"/>
  <c r="G11" i="15"/>
  <c r="H11" i="15" s="1"/>
  <c r="G13" i="15"/>
  <c r="H13" i="15" s="1"/>
  <c r="G14" i="15"/>
  <c r="H14" i="15" s="1"/>
  <c r="G18" i="15"/>
  <c r="H18" i="15" s="1"/>
  <c r="G22" i="15"/>
  <c r="H22" i="15" s="1"/>
  <c r="G15" i="15"/>
  <c r="H15" i="15" s="1"/>
  <c r="G26" i="15"/>
  <c r="H26" i="15" s="1"/>
  <c r="G27" i="15"/>
  <c r="H27" i="15" s="1"/>
  <c r="G19" i="15"/>
  <c r="H19" i="15" s="1"/>
  <c r="G12" i="15"/>
  <c r="H12" i="15" s="1"/>
  <c r="G8" i="15"/>
  <c r="H8" i="15" s="1"/>
  <c r="G127" i="14"/>
  <c r="H127" i="14" s="1"/>
  <c r="G132" i="14"/>
  <c r="H132" i="14" s="1"/>
  <c r="G126" i="14"/>
  <c r="H126" i="14" s="1"/>
  <c r="G133" i="14"/>
  <c r="H133" i="14" s="1"/>
  <c r="G128" i="14"/>
  <c r="H128" i="14" s="1"/>
  <c r="G129" i="14"/>
  <c r="H129" i="14" s="1"/>
  <c r="G131" i="14"/>
  <c r="H131" i="14" s="1"/>
  <c r="G113" i="14"/>
  <c r="H113" i="14" s="1"/>
  <c r="G119" i="14"/>
  <c r="H119" i="14" s="1"/>
  <c r="G112" i="14"/>
  <c r="H112" i="14" s="1"/>
  <c r="G115" i="14"/>
  <c r="H115" i="14" s="1"/>
  <c r="G121" i="14"/>
  <c r="H121" i="14" s="1"/>
  <c r="G117" i="14"/>
  <c r="H117" i="14" s="1"/>
  <c r="G118" i="14"/>
  <c r="H118" i="14" s="1"/>
  <c r="G94" i="14"/>
  <c r="H94" i="14" s="1"/>
  <c r="G93" i="14"/>
  <c r="H93" i="14" s="1"/>
  <c r="G95" i="14"/>
  <c r="H95" i="14" s="1"/>
  <c r="G100" i="14"/>
  <c r="H100" i="14" s="1"/>
  <c r="G99" i="14"/>
  <c r="H99" i="14" s="1"/>
  <c r="G97" i="14"/>
  <c r="H97" i="14" s="1"/>
  <c r="G98" i="14"/>
  <c r="H98" i="14" s="1"/>
  <c r="G96" i="14"/>
  <c r="H96" i="14" s="1"/>
  <c r="G81" i="14"/>
  <c r="H81" i="14" s="1"/>
  <c r="G77" i="14"/>
  <c r="H77" i="14" s="1"/>
  <c r="G75" i="14"/>
  <c r="H75" i="14" s="1"/>
  <c r="G86" i="14"/>
  <c r="H86" i="14" s="1"/>
  <c r="G73" i="14"/>
  <c r="H73" i="14" s="1"/>
  <c r="G80" i="14"/>
  <c r="H80" i="14" s="1"/>
  <c r="G71" i="14"/>
  <c r="H71" i="14" s="1"/>
  <c r="G78" i="14"/>
  <c r="H78" i="14" s="1"/>
  <c r="G76" i="14"/>
  <c r="H76" i="14" s="1"/>
  <c r="G72" i="14"/>
  <c r="H72" i="14" s="1"/>
  <c r="G84" i="14"/>
  <c r="H84" i="14" s="1"/>
  <c r="G82" i="14"/>
  <c r="H82" i="14" s="1"/>
  <c r="G85" i="14"/>
  <c r="H85" i="14" s="1"/>
  <c r="G87" i="14"/>
  <c r="H87" i="14" s="1"/>
  <c r="G79" i="14"/>
  <c r="H79" i="14" s="1"/>
  <c r="G74" i="14"/>
  <c r="H74" i="14" s="1"/>
  <c r="G64" i="14"/>
  <c r="H64" i="14" s="1"/>
  <c r="G66" i="14"/>
  <c r="H66" i="14" s="1"/>
  <c r="G59" i="14"/>
  <c r="H59" i="14" s="1"/>
  <c r="G56" i="14"/>
  <c r="H56" i="14" s="1"/>
  <c r="G55" i="14"/>
  <c r="H55" i="14" s="1"/>
  <c r="G54" i="14"/>
  <c r="H54" i="14" s="1"/>
  <c r="G57" i="14"/>
  <c r="H57" i="14" s="1"/>
  <c r="G63" i="14"/>
  <c r="H63" i="14" s="1"/>
  <c r="G58" i="14"/>
  <c r="H58" i="14" s="1"/>
  <c r="G65" i="14"/>
  <c r="H65" i="14" s="1"/>
  <c r="G60" i="14"/>
  <c r="H60" i="14" s="1"/>
  <c r="G61" i="14"/>
  <c r="H61" i="14" s="1"/>
  <c r="G62" i="14"/>
  <c r="H62" i="14" s="1"/>
  <c r="G47" i="14"/>
  <c r="H47" i="14" s="1"/>
  <c r="G42" i="14"/>
  <c r="H42" i="14" s="1"/>
  <c r="G44" i="14"/>
  <c r="H44" i="14" s="1"/>
  <c r="G48" i="14"/>
  <c r="H48" i="14" s="1"/>
  <c r="G40" i="14"/>
  <c r="H40" i="14" s="1"/>
  <c r="G38" i="14"/>
  <c r="H38" i="14" s="1"/>
  <c r="G39" i="14"/>
  <c r="H39" i="14" s="1"/>
  <c r="G37" i="14"/>
  <c r="H37" i="14" s="1"/>
  <c r="G41" i="14"/>
  <c r="H41" i="14" s="1"/>
  <c r="G46" i="14"/>
  <c r="H46" i="14" s="1"/>
  <c r="G45" i="14"/>
  <c r="H45" i="14" s="1"/>
  <c r="G49" i="14"/>
  <c r="H49" i="14" s="1"/>
  <c r="G43" i="14"/>
  <c r="H43" i="14" s="1"/>
  <c r="G31" i="14"/>
  <c r="H31" i="14" s="1"/>
  <c r="G29" i="14"/>
  <c r="H29" i="14" s="1"/>
  <c r="G28" i="14"/>
  <c r="H28" i="14" s="1"/>
  <c r="G26" i="14"/>
  <c r="H26" i="14" s="1"/>
  <c r="G30" i="14"/>
  <c r="H30" i="14" s="1"/>
  <c r="G27" i="14"/>
  <c r="H27" i="14" s="1"/>
  <c r="G25" i="14"/>
  <c r="H25" i="14" s="1"/>
  <c r="G11" i="14"/>
  <c r="H11" i="14" s="1"/>
  <c r="G10" i="14"/>
  <c r="H10" i="14" s="1"/>
  <c r="G8" i="14"/>
  <c r="H8" i="14" s="1"/>
  <c r="G16" i="14"/>
  <c r="H16" i="14" s="1"/>
  <c r="G9" i="14"/>
  <c r="H9" i="14" s="1"/>
  <c r="G13" i="14"/>
  <c r="H13" i="14" s="1"/>
  <c r="G22" i="11"/>
  <c r="H22" i="11" s="1"/>
  <c r="G23" i="11"/>
  <c r="H23" i="11" s="1"/>
  <c r="G24" i="11"/>
  <c r="H24" i="11" s="1"/>
  <c r="G25" i="11"/>
  <c r="H25" i="11" s="1"/>
  <c r="G26" i="11"/>
  <c r="H26" i="11" s="1"/>
  <c r="G27" i="11"/>
  <c r="H27" i="11" s="1"/>
  <c r="G28" i="11"/>
  <c r="H28" i="11" s="1"/>
  <c r="G8" i="11"/>
  <c r="G9" i="11"/>
  <c r="G10" i="11"/>
  <c r="G11" i="11"/>
  <c r="G12" i="11"/>
  <c r="G13" i="11"/>
  <c r="G14" i="11"/>
  <c r="G15" i="11"/>
  <c r="G49" i="7"/>
  <c r="H49" i="7" s="1"/>
  <c r="G46" i="7"/>
  <c r="H46" i="7" s="1"/>
  <c r="G44" i="7"/>
  <c r="H44" i="7" s="1"/>
  <c r="G40" i="7"/>
  <c r="H40" i="7" s="1"/>
  <c r="G43" i="7"/>
  <c r="H43" i="7" s="1"/>
  <c r="G45" i="7"/>
  <c r="H45" i="7" s="1"/>
  <c r="G42" i="7"/>
  <c r="H42" i="7" s="1"/>
  <c r="G47" i="7"/>
  <c r="H47" i="7" s="1"/>
  <c r="G41" i="7"/>
  <c r="H41" i="7" s="1"/>
  <c r="G48" i="7"/>
  <c r="H48" i="7" s="1"/>
  <c r="G32" i="7"/>
  <c r="H32" i="7" s="1"/>
  <c r="G29" i="7"/>
  <c r="H29" i="7" s="1"/>
  <c r="G28" i="7"/>
  <c r="H28" i="7" s="1"/>
  <c r="G30" i="7"/>
  <c r="H30" i="7" s="1"/>
  <c r="G26" i="7"/>
  <c r="H26" i="7" s="1"/>
  <c r="G31" i="7"/>
  <c r="H31" i="7" s="1"/>
  <c r="G27" i="7"/>
  <c r="H27" i="7" s="1"/>
  <c r="G33" i="7"/>
  <c r="H33" i="7" s="1"/>
  <c r="G34" i="7"/>
  <c r="H34" i="7" s="1"/>
  <c r="G18" i="7"/>
  <c r="H18" i="7" s="1"/>
  <c r="G15" i="7"/>
  <c r="H15" i="7" s="1"/>
  <c r="G17" i="7"/>
  <c r="H17" i="7" s="1"/>
  <c r="G13" i="7"/>
  <c r="H13" i="7" s="1"/>
  <c r="G14" i="7"/>
  <c r="H14" i="7" s="1"/>
  <c r="G8" i="7"/>
  <c r="H8" i="7" s="1"/>
  <c r="G9" i="7"/>
  <c r="H9" i="7" s="1"/>
  <c r="G21" i="7"/>
  <c r="H21" i="7" s="1"/>
  <c r="G16" i="7"/>
  <c r="H16" i="7" s="1"/>
  <c r="G11" i="7"/>
  <c r="H11" i="7" s="1"/>
  <c r="G20" i="7"/>
  <c r="H20" i="7" s="1"/>
  <c r="G12" i="7"/>
  <c r="H12" i="7" s="1"/>
  <c r="G10" i="7"/>
  <c r="H10" i="7" s="1"/>
  <c r="G19" i="7"/>
  <c r="H19" i="7" s="1"/>
  <c r="G267" i="13"/>
  <c r="H267" i="13" s="1"/>
  <c r="G266" i="13"/>
  <c r="H266" i="13" s="1"/>
  <c r="G265" i="13"/>
  <c r="H265" i="13" s="1"/>
  <c r="G271" i="13"/>
  <c r="H271" i="13" s="1"/>
  <c r="G273" i="13"/>
  <c r="H273" i="13" s="1"/>
  <c r="G274" i="13"/>
  <c r="H274" i="13" s="1"/>
  <c r="G275" i="13"/>
  <c r="H275" i="13" s="1"/>
  <c r="G268" i="13"/>
  <c r="H268" i="13" s="1"/>
  <c r="G269" i="13"/>
  <c r="H269" i="13" s="1"/>
  <c r="G272" i="13"/>
  <c r="H272" i="13" s="1"/>
  <c r="G276" i="13"/>
  <c r="H276" i="13" s="1"/>
  <c r="G279" i="13"/>
  <c r="H279" i="13" s="1"/>
  <c r="G249" i="13"/>
  <c r="H249" i="13" s="1"/>
  <c r="G247" i="13"/>
  <c r="H247" i="13" s="1"/>
  <c r="G246" i="13"/>
  <c r="H246" i="13" s="1"/>
  <c r="G256" i="13"/>
  <c r="H256" i="13" s="1"/>
  <c r="G259" i="13"/>
  <c r="H259" i="13" s="1"/>
  <c r="G255" i="13"/>
  <c r="H255" i="13" s="1"/>
  <c r="G257" i="13"/>
  <c r="H257" i="13" s="1"/>
  <c r="G252" i="13"/>
  <c r="H252" i="13" s="1"/>
  <c r="G250" i="13"/>
  <c r="H250" i="13" s="1"/>
  <c r="G254" i="13"/>
  <c r="H254" i="13" s="1"/>
  <c r="G260" i="13"/>
  <c r="H260" i="13" s="1"/>
  <c r="G258" i="13"/>
  <c r="H258" i="13" s="1"/>
  <c r="G253" i="13"/>
  <c r="H253" i="13" s="1"/>
  <c r="G248" i="13"/>
  <c r="H248" i="13" s="1"/>
  <c r="G251" i="13"/>
  <c r="H251" i="13" s="1"/>
  <c r="G228" i="13"/>
  <c r="H228" i="13" s="1"/>
  <c r="G240" i="13"/>
  <c r="H240" i="13" s="1"/>
  <c r="G241" i="13"/>
  <c r="H241" i="13" s="1"/>
  <c r="G227" i="13"/>
  <c r="H227" i="13" s="1"/>
  <c r="G239" i="13"/>
  <c r="H239" i="13" s="1"/>
  <c r="G236" i="13"/>
  <c r="H236" i="13" s="1"/>
  <c r="G237" i="13"/>
  <c r="H237" i="13" s="1"/>
  <c r="G232" i="13"/>
  <c r="H232" i="13" s="1"/>
  <c r="G238" i="13"/>
  <c r="H238" i="13" s="1"/>
  <c r="G231" i="13"/>
  <c r="H231" i="13" s="1"/>
  <c r="G235" i="13"/>
  <c r="H235" i="13" s="1"/>
  <c r="G230" i="13"/>
  <c r="H230" i="13" s="1"/>
  <c r="G229" i="13"/>
  <c r="H229" i="13" s="1"/>
  <c r="G210" i="13"/>
  <c r="H210" i="13" s="1"/>
  <c r="G220" i="13"/>
  <c r="H220" i="13" s="1"/>
  <c r="G215" i="13"/>
  <c r="H215" i="13" s="1"/>
  <c r="G211" i="13"/>
  <c r="H211" i="13" s="1"/>
  <c r="G214" i="13"/>
  <c r="H214" i="13" s="1"/>
  <c r="G218" i="13"/>
  <c r="H218" i="13" s="1"/>
  <c r="G219" i="13"/>
  <c r="H219" i="13" s="1"/>
  <c r="G217" i="13"/>
  <c r="H217" i="13" s="1"/>
  <c r="G212" i="13"/>
  <c r="H212" i="13" s="1"/>
  <c r="G216" i="13"/>
  <c r="H216" i="13" s="1"/>
  <c r="G213" i="13"/>
  <c r="H213" i="13" s="1"/>
  <c r="G203" i="13"/>
  <c r="H203" i="13" s="1"/>
  <c r="G204" i="13"/>
  <c r="H204" i="13" s="1"/>
  <c r="G198" i="13"/>
  <c r="H198" i="13" s="1"/>
  <c r="G195" i="13"/>
  <c r="H195" i="13" s="1"/>
  <c r="G193" i="13"/>
  <c r="H193" i="13" s="1"/>
  <c r="G192" i="13"/>
  <c r="H192" i="13" s="1"/>
  <c r="G196" i="13"/>
  <c r="H196" i="13" s="1"/>
  <c r="G194" i="13"/>
  <c r="H194" i="13" s="1"/>
  <c r="G201" i="13"/>
  <c r="H201" i="13" s="1"/>
  <c r="G200" i="13"/>
  <c r="H200" i="13" s="1"/>
  <c r="G199" i="13"/>
  <c r="H199" i="13" s="1"/>
  <c r="G197" i="13"/>
  <c r="H197" i="13" s="1"/>
  <c r="G202" i="13"/>
  <c r="H202" i="13" s="1"/>
  <c r="G177" i="13"/>
  <c r="H177" i="13" s="1"/>
  <c r="G169" i="13"/>
  <c r="H169" i="13" s="1"/>
  <c r="G176" i="13"/>
  <c r="H176" i="13" s="1"/>
  <c r="G175" i="13"/>
  <c r="H175" i="13" s="1"/>
  <c r="G182" i="13"/>
  <c r="H182" i="13" s="1"/>
  <c r="G172" i="13"/>
  <c r="H172" i="13" s="1"/>
  <c r="G174" i="13"/>
  <c r="H174" i="13" s="1"/>
  <c r="G180" i="13"/>
  <c r="H180" i="13" s="1"/>
  <c r="G170" i="13"/>
  <c r="H170" i="13" s="1"/>
  <c r="G168" i="13"/>
  <c r="H168" i="13" s="1"/>
  <c r="G178" i="13"/>
  <c r="H178" i="13" s="1"/>
  <c r="G171" i="13"/>
  <c r="H171" i="13" s="1"/>
  <c r="G181" i="13"/>
  <c r="H181" i="13" s="1"/>
  <c r="G159" i="13"/>
  <c r="H159" i="13" s="1"/>
  <c r="G149" i="13"/>
  <c r="H149" i="13" s="1"/>
  <c r="G155" i="13"/>
  <c r="H155" i="13" s="1"/>
  <c r="G153" i="13"/>
  <c r="H153" i="13" s="1"/>
  <c r="G151" i="13"/>
  <c r="H151" i="13" s="1"/>
  <c r="G150" i="13"/>
  <c r="H150" i="13" s="1"/>
  <c r="G162" i="13"/>
  <c r="H162" i="13" s="1"/>
  <c r="G156" i="13"/>
  <c r="H156" i="13" s="1"/>
  <c r="G160" i="13"/>
  <c r="H160" i="13" s="1"/>
  <c r="G154" i="13"/>
  <c r="H154" i="13" s="1"/>
  <c r="G148" i="13"/>
  <c r="H148" i="13" s="1"/>
  <c r="G161" i="13"/>
  <c r="H161" i="13" s="1"/>
  <c r="G132" i="13"/>
  <c r="H132" i="13" s="1"/>
  <c r="G137" i="13"/>
  <c r="H137" i="13" s="1"/>
  <c r="G141" i="13"/>
  <c r="H141" i="13" s="1"/>
  <c r="G138" i="13"/>
  <c r="H138" i="13" s="1"/>
  <c r="G136" i="13"/>
  <c r="H136" i="13" s="1"/>
  <c r="G135" i="13"/>
  <c r="H135" i="13" s="1"/>
  <c r="G143" i="13"/>
  <c r="H143" i="13" s="1"/>
  <c r="G142" i="13"/>
  <c r="H142" i="13" s="1"/>
  <c r="G140" i="13"/>
  <c r="H140" i="13" s="1"/>
  <c r="G134" i="13"/>
  <c r="H134" i="13" s="1"/>
  <c r="G133" i="13"/>
  <c r="H133" i="13" s="1"/>
  <c r="G112" i="13"/>
  <c r="H112" i="13" s="1"/>
  <c r="G117" i="13"/>
  <c r="H117" i="13" s="1"/>
  <c r="G119" i="13"/>
  <c r="H119" i="13" s="1"/>
  <c r="G124" i="13"/>
  <c r="H124" i="13" s="1"/>
  <c r="G126" i="13"/>
  <c r="H126" i="13" s="1"/>
  <c r="G120" i="13"/>
  <c r="H120" i="13" s="1"/>
  <c r="G113" i="13"/>
  <c r="H113" i="13" s="1"/>
  <c r="G123" i="13"/>
  <c r="H123" i="13" s="1"/>
  <c r="G125" i="13"/>
  <c r="H125" i="13" s="1"/>
  <c r="G114" i="13"/>
  <c r="H114" i="13" s="1"/>
  <c r="G121" i="13"/>
  <c r="H121" i="13" s="1"/>
  <c r="G118" i="13"/>
  <c r="H118" i="13" s="1"/>
  <c r="G115" i="13"/>
  <c r="H115" i="13" s="1"/>
  <c r="G116" i="13"/>
  <c r="H116" i="13" s="1"/>
  <c r="G122" i="13"/>
  <c r="H122" i="13" s="1"/>
  <c r="G101" i="13"/>
  <c r="H101" i="13" s="1"/>
  <c r="G105" i="13"/>
  <c r="H105" i="13" s="1"/>
  <c r="G100" i="13"/>
  <c r="H100" i="13" s="1"/>
  <c r="G99" i="13"/>
  <c r="H99" i="13" s="1"/>
  <c r="G106" i="13"/>
  <c r="H106" i="13" s="1"/>
  <c r="G104" i="13"/>
  <c r="H104" i="13" s="1"/>
  <c r="G97" i="13"/>
  <c r="H97" i="13" s="1"/>
  <c r="G107" i="13"/>
  <c r="H107" i="13" s="1"/>
  <c r="G103" i="13"/>
  <c r="H103" i="13" s="1"/>
  <c r="G98" i="13"/>
  <c r="H98" i="13" s="1"/>
  <c r="G102" i="13"/>
  <c r="H102" i="13" s="1"/>
  <c r="G85" i="13"/>
  <c r="H85" i="13" s="1"/>
  <c r="G91" i="13"/>
  <c r="H91" i="13" s="1"/>
  <c r="G81" i="13"/>
  <c r="H81" i="13" s="1"/>
  <c r="G87" i="13"/>
  <c r="H87" i="13" s="1"/>
  <c r="G84" i="13"/>
  <c r="H84" i="13" s="1"/>
  <c r="G90" i="13"/>
  <c r="H90" i="13" s="1"/>
  <c r="G83" i="13"/>
  <c r="H83" i="13" s="1"/>
  <c r="G82" i="13"/>
  <c r="H82" i="13" s="1"/>
  <c r="G86" i="13"/>
  <c r="H86" i="13" s="1"/>
  <c r="G88" i="13"/>
  <c r="H88" i="13" s="1"/>
  <c r="G89" i="13"/>
  <c r="H89" i="13" s="1"/>
  <c r="G72" i="13"/>
  <c r="H72" i="13" s="1"/>
  <c r="G73" i="13"/>
  <c r="H73" i="13" s="1"/>
  <c r="G62" i="13"/>
  <c r="H62" i="13" s="1"/>
  <c r="G74" i="13"/>
  <c r="H74" i="13" s="1"/>
  <c r="G63" i="13"/>
  <c r="H63" i="13" s="1"/>
  <c r="G60" i="13"/>
  <c r="H60" i="13" s="1"/>
  <c r="G66" i="13"/>
  <c r="H66" i="13" s="1"/>
  <c r="G64" i="13"/>
  <c r="H64" i="13" s="1"/>
  <c r="G75" i="13"/>
  <c r="H75" i="13" s="1"/>
  <c r="G68" i="13"/>
  <c r="H68" i="13" s="1"/>
  <c r="G69" i="13"/>
  <c r="H69" i="13" s="1"/>
  <c r="G65" i="13"/>
  <c r="H65" i="13" s="1"/>
  <c r="G67" i="13"/>
  <c r="H67" i="13" s="1"/>
  <c r="G61" i="13"/>
  <c r="H61" i="13" s="1"/>
  <c r="G70" i="13"/>
  <c r="H70" i="13" s="1"/>
  <c r="G71" i="13"/>
  <c r="H71" i="13" s="1"/>
  <c r="G51" i="13"/>
  <c r="H51" i="13" s="1"/>
  <c r="G40" i="13"/>
  <c r="H40" i="13" s="1"/>
  <c r="G44" i="13"/>
  <c r="H44" i="13" s="1"/>
  <c r="G46" i="13"/>
  <c r="H46" i="13" s="1"/>
  <c r="G38" i="13"/>
  <c r="H38" i="13" s="1"/>
  <c r="G47" i="13"/>
  <c r="H47" i="13" s="1"/>
  <c r="G37" i="13"/>
  <c r="H37" i="13" s="1"/>
  <c r="G49" i="13"/>
  <c r="H49" i="13" s="1"/>
  <c r="G53" i="13"/>
  <c r="H53" i="13" s="1"/>
  <c r="G42" i="13"/>
  <c r="H42" i="13" s="1"/>
  <c r="G35" i="13"/>
  <c r="H35" i="13" s="1"/>
  <c r="G45" i="13"/>
  <c r="H45" i="13" s="1"/>
  <c r="G43" i="13"/>
  <c r="H43" i="13" s="1"/>
  <c r="G41" i="13"/>
  <c r="H41" i="13" s="1"/>
  <c r="G39" i="13"/>
  <c r="H39" i="13" s="1"/>
  <c r="G54" i="13"/>
  <c r="H54" i="13" s="1"/>
  <c r="G52" i="13"/>
  <c r="H52" i="13" s="1"/>
  <c r="G48" i="13"/>
  <c r="H48" i="13" s="1"/>
  <c r="G36" i="13"/>
  <c r="H36" i="13" s="1"/>
  <c r="G50" i="13"/>
  <c r="H50" i="13" s="1"/>
  <c r="G23" i="13"/>
  <c r="H23" i="13" s="1"/>
  <c r="G26" i="13"/>
  <c r="H26" i="13" s="1"/>
  <c r="G20" i="13"/>
  <c r="H20" i="13" s="1"/>
  <c r="G11" i="13"/>
  <c r="H11" i="13" s="1"/>
  <c r="G21" i="13"/>
  <c r="H21" i="13" s="1"/>
  <c r="G30" i="13"/>
  <c r="H30" i="13" s="1"/>
  <c r="G8" i="13"/>
  <c r="H8" i="13" s="1"/>
  <c r="G14" i="13"/>
  <c r="H14" i="13" s="1"/>
  <c r="G19" i="13"/>
  <c r="H19" i="13" s="1"/>
  <c r="G9" i="13"/>
  <c r="H9" i="13" s="1"/>
  <c r="G29" i="13"/>
  <c r="H29" i="13" s="1"/>
  <c r="G16" i="13"/>
  <c r="H16" i="13" s="1"/>
  <c r="G15" i="13"/>
  <c r="H15" i="13" s="1"/>
  <c r="G27" i="13"/>
  <c r="H27" i="13" s="1"/>
  <c r="G10" i="13"/>
  <c r="H10" i="13" s="1"/>
  <c r="G17" i="13"/>
  <c r="H17" i="13" s="1"/>
  <c r="G28" i="13"/>
  <c r="H28" i="13" s="1"/>
  <c r="G24" i="13"/>
  <c r="H24" i="13" s="1"/>
  <c r="G22" i="13"/>
  <c r="H22" i="13" s="1"/>
  <c r="G13" i="13"/>
  <c r="H13" i="13" s="1"/>
  <c r="G18" i="13"/>
  <c r="H18" i="13" s="1"/>
  <c r="G25" i="13"/>
  <c r="H25" i="13" s="1"/>
  <c r="G12" i="13"/>
  <c r="H12" i="13" s="1"/>
  <c r="G108" i="12"/>
  <c r="H108" i="12" s="1"/>
  <c r="G109" i="12"/>
  <c r="H109" i="12" s="1"/>
  <c r="G110" i="12"/>
  <c r="H110" i="12" s="1"/>
  <c r="G111" i="12"/>
  <c r="H111" i="12" s="1"/>
  <c r="G112" i="12"/>
  <c r="H112" i="12" s="1"/>
  <c r="G113" i="12"/>
  <c r="H113" i="12" s="1"/>
  <c r="G114" i="12"/>
  <c r="H114" i="12" s="1"/>
  <c r="G115" i="12"/>
  <c r="H115" i="12" s="1"/>
  <c r="G116" i="12"/>
  <c r="H116" i="12" s="1"/>
  <c r="G117" i="12"/>
  <c r="H117" i="12" s="1"/>
  <c r="G118" i="12"/>
  <c r="H118" i="12" s="1"/>
  <c r="G119" i="12"/>
  <c r="H119" i="12" s="1"/>
  <c r="G120" i="12"/>
  <c r="H120" i="12" s="1"/>
  <c r="G96" i="12"/>
  <c r="H96" i="12" s="1"/>
  <c r="G102" i="12"/>
  <c r="H102" i="12" s="1"/>
  <c r="G101" i="12"/>
  <c r="H101" i="12" s="1"/>
  <c r="G94" i="12"/>
  <c r="H94" i="12" s="1"/>
  <c r="G88" i="12"/>
  <c r="H88" i="12" s="1"/>
  <c r="G100" i="12"/>
  <c r="H100" i="12" s="1"/>
  <c r="G91" i="12"/>
  <c r="H91" i="12" s="1"/>
  <c r="G87" i="12"/>
  <c r="H87" i="12" s="1"/>
  <c r="G95" i="12"/>
  <c r="H95" i="12" s="1"/>
  <c r="G97" i="12"/>
  <c r="H97" i="12" s="1"/>
  <c r="G92" i="12"/>
  <c r="H92" i="12" s="1"/>
  <c r="G90" i="12"/>
  <c r="H90" i="12" s="1"/>
  <c r="G99" i="12"/>
  <c r="H99" i="12" s="1"/>
  <c r="G93" i="12"/>
  <c r="H93" i="12" s="1"/>
  <c r="G89" i="12"/>
  <c r="H89" i="12" s="1"/>
  <c r="G98" i="12"/>
  <c r="H98" i="12" s="1"/>
  <c r="G78" i="12"/>
  <c r="H78" i="12" s="1"/>
  <c r="G71" i="12"/>
  <c r="H71" i="12" s="1"/>
  <c r="G73" i="12"/>
  <c r="H73" i="12" s="1"/>
  <c r="G80" i="12"/>
  <c r="H80" i="12" s="1"/>
  <c r="G72" i="12"/>
  <c r="H72" i="12" s="1"/>
  <c r="G79" i="12"/>
  <c r="H79" i="12" s="1"/>
  <c r="G77" i="12"/>
  <c r="H77" i="12" s="1"/>
  <c r="G74" i="12"/>
  <c r="H74" i="12" s="1"/>
  <c r="G76" i="12"/>
  <c r="H76" i="12" s="1"/>
  <c r="G81" i="12"/>
  <c r="H81" i="12" s="1"/>
  <c r="G70" i="12"/>
  <c r="H70" i="12" s="1"/>
  <c r="G75" i="12"/>
  <c r="H75" i="12" s="1"/>
  <c r="G59" i="12"/>
  <c r="H59" i="12" s="1"/>
  <c r="G63" i="12"/>
  <c r="H63" i="12" s="1"/>
  <c r="G54" i="12"/>
  <c r="H54" i="12" s="1"/>
  <c r="G52" i="12"/>
  <c r="H52" i="12" s="1"/>
  <c r="G56" i="12"/>
  <c r="H56" i="12" s="1"/>
  <c r="G53" i="12"/>
  <c r="H53" i="12" s="1"/>
  <c r="G57" i="12"/>
  <c r="H57" i="12" s="1"/>
  <c r="G55" i="12"/>
  <c r="H55" i="12" s="1"/>
  <c r="G62" i="12"/>
  <c r="H62" i="12" s="1"/>
  <c r="G60" i="12"/>
  <c r="H60" i="12" s="1"/>
  <c r="G61" i="12"/>
  <c r="H61" i="12" s="1"/>
  <c r="G58" i="12"/>
  <c r="H58" i="12" s="1"/>
  <c r="G64" i="12"/>
  <c r="H64" i="12" s="1"/>
  <c r="G31" i="12"/>
  <c r="H31" i="12" s="1"/>
  <c r="G32" i="12"/>
  <c r="H32" i="12" s="1"/>
  <c r="G33" i="12"/>
  <c r="H33" i="12" s="1"/>
  <c r="G35" i="12"/>
  <c r="H35" i="12" s="1"/>
  <c r="G36" i="12"/>
  <c r="H36" i="12" s="1"/>
  <c r="G38" i="12"/>
  <c r="H38" i="12" s="1"/>
  <c r="G37" i="12"/>
  <c r="H37" i="12" s="1"/>
  <c r="G43" i="12"/>
  <c r="H43" i="12" s="1"/>
  <c r="G40" i="12"/>
  <c r="H40" i="12" s="1"/>
  <c r="G39" i="12"/>
  <c r="H39" i="12" s="1"/>
  <c r="G46" i="12"/>
  <c r="H46" i="12" s="1"/>
  <c r="G44" i="12"/>
  <c r="H44" i="12" s="1"/>
  <c r="G41" i="12"/>
  <c r="H41" i="12" s="1"/>
  <c r="G34" i="12"/>
  <c r="H34" i="12" s="1"/>
  <c r="G42" i="12"/>
  <c r="H42" i="12" s="1"/>
  <c r="G45" i="12"/>
  <c r="H45" i="12" s="1"/>
  <c r="G8" i="12"/>
  <c r="H8" i="12" s="1"/>
  <c r="G9" i="12"/>
  <c r="H9" i="12" s="1"/>
  <c r="G10" i="12"/>
  <c r="H10" i="12" s="1"/>
  <c r="G11" i="12"/>
  <c r="H11" i="12" s="1"/>
  <c r="G12" i="12"/>
  <c r="H12" i="12" s="1"/>
  <c r="G13" i="12"/>
  <c r="H13" i="12" s="1"/>
  <c r="G14" i="12"/>
  <c r="H14" i="12" s="1"/>
  <c r="G15" i="12"/>
  <c r="H15" i="12" s="1"/>
  <c r="G16" i="12"/>
  <c r="H16" i="12" s="1"/>
  <c r="G17" i="12"/>
  <c r="H17" i="12" s="1"/>
  <c r="G18" i="12"/>
  <c r="H18" i="12" s="1"/>
  <c r="G19" i="12"/>
  <c r="H19" i="12" s="1"/>
  <c r="G20" i="12"/>
  <c r="H20" i="12" s="1"/>
  <c r="G21" i="12"/>
  <c r="H21" i="12" s="1"/>
  <c r="G22" i="12"/>
  <c r="H22" i="12" s="1"/>
  <c r="G23" i="12"/>
  <c r="H23" i="12" s="1"/>
  <c r="G24" i="12"/>
  <c r="H24" i="12" s="1"/>
  <c r="G25" i="12"/>
  <c r="H25" i="12" s="1"/>
  <c r="G26" i="12"/>
  <c r="H26" i="12" s="1"/>
  <c r="G87" i="5"/>
  <c r="H87" i="5" s="1"/>
  <c r="G95" i="5"/>
  <c r="H95" i="5" s="1"/>
  <c r="G84" i="5"/>
  <c r="H84" i="5" s="1"/>
  <c r="G97" i="5"/>
  <c r="H97" i="5" s="1"/>
  <c r="G85" i="5"/>
  <c r="H85" i="5" s="1"/>
  <c r="G90" i="5"/>
  <c r="H90" i="5" s="1"/>
  <c r="G86" i="5"/>
  <c r="H86" i="5" s="1"/>
  <c r="G93" i="5"/>
  <c r="H93" i="5" s="1"/>
  <c r="G89" i="5"/>
  <c r="H89" i="5" s="1"/>
  <c r="G98" i="5"/>
  <c r="H98" i="5" s="1"/>
  <c r="G88" i="5"/>
  <c r="H88" i="5" s="1"/>
  <c r="G91" i="5"/>
  <c r="H91" i="5" s="1"/>
  <c r="G92" i="5"/>
  <c r="H92" i="5" s="1"/>
  <c r="G83" i="5"/>
  <c r="H83" i="5" s="1"/>
  <c r="G94" i="5"/>
  <c r="H94" i="5" s="1"/>
  <c r="G96" i="5"/>
  <c r="H96" i="5" s="1"/>
  <c r="G78" i="5"/>
  <c r="H78" i="5" s="1"/>
  <c r="G65" i="5"/>
  <c r="H65" i="5" s="1"/>
  <c r="G73" i="5"/>
  <c r="H73" i="5" s="1"/>
  <c r="G63" i="5"/>
  <c r="H63" i="5" s="1"/>
  <c r="G68" i="5"/>
  <c r="H68" i="5" s="1"/>
  <c r="G69" i="5"/>
  <c r="H69" i="5" s="1"/>
  <c r="G70" i="5"/>
  <c r="H70" i="5" s="1"/>
  <c r="G72" i="5"/>
  <c r="H72" i="5" s="1"/>
  <c r="G77" i="5"/>
  <c r="H77" i="5" s="1"/>
  <c r="G64" i="5"/>
  <c r="H64" i="5" s="1"/>
  <c r="G67" i="5"/>
  <c r="H67" i="5" s="1"/>
  <c r="G71" i="5"/>
  <c r="H71" i="5" s="1"/>
  <c r="G66" i="5"/>
  <c r="H66" i="5" s="1"/>
  <c r="G46" i="5"/>
  <c r="H46" i="5" s="1"/>
  <c r="G56" i="5"/>
  <c r="H56" i="5" s="1"/>
  <c r="G43" i="5"/>
  <c r="H43" i="5" s="1"/>
  <c r="G48" i="5"/>
  <c r="H48" i="5" s="1"/>
  <c r="G52" i="5"/>
  <c r="H52" i="5" s="1"/>
  <c r="G53" i="5"/>
  <c r="H53" i="5" s="1"/>
  <c r="G47" i="5"/>
  <c r="H47" i="5" s="1"/>
  <c r="G55" i="5"/>
  <c r="H55" i="5" s="1"/>
  <c r="G57" i="5"/>
  <c r="H57" i="5" s="1"/>
  <c r="G49" i="5"/>
  <c r="H49" i="5" s="1"/>
  <c r="G51" i="5"/>
  <c r="H51" i="5" s="1"/>
  <c r="G45" i="5"/>
  <c r="H45" i="5" s="1"/>
  <c r="G44" i="5"/>
  <c r="H44" i="5" s="1"/>
  <c r="G50" i="5"/>
  <c r="H50" i="5" s="1"/>
  <c r="G54" i="5"/>
  <c r="H54" i="5" s="1"/>
  <c r="G33" i="5"/>
  <c r="H33" i="5" s="1"/>
  <c r="G35" i="5"/>
  <c r="H35" i="5" s="1"/>
  <c r="G32" i="5"/>
  <c r="H32" i="5" s="1"/>
  <c r="G29" i="5"/>
  <c r="H29" i="5" s="1"/>
  <c r="G34" i="5"/>
  <c r="H34" i="5" s="1"/>
  <c r="G30" i="5"/>
  <c r="H30" i="5" s="1"/>
  <c r="G31" i="5"/>
  <c r="H31" i="5" s="1"/>
  <c r="G36" i="5"/>
  <c r="H36" i="5" s="1"/>
  <c r="G19" i="5"/>
  <c r="H19" i="5" s="1"/>
  <c r="G8" i="5"/>
  <c r="H8" i="5" s="1"/>
  <c r="G20" i="5"/>
  <c r="H20" i="5" s="1"/>
  <c r="G10" i="5"/>
  <c r="H10" i="5" s="1"/>
  <c r="G17" i="5"/>
  <c r="H17" i="5" s="1"/>
  <c r="G15" i="5"/>
  <c r="H15" i="5" s="1"/>
  <c r="G14" i="5"/>
  <c r="H14" i="5" s="1"/>
  <c r="G11" i="5"/>
  <c r="H11" i="5" s="1"/>
  <c r="G21" i="5"/>
  <c r="H21" i="5" s="1"/>
  <c r="G9" i="5"/>
  <c r="H9" i="5" s="1"/>
  <c r="G16" i="5"/>
  <c r="H16" i="5" s="1"/>
  <c r="G13" i="5"/>
  <c r="H13" i="5" s="1"/>
  <c r="G12" i="5"/>
  <c r="H12" i="5" s="1"/>
  <c r="G18" i="5"/>
  <c r="H18" i="5" s="1"/>
  <c r="G236" i="4"/>
  <c r="G237" i="4"/>
  <c r="G238" i="4"/>
  <c r="G239" i="4"/>
  <c r="G240" i="4"/>
  <c r="G241" i="4"/>
  <c r="G242" i="4"/>
  <c r="G243" i="4"/>
  <c r="G244" i="4"/>
  <c r="G245" i="4"/>
  <c r="G246" i="4"/>
  <c r="G235" i="4"/>
  <c r="G225" i="4"/>
  <c r="H225" i="4" s="1"/>
  <c r="G230" i="4"/>
  <c r="H230" i="4" s="1"/>
  <c r="G228" i="4"/>
  <c r="H228" i="4" s="1"/>
  <c r="G229" i="4"/>
  <c r="H229" i="4" s="1"/>
  <c r="G226" i="4"/>
  <c r="H226" i="4" s="1"/>
  <c r="G227" i="4"/>
  <c r="H227" i="4" s="1"/>
  <c r="G224" i="4"/>
  <c r="H224" i="4" s="1"/>
  <c r="G223" i="4"/>
  <c r="H223" i="4" s="1"/>
  <c r="G222" i="4"/>
  <c r="H222" i="4" s="1"/>
  <c r="G221" i="4"/>
  <c r="H221" i="4" s="1"/>
  <c r="G207" i="4"/>
  <c r="H207" i="4" s="1"/>
  <c r="G208" i="4"/>
  <c r="H208" i="4" s="1"/>
  <c r="G209" i="4"/>
  <c r="H209" i="4" s="1"/>
  <c r="G210" i="4"/>
  <c r="H210" i="4" s="1"/>
  <c r="G211" i="4"/>
  <c r="H211" i="4" s="1"/>
  <c r="G212" i="4"/>
  <c r="H212" i="4" s="1"/>
  <c r="G213" i="4"/>
  <c r="H213" i="4" s="1"/>
  <c r="G214" i="4"/>
  <c r="H214" i="4" s="1"/>
  <c r="G215" i="4"/>
  <c r="H215" i="4" s="1"/>
  <c r="G216" i="4"/>
  <c r="H216" i="4" s="1"/>
  <c r="G190" i="4"/>
  <c r="H190" i="4" s="1"/>
  <c r="G191" i="4"/>
  <c r="H191" i="4" s="1"/>
  <c r="G192" i="4"/>
  <c r="H192" i="4" s="1"/>
  <c r="G193" i="4"/>
  <c r="H193" i="4" s="1"/>
  <c r="G194" i="4"/>
  <c r="H194" i="4" s="1"/>
  <c r="G195" i="4"/>
  <c r="H195" i="4" s="1"/>
  <c r="G199" i="4"/>
  <c r="H199" i="4" s="1"/>
  <c r="G196" i="4"/>
  <c r="H196" i="4" s="1"/>
  <c r="G197" i="4"/>
  <c r="H197" i="4" s="1"/>
  <c r="G198" i="4"/>
  <c r="H198" i="4" s="1"/>
  <c r="G200" i="4"/>
  <c r="H200" i="4" s="1"/>
  <c r="G201" i="4"/>
  <c r="H201" i="4" s="1"/>
  <c r="G177" i="4"/>
  <c r="H177" i="4" s="1"/>
  <c r="G182" i="4"/>
  <c r="H182" i="4" s="1"/>
  <c r="G179" i="4"/>
  <c r="H179" i="4" s="1"/>
  <c r="G173" i="4"/>
  <c r="H173" i="4" s="1"/>
  <c r="G180" i="4"/>
  <c r="H180" i="4" s="1"/>
  <c r="G172" i="4"/>
  <c r="H172" i="4" s="1"/>
  <c r="G174" i="4"/>
  <c r="H174" i="4" s="1"/>
  <c r="G178" i="4"/>
  <c r="H178" i="4" s="1"/>
  <c r="G176" i="4"/>
  <c r="H176" i="4" s="1"/>
  <c r="G175" i="4"/>
  <c r="H175" i="4" s="1"/>
  <c r="G181" i="4"/>
  <c r="H181" i="4" s="1"/>
  <c r="G161" i="4"/>
  <c r="H161" i="4" s="1"/>
  <c r="G162" i="4"/>
  <c r="H162" i="4" s="1"/>
  <c r="G163" i="4"/>
  <c r="H163" i="4" s="1"/>
  <c r="G164" i="4"/>
  <c r="H164" i="4" s="1"/>
  <c r="G165" i="4"/>
  <c r="H165" i="4" s="1"/>
  <c r="G149" i="4"/>
  <c r="H149" i="4" s="1"/>
  <c r="G150" i="4"/>
  <c r="H150" i="4" s="1"/>
  <c r="G151" i="4"/>
  <c r="H151" i="4" s="1"/>
  <c r="G152" i="4"/>
  <c r="H152" i="4" s="1"/>
  <c r="G153" i="4"/>
  <c r="H153" i="4" s="1"/>
  <c r="G154" i="4"/>
  <c r="H154" i="4" s="1"/>
  <c r="G155" i="4"/>
  <c r="H155" i="4" s="1"/>
  <c r="G141" i="4"/>
  <c r="H141" i="4" s="1"/>
  <c r="G142" i="4"/>
  <c r="H142" i="4" s="1"/>
  <c r="G143" i="4"/>
  <c r="H143" i="4" s="1"/>
  <c r="G133" i="4"/>
  <c r="H133" i="4" s="1"/>
  <c r="G134" i="4"/>
  <c r="H134" i="4" s="1"/>
  <c r="G135" i="4"/>
  <c r="H135" i="4" s="1"/>
  <c r="G136" i="4"/>
  <c r="H136" i="4" s="1"/>
  <c r="G137" i="4"/>
  <c r="H137" i="4" s="1"/>
  <c r="G138" i="4"/>
  <c r="H138" i="4" s="1"/>
  <c r="G139" i="4"/>
  <c r="H139" i="4" s="1"/>
  <c r="G140" i="4"/>
  <c r="H140" i="4" s="1"/>
  <c r="G124" i="4"/>
  <c r="H124" i="4" s="1"/>
  <c r="G125" i="4"/>
  <c r="H125" i="4" s="1"/>
  <c r="G126" i="4"/>
  <c r="H126" i="4" s="1"/>
  <c r="G127" i="4"/>
  <c r="H127" i="4" s="1"/>
  <c r="G117" i="4"/>
  <c r="H117" i="4" s="1"/>
  <c r="G118" i="4"/>
  <c r="H118" i="4" s="1"/>
  <c r="G119" i="4"/>
  <c r="H119" i="4" s="1"/>
  <c r="G120" i="4"/>
  <c r="H120" i="4" s="1"/>
  <c r="G121" i="4"/>
  <c r="H121" i="4" s="1"/>
  <c r="G122" i="4"/>
  <c r="H122" i="4" s="1"/>
  <c r="G123" i="4"/>
  <c r="H123" i="4" s="1"/>
  <c r="G105" i="4"/>
  <c r="H105" i="4" s="1"/>
  <c r="G106" i="4"/>
  <c r="H106" i="4" s="1"/>
  <c r="G107" i="4"/>
  <c r="H107" i="4" s="1"/>
  <c r="G108" i="4"/>
  <c r="H108" i="4" s="1"/>
  <c r="G109" i="4"/>
  <c r="H109" i="4" s="1"/>
  <c r="G92" i="4"/>
  <c r="H92" i="4" s="1"/>
  <c r="G98" i="4"/>
  <c r="H98" i="4" s="1"/>
  <c r="G90" i="4"/>
  <c r="H90" i="4" s="1"/>
  <c r="G99" i="4"/>
  <c r="H99" i="4" s="1"/>
  <c r="G96" i="4"/>
  <c r="H96" i="4" s="1"/>
  <c r="G95" i="4"/>
  <c r="H95" i="4" s="1"/>
  <c r="G91" i="4"/>
  <c r="H91" i="4" s="1"/>
  <c r="G94" i="4"/>
  <c r="H94" i="4" s="1"/>
  <c r="G93" i="4"/>
  <c r="H93" i="4" s="1"/>
  <c r="G97" i="4"/>
  <c r="H97" i="4" s="1"/>
  <c r="G69" i="4"/>
  <c r="H69" i="4" s="1"/>
  <c r="G77" i="4"/>
  <c r="H77" i="4" s="1"/>
  <c r="G81" i="4"/>
  <c r="H81" i="4" s="1"/>
  <c r="G76" i="4"/>
  <c r="H76" i="4" s="1"/>
  <c r="G73" i="4"/>
  <c r="H73" i="4" s="1"/>
  <c r="G83" i="4"/>
  <c r="H83" i="4" s="1"/>
  <c r="G71" i="4"/>
  <c r="H71" i="4" s="1"/>
  <c r="G84" i="4"/>
  <c r="H84" i="4" s="1"/>
  <c r="G70" i="4"/>
  <c r="H70" i="4" s="1"/>
  <c r="G75" i="4"/>
  <c r="H75" i="4" s="1"/>
  <c r="G72" i="4"/>
  <c r="H72" i="4" s="1"/>
  <c r="G74" i="4"/>
  <c r="H74" i="4" s="1"/>
  <c r="G79" i="4"/>
  <c r="H79" i="4" s="1"/>
  <c r="G80" i="4"/>
  <c r="H80" i="4" s="1"/>
  <c r="G82" i="4"/>
  <c r="H82" i="4" s="1"/>
  <c r="G78" i="4"/>
  <c r="H78" i="4" s="1"/>
  <c r="G60" i="4"/>
  <c r="H60" i="4" s="1"/>
  <c r="G58" i="4"/>
  <c r="H58" i="4" s="1"/>
  <c r="G55" i="4"/>
  <c r="H55" i="4" s="1"/>
  <c r="G63" i="4"/>
  <c r="H63" i="4" s="1"/>
  <c r="G61" i="4"/>
  <c r="H61" i="4" s="1"/>
  <c r="G56" i="4"/>
  <c r="H56" i="4" s="1"/>
  <c r="G53" i="4"/>
  <c r="H53" i="4" s="1"/>
  <c r="G62" i="4"/>
  <c r="H62" i="4" s="1"/>
  <c r="G57" i="4"/>
  <c r="H57" i="4" s="1"/>
  <c r="G52" i="4"/>
  <c r="H52" i="4" s="1"/>
  <c r="G54" i="4"/>
  <c r="H54" i="4" s="1"/>
  <c r="G51" i="4"/>
  <c r="H51" i="4" s="1"/>
  <c r="G59" i="4"/>
  <c r="H59" i="4" s="1"/>
  <c r="G35" i="4"/>
  <c r="H35" i="4" s="1"/>
  <c r="G44" i="4"/>
  <c r="H44" i="4" s="1"/>
  <c r="G40" i="4"/>
  <c r="H40" i="4" s="1"/>
  <c r="G36" i="4"/>
  <c r="H36" i="4" s="1"/>
  <c r="G43" i="4"/>
  <c r="H43" i="4" s="1"/>
  <c r="G41" i="4"/>
  <c r="H41" i="4" s="1"/>
  <c r="G39" i="4"/>
  <c r="H39" i="4" s="1"/>
  <c r="G37" i="4"/>
  <c r="H37" i="4" s="1"/>
  <c r="G32" i="4"/>
  <c r="H32" i="4" s="1"/>
  <c r="G38" i="4"/>
  <c r="H38" i="4" s="1"/>
  <c r="G45" i="4"/>
  <c r="H45" i="4" s="1"/>
  <c r="G31" i="4"/>
  <c r="H31" i="4" s="1"/>
  <c r="G33" i="4"/>
  <c r="H33" i="4" s="1"/>
  <c r="G34" i="4"/>
  <c r="H34" i="4" s="1"/>
  <c r="G42" i="4"/>
  <c r="H42" i="4" s="1"/>
  <c r="G21" i="4"/>
  <c r="H21" i="4" s="1"/>
  <c r="G20" i="4"/>
  <c r="H20" i="4" s="1"/>
  <c r="G19" i="4"/>
  <c r="H19" i="4" s="1"/>
  <c r="G22" i="4"/>
  <c r="H22" i="4" s="1"/>
  <c r="G11" i="4"/>
  <c r="H11" i="4" s="1"/>
  <c r="G10" i="4"/>
  <c r="H10" i="4" s="1"/>
  <c r="G9" i="4"/>
  <c r="H9" i="4" s="1"/>
  <c r="G8" i="4"/>
  <c r="H8" i="4" s="1"/>
  <c r="G12" i="4"/>
  <c r="H12" i="4" s="1"/>
  <c r="N8" i="32"/>
  <c r="E8" i="32"/>
  <c r="K100" i="46"/>
  <c r="K101" i="46" s="1"/>
  <c r="E328" i="6"/>
  <c r="S328" i="6" s="1"/>
  <c r="B328" i="6"/>
  <c r="J328" i="6" s="1"/>
  <c r="E327" i="6"/>
  <c r="S327" i="6" s="1"/>
  <c r="B327" i="6"/>
  <c r="J327" i="6" s="1"/>
  <c r="E326" i="6"/>
  <c r="S326" i="6" s="1"/>
  <c r="B326" i="6"/>
  <c r="J326" i="6" s="1"/>
  <c r="I52" i="32"/>
  <c r="I53" i="32" s="1"/>
  <c r="I41" i="32"/>
  <c r="I42" i="32" s="1"/>
  <c r="I28" i="32"/>
  <c r="I29" i="32" s="1"/>
  <c r="F180" i="6" l="1"/>
  <c r="G180" i="6" s="1"/>
  <c r="S180" i="6"/>
  <c r="F181" i="6"/>
  <c r="G181" i="6" s="1"/>
  <c r="S181" i="6"/>
  <c r="N393" i="6"/>
  <c r="O393" i="6" s="1"/>
  <c r="P393" i="6" s="1"/>
  <c r="L138" i="6"/>
  <c r="M138" i="6" s="1"/>
  <c r="L137" i="6"/>
  <c r="M137" i="6" s="1"/>
  <c r="L394" i="6"/>
  <c r="M394" i="6" s="1"/>
  <c r="L310" i="6"/>
  <c r="M310" i="6" s="1"/>
  <c r="F10" i="6"/>
  <c r="G10" i="6" s="1"/>
  <c r="O10" i="6"/>
  <c r="P10" i="6" s="1"/>
  <c r="F327" i="6"/>
  <c r="G327" i="6" s="1"/>
  <c r="F328" i="6"/>
  <c r="G328" i="6" s="1"/>
  <c r="F115" i="6"/>
  <c r="G115" i="6" s="1"/>
  <c r="O115" i="6"/>
  <c r="P115" i="6" s="1"/>
  <c r="K72" i="17"/>
  <c r="K73" i="17" s="1"/>
  <c r="D136" i="6" s="1"/>
  <c r="H25" i="44"/>
  <c r="K118" i="15"/>
  <c r="K119" i="15" s="1"/>
  <c r="D116" i="6" s="1"/>
  <c r="K61" i="44"/>
  <c r="H156" i="20"/>
  <c r="K152" i="20"/>
  <c r="H143" i="20"/>
  <c r="K137" i="20"/>
  <c r="H15" i="20"/>
  <c r="K8" i="20"/>
  <c r="P184" i="6"/>
  <c r="G184" i="6"/>
  <c r="P183" i="6"/>
  <c r="G183" i="6"/>
  <c r="P182" i="6"/>
  <c r="G182" i="6"/>
  <c r="P180" i="6"/>
  <c r="F393" i="6"/>
  <c r="G393" i="6" s="1"/>
  <c r="O226" i="6"/>
  <c r="P226" i="6" s="1"/>
  <c r="Q226" i="6" s="1"/>
  <c r="O328" i="6"/>
  <c r="P328" i="6" s="1"/>
  <c r="O222" i="6"/>
  <c r="P222" i="6" s="1"/>
  <c r="H469" i="29"/>
  <c r="K455" i="29"/>
  <c r="K456" i="29" s="1"/>
  <c r="K457" i="29" s="1"/>
  <c r="D184" i="6" s="1"/>
  <c r="T184" i="6" s="1"/>
  <c r="H450" i="29"/>
  <c r="K439" i="29"/>
  <c r="H435" i="29"/>
  <c r="K424" i="29"/>
  <c r="H419" i="29"/>
  <c r="K408" i="29"/>
  <c r="H402" i="29"/>
  <c r="K386" i="29"/>
  <c r="H130" i="20"/>
  <c r="K124" i="20"/>
  <c r="H54" i="44"/>
  <c r="K30" i="44"/>
  <c r="K31" i="44" s="1"/>
  <c r="H269" i="4"/>
  <c r="K252" i="4"/>
  <c r="K253" i="4" s="1"/>
  <c r="H112" i="15"/>
  <c r="K96" i="15"/>
  <c r="K6" i="44"/>
  <c r="K7" i="44" s="1"/>
  <c r="J33" i="6"/>
  <c r="J234" i="6"/>
  <c r="G222" i="6"/>
  <c r="I42" i="25"/>
  <c r="I44" i="25" s="1"/>
  <c r="I48" i="25" s="1"/>
  <c r="F44" i="25"/>
  <c r="O326" i="6"/>
  <c r="P326" i="6" s="1"/>
  <c r="F326" i="6"/>
  <c r="G326" i="6" s="1"/>
  <c r="T116" i="6" l="1"/>
  <c r="T136" i="6"/>
  <c r="K77" i="17"/>
  <c r="K78" i="17"/>
  <c r="K79" i="17" s="1"/>
  <c r="K116" i="6"/>
  <c r="L116" i="6" s="1"/>
  <c r="M116" i="6" s="1"/>
  <c r="R116" i="6"/>
  <c r="Q116" i="6"/>
  <c r="I116" i="6"/>
  <c r="H116" i="6"/>
  <c r="K124" i="15"/>
  <c r="K125" i="15" s="1"/>
  <c r="K123" i="15"/>
  <c r="K65" i="44"/>
  <c r="K66" i="44"/>
  <c r="K67" i="44" s="1"/>
  <c r="K153" i="20"/>
  <c r="K154" i="20" s="1"/>
  <c r="D202" i="6" s="1"/>
  <c r="K138" i="20"/>
  <c r="K139" i="20" s="1"/>
  <c r="D201" i="6" s="1"/>
  <c r="K9" i="20"/>
  <c r="K10" i="20" s="1"/>
  <c r="D30" i="6"/>
  <c r="T30" i="6" s="1"/>
  <c r="K184" i="6"/>
  <c r="L184" i="6" s="1"/>
  <c r="M184" i="6" s="1"/>
  <c r="Q184" i="6"/>
  <c r="H184" i="6"/>
  <c r="I184" i="6"/>
  <c r="R184" i="6"/>
  <c r="K461" i="29"/>
  <c r="K462" i="29"/>
  <c r="K463" i="29" s="1"/>
  <c r="K440" i="29"/>
  <c r="K441" i="29" s="1"/>
  <c r="D183" i="6" s="1"/>
  <c r="T183" i="6" s="1"/>
  <c r="K425" i="29"/>
  <c r="K426" i="29" s="1"/>
  <c r="D182" i="6" s="1"/>
  <c r="K409" i="29"/>
  <c r="K410" i="29" s="1"/>
  <c r="D181" i="6" s="1"/>
  <c r="K387" i="29"/>
  <c r="K388" i="29" s="1"/>
  <c r="D180" i="6" s="1"/>
  <c r="K180" i="6" s="1"/>
  <c r="K125" i="20"/>
  <c r="K126" i="20" s="1"/>
  <c r="D200" i="6" s="1"/>
  <c r="K32" i="44"/>
  <c r="K254" i="4"/>
  <c r="D10" i="6" s="1"/>
  <c r="T10" i="6" s="1"/>
  <c r="K97" i="15"/>
  <c r="K98" i="15" s="1"/>
  <c r="D115" i="6" s="1"/>
  <c r="K8" i="44"/>
  <c r="I49" i="25"/>
  <c r="I50" i="25" s="1"/>
  <c r="O327" i="6"/>
  <c r="P327" i="6" s="1"/>
  <c r="T202" i="6" l="1"/>
  <c r="Q202" i="6"/>
  <c r="K202" i="6"/>
  <c r="L202" i="6" s="1"/>
  <c r="M202" i="6" s="1"/>
  <c r="R202" i="6"/>
  <c r="I202" i="6"/>
  <c r="H202" i="6"/>
  <c r="I201" i="6"/>
  <c r="T201" i="6"/>
  <c r="H201" i="6"/>
  <c r="Q201" i="6"/>
  <c r="R201" i="6"/>
  <c r="K201" i="6"/>
  <c r="L201" i="6" s="1"/>
  <c r="M201" i="6" s="1"/>
  <c r="Q181" i="6"/>
  <c r="T181" i="6"/>
  <c r="T180" i="6"/>
  <c r="K182" i="6"/>
  <c r="L182" i="6" s="1"/>
  <c r="M182" i="6" s="1"/>
  <c r="T182" i="6"/>
  <c r="K200" i="6"/>
  <c r="T200" i="6"/>
  <c r="H115" i="6"/>
  <c r="T115" i="6"/>
  <c r="Q182" i="6"/>
  <c r="K158" i="20"/>
  <c r="K159" i="20"/>
  <c r="K160" i="20" s="1"/>
  <c r="K143" i="20"/>
  <c r="K144" i="20"/>
  <c r="K145" i="20" s="1"/>
  <c r="K14" i="20"/>
  <c r="K15" i="20"/>
  <c r="K30" i="6"/>
  <c r="I30" i="6"/>
  <c r="H30" i="6"/>
  <c r="Q30" i="6"/>
  <c r="R30" i="6"/>
  <c r="K183" i="6"/>
  <c r="L183" i="6" s="1"/>
  <c r="M183" i="6" s="1"/>
  <c r="Q183" i="6"/>
  <c r="H180" i="6"/>
  <c r="R182" i="6"/>
  <c r="R183" i="6"/>
  <c r="R180" i="6"/>
  <c r="I183" i="6"/>
  <c r="Q180" i="6"/>
  <c r="H183" i="6"/>
  <c r="H182" i="6"/>
  <c r="I180" i="6"/>
  <c r="I182" i="6"/>
  <c r="L180" i="6"/>
  <c r="M180" i="6" s="1"/>
  <c r="R181" i="6"/>
  <c r="I181" i="6"/>
  <c r="K181" i="6"/>
  <c r="L181" i="6" s="1"/>
  <c r="M181" i="6" s="1"/>
  <c r="H181" i="6"/>
  <c r="K445" i="29"/>
  <c r="K446" i="29"/>
  <c r="K447" i="29" s="1"/>
  <c r="K431" i="29"/>
  <c r="K432" i="29" s="1"/>
  <c r="K430" i="29"/>
  <c r="K414" i="29"/>
  <c r="K415" i="29"/>
  <c r="K416" i="29" s="1"/>
  <c r="K392" i="29"/>
  <c r="K393" i="29"/>
  <c r="K394" i="29" s="1"/>
  <c r="K130" i="20"/>
  <c r="K131" i="20"/>
  <c r="K132" i="20" s="1"/>
  <c r="K115" i="6"/>
  <c r="L115" i="6" s="1"/>
  <c r="M115" i="6" s="1"/>
  <c r="R115" i="6"/>
  <c r="Q115" i="6"/>
  <c r="I115" i="6"/>
  <c r="K10" i="6"/>
  <c r="R10" i="6"/>
  <c r="H10" i="6"/>
  <c r="I10" i="6"/>
  <c r="Q10" i="6"/>
  <c r="D29" i="6"/>
  <c r="T29" i="6" s="1"/>
  <c r="K36" i="44"/>
  <c r="K37" i="44"/>
  <c r="K38" i="44" s="1"/>
  <c r="K258" i="4"/>
  <c r="K259" i="4"/>
  <c r="K260" i="4" s="1"/>
  <c r="K102" i="15"/>
  <c r="K103" i="15"/>
  <c r="K104" i="15" s="1"/>
  <c r="K12" i="44"/>
  <c r="K13" i="44"/>
  <c r="K14" i="44" s="1"/>
  <c r="L30" i="6" l="1"/>
  <c r="M30" i="6" s="1"/>
  <c r="L10" i="6"/>
  <c r="M10" i="6" s="1"/>
  <c r="F29" i="6" l="1"/>
  <c r="G29" i="6" s="1"/>
  <c r="O29" i="6"/>
  <c r="P29" i="6" l="1"/>
  <c r="F49" i="32" l="1"/>
  <c r="F38" i="32"/>
  <c r="F25" i="32"/>
  <c r="K84" i="46"/>
  <c r="K85" i="46" s="1"/>
  <c r="F26" i="32" l="1"/>
  <c r="I24" i="32"/>
  <c r="I25" i="32" s="1"/>
  <c r="I26" i="32" s="1"/>
  <c r="F39" i="32"/>
  <c r="I37" i="32"/>
  <c r="I38" i="32" s="1"/>
  <c r="I39" i="32" s="1"/>
  <c r="I48" i="32"/>
  <c r="I49" i="32" s="1"/>
  <c r="I50" i="32" s="1"/>
  <c r="F50" i="32"/>
  <c r="D328" i="6" l="1"/>
  <c r="T328" i="6" s="1"/>
  <c r="I54" i="32"/>
  <c r="I55" i="32"/>
  <c r="I56" i="32" s="1"/>
  <c r="D327" i="6"/>
  <c r="T327" i="6" s="1"/>
  <c r="I43" i="32"/>
  <c r="I44" i="32"/>
  <c r="I45" i="32" s="1"/>
  <c r="D326" i="6"/>
  <c r="T326" i="6" s="1"/>
  <c r="I31" i="32"/>
  <c r="I32" i="32" s="1"/>
  <c r="I30" i="32"/>
  <c r="F97" i="36"/>
  <c r="I97" i="36"/>
  <c r="I98" i="36" s="1"/>
  <c r="K326" i="6" l="1"/>
  <c r="L326" i="6" s="1"/>
  <c r="M326" i="6" s="1"/>
  <c r="Q326" i="6"/>
  <c r="K327" i="6"/>
  <c r="L327" i="6" s="1"/>
  <c r="M327" i="6" s="1"/>
  <c r="Q327" i="6"/>
  <c r="K328" i="6"/>
  <c r="L328" i="6" s="1"/>
  <c r="M328" i="6" s="1"/>
  <c r="Q328" i="6"/>
  <c r="R326" i="6"/>
  <c r="H326" i="6"/>
  <c r="I326" i="6"/>
  <c r="H327" i="6"/>
  <c r="R327" i="6"/>
  <c r="I327" i="6"/>
  <c r="I328" i="6"/>
  <c r="R328" i="6"/>
  <c r="H328" i="6"/>
  <c r="E441" i="6" l="1"/>
  <c r="B441" i="6"/>
  <c r="J441" i="6" s="1"/>
  <c r="E438" i="6"/>
  <c r="B438" i="6"/>
  <c r="J438" i="6" s="1"/>
  <c r="I61" i="43"/>
  <c r="I62" i="43" s="1"/>
  <c r="F58" i="43"/>
  <c r="F59" i="43" s="1"/>
  <c r="I57" i="43" s="1"/>
  <c r="I59" i="43" s="1"/>
  <c r="I49" i="43"/>
  <c r="I50" i="43" s="1"/>
  <c r="I63" i="43" l="1"/>
  <c r="D441" i="6"/>
  <c r="T441" i="6" s="1"/>
  <c r="I64" i="43"/>
  <c r="I65" i="43" s="1"/>
  <c r="F438" i="6" l="1"/>
  <c r="G438" i="6" s="1"/>
  <c r="F441" i="6"/>
  <c r="G441" i="6" s="1"/>
  <c r="I441" i="6" s="1"/>
  <c r="K441" i="6"/>
  <c r="L441" i="6" s="1"/>
  <c r="M441" i="6" s="1"/>
  <c r="P441" i="6"/>
  <c r="Q441" i="6" s="1"/>
  <c r="F221" i="6"/>
  <c r="G221" i="6" s="1"/>
  <c r="O221" i="6"/>
  <c r="P221" i="6" s="1"/>
  <c r="F223" i="6"/>
  <c r="G223" i="6" s="1"/>
  <c r="O223" i="6"/>
  <c r="P223" i="6" s="1"/>
  <c r="F225" i="6"/>
  <c r="G225" i="6" s="1"/>
  <c r="O225" i="6"/>
  <c r="P225" i="6" s="1"/>
  <c r="F224" i="6"/>
  <c r="G224" i="6" s="1"/>
  <c r="O224" i="6"/>
  <c r="P224" i="6" s="1"/>
  <c r="F219" i="6"/>
  <c r="G219" i="6" s="1"/>
  <c r="O219" i="6"/>
  <c r="P219" i="6" s="1"/>
  <c r="E197" i="6"/>
  <c r="K116" i="20"/>
  <c r="K117" i="20" s="1"/>
  <c r="F197" i="6" l="1"/>
  <c r="H441" i="6"/>
  <c r="R441" i="6"/>
  <c r="P438" i="6"/>
  <c r="K73" i="46"/>
  <c r="K74" i="46" s="1"/>
  <c r="K60" i="46"/>
  <c r="K61" i="46" s="1"/>
  <c r="K47" i="46"/>
  <c r="K48" i="46" s="1"/>
  <c r="K36" i="46"/>
  <c r="K37" i="46" s="1"/>
  <c r="K25" i="46"/>
  <c r="K26" i="46" s="1"/>
  <c r="K11" i="46"/>
  <c r="K12" i="46" s="1"/>
  <c r="O220" i="6"/>
  <c r="P220" i="6" s="1"/>
  <c r="I180" i="38"/>
  <c r="I181" i="38" s="1"/>
  <c r="O197" i="6" l="1"/>
  <c r="P197" i="6" s="1"/>
  <c r="F200" i="6"/>
  <c r="G200" i="6" s="1"/>
  <c r="O200" i="6"/>
  <c r="P200" i="6" s="1"/>
  <c r="G197" i="6"/>
  <c r="F220" i="6"/>
  <c r="G220" i="6" s="1"/>
  <c r="E392" i="6"/>
  <c r="B392" i="6"/>
  <c r="N392" i="6" l="1"/>
  <c r="O392" i="6" s="1"/>
  <c r="P392" i="6" s="1"/>
  <c r="F392" i="6"/>
  <c r="G392" i="6" s="1"/>
  <c r="E239" i="6" l="1"/>
  <c r="B239" i="6"/>
  <c r="J239" i="6" s="1"/>
  <c r="E238" i="6"/>
  <c r="B238" i="6"/>
  <c r="J238" i="6" s="1"/>
  <c r="E245" i="6"/>
  <c r="J245" i="6"/>
  <c r="K94" i="22"/>
  <c r="K95" i="22" s="1"/>
  <c r="K78" i="22"/>
  <c r="K79" i="22" s="1"/>
  <c r="E377" i="6"/>
  <c r="B377" i="6"/>
  <c r="J377" i="6" s="1"/>
  <c r="I166" i="38"/>
  <c r="I167" i="38" s="1"/>
  <c r="E402" i="6"/>
  <c r="B402" i="6"/>
  <c r="J402" i="6" s="1"/>
  <c r="E407" i="6"/>
  <c r="B407" i="6"/>
  <c r="J407" i="6" s="1"/>
  <c r="E408" i="6"/>
  <c r="B408" i="6"/>
  <c r="J408" i="6" s="1"/>
  <c r="E409" i="6"/>
  <c r="B409" i="6"/>
  <c r="J409" i="6" s="1"/>
  <c r="E404" i="6"/>
  <c r="B404" i="6"/>
  <c r="J404" i="6" s="1"/>
  <c r="E403" i="6"/>
  <c r="B403" i="6"/>
  <c r="J403" i="6" s="1"/>
  <c r="E405" i="6"/>
  <c r="B405" i="6"/>
  <c r="J405" i="6" s="1"/>
  <c r="E406" i="6"/>
  <c r="B406" i="6"/>
  <c r="J406" i="6" s="1"/>
  <c r="E401" i="6"/>
  <c r="B401" i="6"/>
  <c r="J401" i="6" s="1"/>
  <c r="I57" i="25"/>
  <c r="I58" i="25" s="1"/>
  <c r="N403" i="6" l="1"/>
  <c r="O403" i="6" s="1"/>
  <c r="P403" i="6" s="1"/>
  <c r="N377" i="6"/>
  <c r="O377" i="6" s="1"/>
  <c r="N404" i="6"/>
  <c r="O404" i="6" s="1"/>
  <c r="N409" i="6"/>
  <c r="O409" i="6" s="1"/>
  <c r="P409" i="6" s="1"/>
  <c r="N245" i="6"/>
  <c r="O245" i="6" s="1"/>
  <c r="N406" i="6"/>
  <c r="O406" i="6" s="1"/>
  <c r="P406" i="6" s="1"/>
  <c r="N407" i="6"/>
  <c r="N238" i="6"/>
  <c r="O238" i="6" s="1"/>
  <c r="P238" i="6" s="1"/>
  <c r="N405" i="6"/>
  <c r="N402" i="6"/>
  <c r="O402" i="6" s="1"/>
  <c r="N239" i="6"/>
  <c r="O239" i="6" s="1"/>
  <c r="F404" i="6"/>
  <c r="G404" i="6" s="1"/>
  <c r="F402" i="6"/>
  <c r="G402" i="6" s="1"/>
  <c r="F245" i="6"/>
  <c r="G245" i="6" s="1"/>
  <c r="F239" i="6"/>
  <c r="G239" i="6" s="1"/>
  <c r="F377" i="6"/>
  <c r="G377" i="6" s="1"/>
  <c r="F409" i="6"/>
  <c r="G409" i="6" s="1"/>
  <c r="F238" i="6"/>
  <c r="G238" i="6" s="1"/>
  <c r="F407" i="6"/>
  <c r="G407" i="6" s="1"/>
  <c r="F408" i="6"/>
  <c r="G408" i="6" s="1"/>
  <c r="O408" i="6"/>
  <c r="O401" i="6"/>
  <c r="P401" i="6" s="1"/>
  <c r="F401" i="6"/>
  <c r="G401" i="6" s="1"/>
  <c r="F405" i="6"/>
  <c r="G405" i="6" s="1"/>
  <c r="F406" i="6"/>
  <c r="G406" i="6" s="1"/>
  <c r="F403" i="6"/>
  <c r="G403" i="6" s="1"/>
  <c r="P377" i="6" l="1"/>
  <c r="O407" i="6"/>
  <c r="P407" i="6" s="1"/>
  <c r="P245" i="6"/>
  <c r="P239" i="6"/>
  <c r="P408" i="6"/>
  <c r="P402" i="6"/>
  <c r="P404" i="6"/>
  <c r="O405" i="6"/>
  <c r="P405" i="6" s="1"/>
  <c r="E495" i="6"/>
  <c r="B495" i="6"/>
  <c r="J495" i="6" s="1"/>
  <c r="E199" i="6"/>
  <c r="B199" i="6"/>
  <c r="J199" i="6" s="1"/>
  <c r="E198" i="6"/>
  <c r="B198" i="6"/>
  <c r="J198" i="6" s="1"/>
  <c r="E196" i="6"/>
  <c r="B196" i="6"/>
  <c r="J196" i="6" s="1"/>
  <c r="F199" i="6" l="1"/>
  <c r="F196" i="6"/>
  <c r="G196" i="6" s="1"/>
  <c r="F198" i="6"/>
  <c r="G198" i="6" s="1"/>
  <c r="F495" i="6"/>
  <c r="G495" i="6" s="1"/>
  <c r="O495" i="6"/>
  <c r="P495" i="6" s="1"/>
  <c r="O198" i="6"/>
  <c r="P198" i="6" s="1"/>
  <c r="K105" i="20"/>
  <c r="K106" i="20" s="1"/>
  <c r="H104" i="20"/>
  <c r="K93" i="20"/>
  <c r="K94" i="20" s="1"/>
  <c r="O196" i="6" l="1"/>
  <c r="P196" i="6" s="1"/>
  <c r="O199" i="6"/>
  <c r="P199" i="6" s="1"/>
  <c r="G199" i="6"/>
  <c r="E244" i="6"/>
  <c r="E240" i="6"/>
  <c r="E241" i="6"/>
  <c r="E242" i="6"/>
  <c r="N242" i="6" l="1"/>
  <c r="N241" i="6"/>
  <c r="N240" i="6"/>
  <c r="N244" i="6"/>
  <c r="I45" i="37"/>
  <c r="I46" i="37" s="1"/>
  <c r="E162" i="6"/>
  <c r="S162" i="6" s="1"/>
  <c r="B162" i="6"/>
  <c r="J162" i="6" s="1"/>
  <c r="E179" i="6"/>
  <c r="S179" i="6" s="1"/>
  <c r="B179" i="6"/>
  <c r="J179" i="6" s="1"/>
  <c r="K374" i="29"/>
  <c r="K375" i="29" s="1"/>
  <c r="E178" i="6"/>
  <c r="S178" i="6" s="1"/>
  <c r="B178" i="6"/>
  <c r="J178" i="6" s="1"/>
  <c r="K361" i="29"/>
  <c r="K362" i="29" s="1"/>
  <c r="E156" i="6"/>
  <c r="S156" i="6" s="1"/>
  <c r="B156" i="6"/>
  <c r="J156" i="6" s="1"/>
  <c r="E177" i="6"/>
  <c r="S177" i="6" s="1"/>
  <c r="B177" i="6"/>
  <c r="J177" i="6" s="1"/>
  <c r="K350" i="29"/>
  <c r="K351" i="29" s="1"/>
  <c r="K338" i="29"/>
  <c r="K339" i="29" s="1"/>
  <c r="F179" i="6" l="1"/>
  <c r="G179" i="6" s="1"/>
  <c r="O179" i="6"/>
  <c r="P179" i="6" s="1"/>
  <c r="F178" i="6"/>
  <c r="G178" i="6" s="1"/>
  <c r="O178" i="6"/>
  <c r="P178" i="6" s="1"/>
  <c r="F177" i="6"/>
  <c r="G177" i="6" s="1"/>
  <c r="O177" i="6"/>
  <c r="P177" i="6" s="1"/>
  <c r="F162" i="6"/>
  <c r="G162" i="6" s="1"/>
  <c r="O162" i="6"/>
  <c r="P162" i="6" s="1"/>
  <c r="F156" i="6"/>
  <c r="G156" i="6" s="1"/>
  <c r="O156" i="6"/>
  <c r="P156" i="6" s="1"/>
  <c r="E170" i="6" l="1"/>
  <c r="S170" i="6" s="1"/>
  <c r="B170" i="6"/>
  <c r="J170" i="6" s="1"/>
  <c r="K326" i="29"/>
  <c r="K327" i="29" s="1"/>
  <c r="E155" i="6"/>
  <c r="S155" i="6" s="1"/>
  <c r="B155" i="6"/>
  <c r="J155" i="6" s="1"/>
  <c r="E158" i="6"/>
  <c r="S158" i="6" s="1"/>
  <c r="B158" i="6"/>
  <c r="J158" i="6" s="1"/>
  <c r="E154" i="6"/>
  <c r="S154" i="6" s="1"/>
  <c r="B154" i="6"/>
  <c r="J154" i="6" s="1"/>
  <c r="E175" i="6"/>
  <c r="S175" i="6" s="1"/>
  <c r="B175" i="6"/>
  <c r="J175" i="6" s="1"/>
  <c r="E169" i="6"/>
  <c r="S169" i="6" s="1"/>
  <c r="B169" i="6"/>
  <c r="J169" i="6" s="1"/>
  <c r="E161" i="6"/>
  <c r="S161" i="6" s="1"/>
  <c r="B161" i="6"/>
  <c r="J161" i="6" s="1"/>
  <c r="O161" i="6" l="1"/>
  <c r="P161" i="6" s="1"/>
  <c r="F154" i="6"/>
  <c r="G154" i="6" s="1"/>
  <c r="O154" i="6"/>
  <c r="P154" i="6" s="1"/>
  <c r="F158" i="6"/>
  <c r="G158" i="6" s="1"/>
  <c r="O158" i="6"/>
  <c r="P158" i="6" s="1"/>
  <c r="F155" i="6"/>
  <c r="G155" i="6" s="1"/>
  <c r="O155" i="6"/>
  <c r="P155" i="6" s="1"/>
  <c r="F169" i="6"/>
  <c r="G169" i="6" s="1"/>
  <c r="O169" i="6"/>
  <c r="P169" i="6" s="1"/>
  <c r="F175" i="6"/>
  <c r="G175" i="6" s="1"/>
  <c r="O175" i="6"/>
  <c r="P175" i="6" s="1"/>
  <c r="F170" i="6"/>
  <c r="G170" i="6" s="1"/>
  <c r="O170" i="6"/>
  <c r="P170" i="6" s="1"/>
  <c r="F28" i="6"/>
  <c r="G28" i="6" s="1"/>
  <c r="O28" i="6"/>
  <c r="P28" i="6" s="1"/>
  <c r="F161" i="6"/>
  <c r="G161" i="6" s="1"/>
  <c r="K314" i="29"/>
  <c r="K315" i="29" s="1"/>
  <c r="K302" i="29"/>
  <c r="K303" i="29" s="1"/>
  <c r="K291" i="29"/>
  <c r="K292" i="29" s="1"/>
  <c r="K278" i="29"/>
  <c r="K279" i="29" s="1"/>
  <c r="K267" i="29"/>
  <c r="K268" i="29" s="1"/>
  <c r="K256" i="29"/>
  <c r="K257" i="29" s="1"/>
  <c r="E157" i="6"/>
  <c r="S157" i="6" s="1"/>
  <c r="B157" i="6"/>
  <c r="J157" i="6" s="1"/>
  <c r="K238" i="29"/>
  <c r="K239" i="29" s="1"/>
  <c r="E174" i="6"/>
  <c r="S174" i="6" s="1"/>
  <c r="B174" i="6"/>
  <c r="J174" i="6" s="1"/>
  <c r="K226" i="29"/>
  <c r="K227" i="29" s="1"/>
  <c r="E173" i="6"/>
  <c r="S173" i="6" s="1"/>
  <c r="B173" i="6"/>
  <c r="J173" i="6" s="1"/>
  <c r="K211" i="29"/>
  <c r="K212" i="29" s="1"/>
  <c r="F174" i="6" l="1"/>
  <c r="G174" i="6" s="1"/>
  <c r="O174" i="6"/>
  <c r="P174" i="6" s="1"/>
  <c r="F157" i="6"/>
  <c r="G157" i="6" s="1"/>
  <c r="O157" i="6"/>
  <c r="P157" i="6" s="1"/>
  <c r="F173" i="6"/>
  <c r="G173" i="6" s="1"/>
  <c r="O173" i="6"/>
  <c r="P173" i="6" s="1"/>
  <c r="E502" i="6" l="1"/>
  <c r="B502" i="6"/>
  <c r="J502" i="6" s="1"/>
  <c r="E492" i="6"/>
  <c r="B492" i="6"/>
  <c r="J492" i="6" s="1"/>
  <c r="E494" i="6"/>
  <c r="B494" i="6"/>
  <c r="J494" i="6" s="1"/>
  <c r="E493" i="6"/>
  <c r="B493" i="6"/>
  <c r="J493" i="6" s="1"/>
  <c r="I34" i="37"/>
  <c r="I35" i="37" s="1"/>
  <c r="I23" i="37"/>
  <c r="I24" i="37" s="1"/>
  <c r="I11" i="37"/>
  <c r="I12" i="37" s="1"/>
  <c r="F9" i="37"/>
  <c r="F493" i="6" l="1"/>
  <c r="G493" i="6" s="1"/>
  <c r="O493" i="6"/>
  <c r="P493" i="6" s="1"/>
  <c r="F502" i="6"/>
  <c r="G502" i="6" s="1"/>
  <c r="O502" i="6"/>
  <c r="P502" i="6" s="1"/>
  <c r="F492" i="6"/>
  <c r="G492" i="6" s="1"/>
  <c r="O492" i="6"/>
  <c r="P492" i="6" s="1"/>
  <c r="F494" i="6"/>
  <c r="G494" i="6" s="1"/>
  <c r="O494" i="6"/>
  <c r="P494" i="6" s="1"/>
  <c r="E90" i="6"/>
  <c r="E83" i="6"/>
  <c r="B83" i="6"/>
  <c r="J83" i="6" s="1"/>
  <c r="F83" i="6" l="1"/>
  <c r="G83" i="6" s="1"/>
  <c r="O83" i="6"/>
  <c r="P83" i="6" s="1"/>
  <c r="F46" i="43" l="1"/>
  <c r="F47" i="43" s="1"/>
  <c r="I45" i="43" s="1"/>
  <c r="I47" i="43" s="1"/>
  <c r="H103" i="20"/>
  <c r="E123" i="6"/>
  <c r="B123" i="6"/>
  <c r="J123" i="6" s="1"/>
  <c r="E124" i="6"/>
  <c r="B124" i="6"/>
  <c r="J124" i="6" s="1"/>
  <c r="E122" i="6"/>
  <c r="B122" i="6"/>
  <c r="J122" i="6" s="1"/>
  <c r="F54" i="25"/>
  <c r="F96" i="36"/>
  <c r="F101" i="36"/>
  <c r="F45" i="37"/>
  <c r="F124" i="6" l="1"/>
  <c r="G124" i="6" s="1"/>
  <c r="O124" i="6"/>
  <c r="P124" i="6" s="1"/>
  <c r="F122" i="6"/>
  <c r="G122" i="6" s="1"/>
  <c r="O122" i="6"/>
  <c r="P122" i="6" s="1"/>
  <c r="F123" i="6"/>
  <c r="G123" i="6" s="1"/>
  <c r="O123" i="6"/>
  <c r="P123" i="6" s="1"/>
  <c r="J125" i="6"/>
  <c r="F177" i="38"/>
  <c r="F178" i="38" s="1"/>
  <c r="H93" i="20"/>
  <c r="I51" i="43"/>
  <c r="D438" i="6"/>
  <c r="T438" i="6" s="1"/>
  <c r="I52" i="43"/>
  <c r="I53" i="43" s="1"/>
  <c r="F94" i="36"/>
  <c r="F43" i="37"/>
  <c r="F99" i="36"/>
  <c r="F98" i="36"/>
  <c r="F100" i="36"/>
  <c r="F95" i="36"/>
  <c r="H105" i="20"/>
  <c r="K101" i="20" s="1"/>
  <c r="K102" i="20" s="1"/>
  <c r="K103" i="20" s="1"/>
  <c r="H94" i="20"/>
  <c r="H91" i="20"/>
  <c r="H92" i="20"/>
  <c r="K310" i="29"/>
  <c r="K311" i="29" s="1"/>
  <c r="K312" i="29" s="1"/>
  <c r="F163" i="38"/>
  <c r="I162" i="38" s="1"/>
  <c r="F55" i="25"/>
  <c r="I53" i="25"/>
  <c r="F42" i="37"/>
  <c r="F44" i="37"/>
  <c r="F21" i="37"/>
  <c r="F22" i="37"/>
  <c r="K69" i="46" l="1"/>
  <c r="K70" i="46" s="1"/>
  <c r="K71" i="46" s="1"/>
  <c r="D219" i="6" s="1"/>
  <c r="H104" i="46"/>
  <c r="I176" i="38"/>
  <c r="I178" i="38" s="1"/>
  <c r="Q438" i="6"/>
  <c r="K438" i="6"/>
  <c r="L438" i="6" s="1"/>
  <c r="M438" i="6" s="1"/>
  <c r="I438" i="6"/>
  <c r="H438" i="6"/>
  <c r="R438" i="6"/>
  <c r="K96" i="46"/>
  <c r="K97" i="46" s="1"/>
  <c r="K98" i="46" s="1"/>
  <c r="D222" i="6" s="1"/>
  <c r="T222" i="6" s="1"/>
  <c r="H77" i="46"/>
  <c r="D28" i="6"/>
  <c r="T28" i="6" s="1"/>
  <c r="I93" i="36"/>
  <c r="I95" i="36" s="1"/>
  <c r="I99" i="36" s="1"/>
  <c r="F102" i="36"/>
  <c r="Q200" i="6"/>
  <c r="H107" i="20"/>
  <c r="K112" i="20"/>
  <c r="K113" i="20" s="1"/>
  <c r="K114" i="20" s="1"/>
  <c r="D197" i="6" s="1"/>
  <c r="T197" i="6" s="1"/>
  <c r="H118" i="20"/>
  <c r="K89" i="20"/>
  <c r="K90" i="20" s="1"/>
  <c r="K91" i="20" s="1"/>
  <c r="D198" i="6" s="1"/>
  <c r="K32" i="46"/>
  <c r="K33" i="46" s="1"/>
  <c r="K34" i="46" s="1"/>
  <c r="K56" i="46"/>
  <c r="K57" i="46" s="1"/>
  <c r="K58" i="46" s="1"/>
  <c r="D224" i="6" s="1"/>
  <c r="T224" i="6" s="1"/>
  <c r="H62" i="46"/>
  <c r="H258" i="29"/>
  <c r="H39" i="46"/>
  <c r="K21" i="46"/>
  <c r="K22" i="46" s="1"/>
  <c r="K23" i="46" s="1"/>
  <c r="D221" i="6" s="1"/>
  <c r="T221" i="6" s="1"/>
  <c r="H29" i="46"/>
  <c r="H17" i="46"/>
  <c r="K7" i="46"/>
  <c r="H51" i="46"/>
  <c r="K43" i="46"/>
  <c r="K44" i="46" s="1"/>
  <c r="K45" i="46" s="1"/>
  <c r="D225" i="6" s="1"/>
  <c r="T225" i="6" s="1"/>
  <c r="H313" i="29"/>
  <c r="F164" i="38"/>
  <c r="K346" i="29"/>
  <c r="K347" i="29" s="1"/>
  <c r="K348" i="29" s="1"/>
  <c r="K353" i="29" s="1"/>
  <c r="K354" i="29" s="1"/>
  <c r="H87" i="22"/>
  <c r="K90" i="22"/>
  <c r="K91" i="22" s="1"/>
  <c r="K92" i="22" s="1"/>
  <c r="D239" i="6" s="1"/>
  <c r="T239" i="6" s="1"/>
  <c r="H99" i="22"/>
  <c r="K74" i="22"/>
  <c r="K75" i="22" s="1"/>
  <c r="K76" i="22" s="1"/>
  <c r="I163" i="38"/>
  <c r="I164" i="38" s="1"/>
  <c r="I54" i="25"/>
  <c r="I55" i="25" s="1"/>
  <c r="H96" i="20"/>
  <c r="D199" i="6"/>
  <c r="K107" i="20"/>
  <c r="K108" i="20"/>
  <c r="K109" i="20" s="1"/>
  <c r="F46" i="37"/>
  <c r="H83" i="20"/>
  <c r="K77" i="20" s="1"/>
  <c r="K78" i="20" s="1"/>
  <c r="K79" i="20" s="1"/>
  <c r="K274" i="29"/>
  <c r="K275" i="29" s="1"/>
  <c r="K276" i="29" s="1"/>
  <c r="D175" i="6" s="1"/>
  <c r="H350" i="29"/>
  <c r="I41" i="37"/>
  <c r="H376" i="29"/>
  <c r="K357" i="29"/>
  <c r="H360" i="29"/>
  <c r="K334" i="29"/>
  <c r="K335" i="29" s="1"/>
  <c r="K336" i="29" s="1"/>
  <c r="H337" i="29"/>
  <c r="K370" i="29"/>
  <c r="K252" i="29"/>
  <c r="K253" i="29" s="1"/>
  <c r="K254" i="29" s="1"/>
  <c r="H302" i="29"/>
  <c r="K322" i="29"/>
  <c r="K323" i="29" s="1"/>
  <c r="K324" i="29" s="1"/>
  <c r="D170" i="6" s="1"/>
  <c r="H327" i="29"/>
  <c r="H290" i="29"/>
  <c r="K287" i="29"/>
  <c r="K288" i="29" s="1"/>
  <c r="K289" i="29" s="1"/>
  <c r="D155" i="6"/>
  <c r="K317" i="29"/>
  <c r="K318" i="29" s="1"/>
  <c r="K316" i="29"/>
  <c r="K263" i="29"/>
  <c r="K264" i="29" s="1"/>
  <c r="K265" i="29" s="1"/>
  <c r="H267" i="29"/>
  <c r="H280" i="29"/>
  <c r="K298" i="29"/>
  <c r="K299" i="29" s="1"/>
  <c r="K300" i="29" s="1"/>
  <c r="D158" i="6" s="1"/>
  <c r="T158" i="6" s="1"/>
  <c r="K234" i="29"/>
  <c r="K235" i="29" s="1"/>
  <c r="K236" i="29" s="1"/>
  <c r="K241" i="29" s="1"/>
  <c r="K242" i="29" s="1"/>
  <c r="H230" i="29"/>
  <c r="K222" i="29"/>
  <c r="K223" i="29" s="1"/>
  <c r="K224" i="29" s="1"/>
  <c r="H218" i="29"/>
  <c r="H248" i="29"/>
  <c r="K207" i="29"/>
  <c r="K208" i="29" s="1"/>
  <c r="K209" i="29" s="1"/>
  <c r="Q155" i="6" l="1"/>
  <c r="T155" i="6"/>
  <c r="Q175" i="6"/>
  <c r="T175" i="6"/>
  <c r="Q170" i="6"/>
  <c r="T170" i="6"/>
  <c r="K219" i="6"/>
  <c r="L219" i="6" s="1"/>
  <c r="M219" i="6" s="1"/>
  <c r="T219" i="6"/>
  <c r="K198" i="6"/>
  <c r="L198" i="6" s="1"/>
  <c r="M198" i="6" s="1"/>
  <c r="T198" i="6"/>
  <c r="K199" i="6"/>
  <c r="L199" i="6" s="1"/>
  <c r="M199" i="6" s="1"/>
  <c r="T199" i="6"/>
  <c r="Q225" i="6"/>
  <c r="K225" i="6"/>
  <c r="Q222" i="6"/>
  <c r="K222" i="6"/>
  <c r="Q221" i="6"/>
  <c r="K221" i="6"/>
  <c r="Q224" i="6"/>
  <c r="K224" i="6"/>
  <c r="K83" i="20"/>
  <c r="K84" i="20"/>
  <c r="K85" i="20" s="1"/>
  <c r="D196" i="6"/>
  <c r="Q197" i="6"/>
  <c r="K197" i="6"/>
  <c r="L197" i="6" s="1"/>
  <c r="M197" i="6" s="1"/>
  <c r="K75" i="46"/>
  <c r="K76" i="46"/>
  <c r="K77" i="46" s="1"/>
  <c r="I219" i="6"/>
  <c r="H219" i="6"/>
  <c r="R219" i="6"/>
  <c r="Q219" i="6"/>
  <c r="H224" i="6"/>
  <c r="R224" i="6"/>
  <c r="I224" i="6"/>
  <c r="K39" i="46"/>
  <c r="K40" i="46" s="1"/>
  <c r="D223" i="6"/>
  <c r="T223" i="6" s="1"/>
  <c r="R222" i="6"/>
  <c r="I222" i="6"/>
  <c r="H222" i="6"/>
  <c r="H221" i="6"/>
  <c r="I221" i="6"/>
  <c r="R221" i="6"/>
  <c r="I225" i="6"/>
  <c r="R225" i="6"/>
  <c r="H225" i="6"/>
  <c r="I183" i="38"/>
  <c r="I184" i="38" s="1"/>
  <c r="I182" i="38"/>
  <c r="K80" i="46"/>
  <c r="K81" i="46" s="1"/>
  <c r="K82" i="46" s="1"/>
  <c r="K103" i="46"/>
  <c r="K104" i="46" s="1"/>
  <c r="K102" i="46"/>
  <c r="I100" i="36"/>
  <c r="I101" i="36" s="1"/>
  <c r="I200" i="6"/>
  <c r="R200" i="6"/>
  <c r="H200" i="6"/>
  <c r="K118" i="20"/>
  <c r="K119" i="20"/>
  <c r="K120" i="20" s="1"/>
  <c r="H197" i="6"/>
  <c r="R197" i="6"/>
  <c r="I197" i="6"/>
  <c r="K96" i="20"/>
  <c r="K97" i="20" s="1"/>
  <c r="K95" i="20"/>
  <c r="K38" i="46"/>
  <c r="K50" i="46"/>
  <c r="K51" i="46" s="1"/>
  <c r="K49" i="46"/>
  <c r="K8" i="46"/>
  <c r="K9" i="46" s="1"/>
  <c r="D220" i="6" s="1"/>
  <c r="K63" i="46"/>
  <c r="K64" i="46" s="1"/>
  <c r="K62" i="46"/>
  <c r="K27" i="46"/>
  <c r="K28" i="46"/>
  <c r="K29" i="46" s="1"/>
  <c r="Q199" i="6"/>
  <c r="H199" i="6"/>
  <c r="H198" i="6"/>
  <c r="Q198" i="6"/>
  <c r="K352" i="29"/>
  <c r="D156" i="6"/>
  <c r="K96" i="22"/>
  <c r="K97" i="22"/>
  <c r="K98" i="22" s="1"/>
  <c r="T245" i="6"/>
  <c r="K239" i="6"/>
  <c r="L239" i="6" s="1"/>
  <c r="M239" i="6" s="1"/>
  <c r="H239" i="6"/>
  <c r="I239" i="6"/>
  <c r="Q239" i="6"/>
  <c r="R239" i="6"/>
  <c r="D238" i="6"/>
  <c r="T238" i="6" s="1"/>
  <c r="K80" i="22"/>
  <c r="K81" i="22"/>
  <c r="K82" i="22" s="1"/>
  <c r="D377" i="6"/>
  <c r="I169" i="38"/>
  <c r="I170" i="38" s="1"/>
  <c r="I168" i="38"/>
  <c r="D403" i="6"/>
  <c r="I59" i="25"/>
  <c r="I60" i="25"/>
  <c r="I61" i="25" s="1"/>
  <c r="R199" i="6"/>
  <c r="I199" i="6"/>
  <c r="I198" i="6"/>
  <c r="R198" i="6"/>
  <c r="H175" i="6"/>
  <c r="I175" i="6"/>
  <c r="K281" i="29"/>
  <c r="K282" i="29" s="1"/>
  <c r="K280" i="29"/>
  <c r="I42" i="37"/>
  <c r="I43" i="37" s="1"/>
  <c r="D495" i="6" s="1"/>
  <c r="T495" i="6" s="1"/>
  <c r="R175" i="6"/>
  <c r="K175" i="6"/>
  <c r="L175" i="6" s="1"/>
  <c r="M175" i="6" s="1"/>
  <c r="R158" i="6"/>
  <c r="Q158" i="6"/>
  <c r="K371" i="29"/>
  <c r="K372" i="29" s="1"/>
  <c r="D179" i="6"/>
  <c r="D177" i="6"/>
  <c r="K341" i="29"/>
  <c r="K342" i="29" s="1"/>
  <c r="K340" i="29"/>
  <c r="K358" i="29"/>
  <c r="K359" i="29" s="1"/>
  <c r="D161" i="6"/>
  <c r="K259" i="29"/>
  <c r="K260" i="29" s="1"/>
  <c r="K258" i="29"/>
  <c r="K304" i="29"/>
  <c r="I158" i="6"/>
  <c r="H158" i="6"/>
  <c r="R170" i="6"/>
  <c r="K170" i="6"/>
  <c r="H170" i="6"/>
  <c r="I170" i="6"/>
  <c r="K158" i="6"/>
  <c r="L158" i="6" s="1"/>
  <c r="M158" i="6" s="1"/>
  <c r="K155" i="6"/>
  <c r="L155" i="6" s="1"/>
  <c r="M155" i="6" s="1"/>
  <c r="H155" i="6"/>
  <c r="R155" i="6"/>
  <c r="I155" i="6"/>
  <c r="D154" i="6"/>
  <c r="K294" i="29"/>
  <c r="K295" i="29" s="1"/>
  <c r="K293" i="29"/>
  <c r="K328" i="29"/>
  <c r="K329" i="29"/>
  <c r="K330" i="29" s="1"/>
  <c r="D169" i="6"/>
  <c r="K269" i="29"/>
  <c r="K270" i="29"/>
  <c r="K271" i="29" s="1"/>
  <c r="K305" i="29"/>
  <c r="K306" i="29" s="1"/>
  <c r="K28" i="6"/>
  <c r="L28" i="6" s="1"/>
  <c r="M28" i="6" s="1"/>
  <c r="Q28" i="6"/>
  <c r="I28" i="6"/>
  <c r="R28" i="6"/>
  <c r="H28" i="6"/>
  <c r="D157" i="6"/>
  <c r="K240" i="29"/>
  <c r="D174" i="6"/>
  <c r="T174" i="6" s="1"/>
  <c r="K228" i="29"/>
  <c r="K229" i="29"/>
  <c r="K230" i="29" s="1"/>
  <c r="D173" i="6"/>
  <c r="K213" i="29"/>
  <c r="K214" i="29"/>
  <c r="K215" i="29" s="1"/>
  <c r="Q179" i="6" l="1"/>
  <c r="T179" i="6"/>
  <c r="K157" i="6"/>
  <c r="L157" i="6" s="1"/>
  <c r="M157" i="6" s="1"/>
  <c r="T157" i="6"/>
  <c r="Q154" i="6"/>
  <c r="T154" i="6"/>
  <c r="Q156" i="6"/>
  <c r="T156" i="6"/>
  <c r="K220" i="6"/>
  <c r="L220" i="6" s="1"/>
  <c r="M220" i="6" s="1"/>
  <c r="T220" i="6"/>
  <c r="Q169" i="6"/>
  <c r="T169" i="6"/>
  <c r="Q161" i="6"/>
  <c r="T161" i="6"/>
  <c r="Q403" i="6"/>
  <c r="T403" i="6"/>
  <c r="Q177" i="6"/>
  <c r="T177" i="6"/>
  <c r="Q173" i="6"/>
  <c r="T173" i="6"/>
  <c r="Q377" i="6"/>
  <c r="T377" i="6"/>
  <c r="K196" i="6"/>
  <c r="L196" i="6" s="1"/>
  <c r="M196" i="6" s="1"/>
  <c r="T196" i="6"/>
  <c r="Q223" i="6"/>
  <c r="K223" i="6"/>
  <c r="L223" i="6" s="1"/>
  <c r="M223" i="6" s="1"/>
  <c r="I196" i="6"/>
  <c r="Q196" i="6"/>
  <c r="H196" i="6"/>
  <c r="R196" i="6"/>
  <c r="H91" i="46"/>
  <c r="K87" i="46"/>
  <c r="K88" i="46" s="1"/>
  <c r="R220" i="6"/>
  <c r="Q220" i="6"/>
  <c r="I220" i="6"/>
  <c r="H220" i="6"/>
  <c r="H223" i="6"/>
  <c r="R223" i="6"/>
  <c r="I223" i="6"/>
  <c r="L221" i="6"/>
  <c r="M221" i="6" s="1"/>
  <c r="L222" i="6"/>
  <c r="M222" i="6" s="1"/>
  <c r="L224" i="6"/>
  <c r="M224" i="6" s="1"/>
  <c r="L225" i="6"/>
  <c r="M225" i="6" s="1"/>
  <c r="K86" i="46"/>
  <c r="H29" i="6"/>
  <c r="Q29" i="6"/>
  <c r="K29" i="6"/>
  <c r="I29" i="6"/>
  <c r="R29" i="6"/>
  <c r="L200" i="6"/>
  <c r="M200" i="6" s="1"/>
  <c r="K13" i="46"/>
  <c r="K14" i="46"/>
  <c r="K15" i="46" s="1"/>
  <c r="H156" i="6"/>
  <c r="I156" i="6"/>
  <c r="R156" i="6"/>
  <c r="K156" i="6"/>
  <c r="L156" i="6" s="1"/>
  <c r="M156" i="6" s="1"/>
  <c r="K238" i="6"/>
  <c r="H238" i="6"/>
  <c r="I238" i="6"/>
  <c r="Q238" i="6"/>
  <c r="R238" i="6"/>
  <c r="K245" i="6"/>
  <c r="I245" i="6"/>
  <c r="R245" i="6"/>
  <c r="H245" i="6"/>
  <c r="Q245" i="6"/>
  <c r="R377" i="6"/>
  <c r="K377" i="6"/>
  <c r="L377" i="6" s="1"/>
  <c r="M377" i="6" s="1"/>
  <c r="H377" i="6"/>
  <c r="I377" i="6"/>
  <c r="K403" i="6"/>
  <c r="L403" i="6" s="1"/>
  <c r="M403" i="6" s="1"/>
  <c r="R403" i="6"/>
  <c r="H403" i="6"/>
  <c r="I403" i="6"/>
  <c r="Q495" i="6"/>
  <c r="K495" i="6"/>
  <c r="I495" i="6"/>
  <c r="H495" i="6"/>
  <c r="R495" i="6"/>
  <c r="I47" i="37"/>
  <c r="I48" i="37"/>
  <c r="I49" i="37" s="1"/>
  <c r="D178" i="6"/>
  <c r="K363" i="29"/>
  <c r="K364" i="29"/>
  <c r="K365" i="29" s="1"/>
  <c r="D162" i="6"/>
  <c r="K376" i="29"/>
  <c r="K377" i="29"/>
  <c r="K378" i="29" s="1"/>
  <c r="H179" i="6"/>
  <c r="I179" i="6"/>
  <c r="K179" i="6"/>
  <c r="L179" i="6" s="1"/>
  <c r="M179" i="6" s="1"/>
  <c r="R179" i="6"/>
  <c r="H177" i="6"/>
  <c r="I177" i="6"/>
  <c r="R177" i="6"/>
  <c r="K177" i="6"/>
  <c r="R161" i="6"/>
  <c r="H161" i="6"/>
  <c r="I161" i="6"/>
  <c r="K161" i="6"/>
  <c r="L161" i="6" s="1"/>
  <c r="M161" i="6" s="1"/>
  <c r="L170" i="6"/>
  <c r="M170" i="6" s="1"/>
  <c r="H154" i="6"/>
  <c r="K154" i="6"/>
  <c r="L154" i="6" s="1"/>
  <c r="M154" i="6" s="1"/>
  <c r="I154" i="6"/>
  <c r="R154" i="6"/>
  <c r="K169" i="6"/>
  <c r="L169" i="6" s="1"/>
  <c r="M169" i="6" s="1"/>
  <c r="R169" i="6"/>
  <c r="H169" i="6"/>
  <c r="I169" i="6"/>
  <c r="H157" i="6"/>
  <c r="Q157" i="6"/>
  <c r="R157" i="6"/>
  <c r="I157" i="6"/>
  <c r="I174" i="6"/>
  <c r="K174" i="6"/>
  <c r="L174" i="6" s="1"/>
  <c r="M174" i="6" s="1"/>
  <c r="R174" i="6"/>
  <c r="H174" i="6"/>
  <c r="Q174" i="6"/>
  <c r="K173" i="6"/>
  <c r="L173" i="6" s="1"/>
  <c r="M173" i="6" s="1"/>
  <c r="R173" i="6"/>
  <c r="I173" i="6"/>
  <c r="H173" i="6"/>
  <c r="E484" i="6"/>
  <c r="B484" i="6"/>
  <c r="J484" i="6" s="1"/>
  <c r="E485" i="6"/>
  <c r="B485" i="6"/>
  <c r="J485" i="6" s="1"/>
  <c r="E482" i="6"/>
  <c r="B482" i="6"/>
  <c r="J482" i="6" s="1"/>
  <c r="E483" i="6"/>
  <c r="B483" i="6"/>
  <c r="J483" i="6" s="1"/>
  <c r="E476" i="6"/>
  <c r="B476" i="6"/>
  <c r="J476" i="6" s="1"/>
  <c r="E474" i="6"/>
  <c r="B474" i="6"/>
  <c r="J474" i="6" s="1"/>
  <c r="E475" i="6"/>
  <c r="B475" i="6"/>
  <c r="J475" i="6" s="1"/>
  <c r="E447" i="6"/>
  <c r="B447" i="6"/>
  <c r="J447" i="6" s="1"/>
  <c r="E448" i="6"/>
  <c r="B448" i="6"/>
  <c r="J448" i="6" s="1"/>
  <c r="E450" i="6"/>
  <c r="B450" i="6"/>
  <c r="J450" i="6" s="1"/>
  <c r="E449" i="6"/>
  <c r="B449" i="6"/>
  <c r="J449" i="6" s="1"/>
  <c r="E465" i="6"/>
  <c r="B465" i="6"/>
  <c r="J465" i="6" s="1"/>
  <c r="E464" i="6"/>
  <c r="B464" i="6"/>
  <c r="J464" i="6" s="1"/>
  <c r="E458" i="6"/>
  <c r="B458" i="6"/>
  <c r="J458" i="6" s="1"/>
  <c r="E463" i="6"/>
  <c r="B463" i="6"/>
  <c r="J463" i="6" s="1"/>
  <c r="E460" i="6"/>
  <c r="B460" i="6"/>
  <c r="J460" i="6" s="1"/>
  <c r="E461" i="6"/>
  <c r="B461" i="6"/>
  <c r="J461" i="6" s="1"/>
  <c r="E466" i="6"/>
  <c r="B466" i="6"/>
  <c r="J466" i="6" s="1"/>
  <c r="E462" i="6"/>
  <c r="B462" i="6"/>
  <c r="J462" i="6" s="1"/>
  <c r="E459" i="6"/>
  <c r="B459" i="6"/>
  <c r="J459" i="6" s="1"/>
  <c r="E192" i="6"/>
  <c r="B192" i="6"/>
  <c r="J192" i="6" s="1"/>
  <c r="K57" i="20"/>
  <c r="K58" i="20" s="1"/>
  <c r="E440" i="6"/>
  <c r="B440" i="6"/>
  <c r="J440" i="6" s="1"/>
  <c r="E439" i="6"/>
  <c r="B439" i="6"/>
  <c r="J439" i="6" s="1"/>
  <c r="E437" i="6"/>
  <c r="B437" i="6"/>
  <c r="J437" i="6" s="1"/>
  <c r="I36" i="43"/>
  <c r="I37" i="43" s="1"/>
  <c r="I24" i="43"/>
  <c r="I25" i="43" s="1"/>
  <c r="E431" i="6"/>
  <c r="B431" i="6"/>
  <c r="J431" i="6" s="1"/>
  <c r="I11" i="43"/>
  <c r="I12" i="43" s="1"/>
  <c r="K11" i="42"/>
  <c r="K12" i="42" s="1"/>
  <c r="E425" i="6"/>
  <c r="B425" i="6"/>
  <c r="J425" i="6" s="1"/>
  <c r="E424" i="6"/>
  <c r="B424" i="6"/>
  <c r="J424" i="6" s="1"/>
  <c r="E423" i="6"/>
  <c r="B423" i="6"/>
  <c r="J423" i="6" s="1"/>
  <c r="E422" i="6"/>
  <c r="B422" i="6"/>
  <c r="J422" i="6" s="1"/>
  <c r="E421" i="6"/>
  <c r="B421" i="6"/>
  <c r="J421" i="6" s="1"/>
  <c r="E420" i="6"/>
  <c r="B420" i="6"/>
  <c r="J420" i="6" s="1"/>
  <c r="I89" i="41"/>
  <c r="I90" i="41" s="1"/>
  <c r="F86" i="41"/>
  <c r="I77" i="41"/>
  <c r="I78" i="41" s="1"/>
  <c r="F74" i="41"/>
  <c r="I65" i="41"/>
  <c r="I66" i="41" s="1"/>
  <c r="I50" i="41"/>
  <c r="I51" i="41" s="1"/>
  <c r="I38" i="41"/>
  <c r="I39" i="41" s="1"/>
  <c r="F35" i="41"/>
  <c r="I27" i="41"/>
  <c r="I28" i="41" s="1"/>
  <c r="F24" i="41"/>
  <c r="K27" i="39"/>
  <c r="K28" i="39" s="1"/>
  <c r="H24" i="39"/>
  <c r="K15" i="39"/>
  <c r="K16" i="39" s="1"/>
  <c r="H12" i="39"/>
  <c r="E380" i="6"/>
  <c r="B380" i="6"/>
  <c r="J380" i="6" s="1"/>
  <c r="I35" i="38"/>
  <c r="I36" i="38" s="1"/>
  <c r="E383" i="6"/>
  <c r="J383" i="6"/>
  <c r="E386" i="6"/>
  <c r="B386" i="6"/>
  <c r="J386" i="6" s="1"/>
  <c r="E385" i="6"/>
  <c r="B385" i="6"/>
  <c r="J385" i="6" s="1"/>
  <c r="E384" i="6"/>
  <c r="B384" i="6"/>
  <c r="J384" i="6" s="1"/>
  <c r="E382" i="6"/>
  <c r="B382" i="6"/>
  <c r="J382" i="6" s="1"/>
  <c r="E381" i="6"/>
  <c r="B381" i="6"/>
  <c r="J381" i="6" s="1"/>
  <c r="E379" i="6"/>
  <c r="B379" i="6"/>
  <c r="J379" i="6" s="1"/>
  <c r="E378" i="6"/>
  <c r="B378" i="6"/>
  <c r="J378" i="6" s="1"/>
  <c r="I11" i="41"/>
  <c r="I12" i="41" s="1"/>
  <c r="F8" i="41"/>
  <c r="I7" i="41" s="1"/>
  <c r="I9" i="41" s="1"/>
  <c r="D420" i="6" s="1"/>
  <c r="I155" i="38"/>
  <c r="I156" i="38" s="1"/>
  <c r="F152" i="38"/>
  <c r="I143" i="38"/>
  <c r="I144" i="38" s="1"/>
  <c r="F140" i="38"/>
  <c r="I131" i="38"/>
  <c r="I132" i="38" s="1"/>
  <c r="F128" i="38"/>
  <c r="I120" i="38"/>
  <c r="I121" i="38" s="1"/>
  <c r="F117" i="38"/>
  <c r="I108" i="38"/>
  <c r="I109" i="38" s="1"/>
  <c r="F105" i="38"/>
  <c r="I96" i="38"/>
  <c r="I97" i="38" s="1"/>
  <c r="F93" i="38"/>
  <c r="I82" i="38"/>
  <c r="I83" i="38" s="1"/>
  <c r="I70" i="38"/>
  <c r="I71" i="38" s="1"/>
  <c r="F67" i="38"/>
  <c r="I57" i="38"/>
  <c r="I58" i="38" s="1"/>
  <c r="F54" i="38"/>
  <c r="I46" i="38"/>
  <c r="I47" i="38" s="1"/>
  <c r="F43" i="38"/>
  <c r="I24" i="38"/>
  <c r="I25" i="38" s="1"/>
  <c r="F21" i="38"/>
  <c r="I12" i="38"/>
  <c r="I13" i="38" s="1"/>
  <c r="F9" i="38"/>
  <c r="N423" i="6" l="1"/>
  <c r="N463" i="6"/>
  <c r="O463" i="6" s="1"/>
  <c r="P463" i="6" s="1"/>
  <c r="Q162" i="6"/>
  <c r="T162" i="6"/>
  <c r="N385" i="6"/>
  <c r="O385" i="6" s="1"/>
  <c r="P385" i="6" s="1"/>
  <c r="N421" i="6"/>
  <c r="N386" i="6"/>
  <c r="O386" i="6" s="1"/>
  <c r="P386" i="6" s="1"/>
  <c r="N459" i="6"/>
  <c r="O459" i="6" s="1"/>
  <c r="P459" i="6" s="1"/>
  <c r="N458" i="6"/>
  <c r="O458" i="6" s="1"/>
  <c r="P458" i="6" s="1"/>
  <c r="Q178" i="6"/>
  <c r="T178" i="6"/>
  <c r="N384" i="6"/>
  <c r="O384" i="6" s="1"/>
  <c r="P384" i="6" s="1"/>
  <c r="N460" i="6"/>
  <c r="O460" i="6" s="1"/>
  <c r="P460" i="6" s="1"/>
  <c r="N420" i="6"/>
  <c r="T420" i="6"/>
  <c r="N422" i="6"/>
  <c r="N462" i="6"/>
  <c r="O462" i="6" s="1"/>
  <c r="P462" i="6" s="1"/>
  <c r="N466" i="6"/>
  <c r="O466" i="6" s="1"/>
  <c r="P466" i="6" s="1"/>
  <c r="N465" i="6"/>
  <c r="O465" i="6" s="1"/>
  <c r="P465" i="6" s="1"/>
  <c r="N381" i="6"/>
  <c r="N380" i="6"/>
  <c r="O380" i="6" s="1"/>
  <c r="P380" i="6" s="1"/>
  <c r="N424" i="6"/>
  <c r="N382" i="6"/>
  <c r="O382" i="6" s="1"/>
  <c r="P382" i="6" s="1"/>
  <c r="N461" i="6"/>
  <c r="O461" i="6" s="1"/>
  <c r="P461" i="6" s="1"/>
  <c r="N425" i="6"/>
  <c r="F463" i="6"/>
  <c r="G463" i="6" s="1"/>
  <c r="F448" i="6"/>
  <c r="G448" i="6" s="1"/>
  <c r="P448" i="6"/>
  <c r="F447" i="6"/>
  <c r="G447" i="6" s="1"/>
  <c r="P447" i="6"/>
  <c r="F485" i="6"/>
  <c r="G485" i="6" s="1"/>
  <c r="O485" i="6"/>
  <c r="P485" i="6" s="1"/>
  <c r="F458" i="6"/>
  <c r="G458" i="6" s="1"/>
  <c r="O474" i="6"/>
  <c r="P474" i="6" s="1"/>
  <c r="F484" i="6"/>
  <c r="G484" i="6" s="1"/>
  <c r="O484" i="6"/>
  <c r="P484" i="6" s="1"/>
  <c r="F449" i="6"/>
  <c r="G449" i="6" s="1"/>
  <c r="P449" i="6"/>
  <c r="F450" i="6"/>
  <c r="G450" i="6" s="1"/>
  <c r="P450" i="6"/>
  <c r="J467" i="6"/>
  <c r="L226" i="6"/>
  <c r="M226" i="6" s="1"/>
  <c r="H226" i="6"/>
  <c r="H234" i="6" s="1"/>
  <c r="I226" i="6"/>
  <c r="R226" i="6"/>
  <c r="R234" i="6" s="1"/>
  <c r="H33" i="6"/>
  <c r="R33" i="6"/>
  <c r="L29" i="6"/>
  <c r="M29" i="6" s="1"/>
  <c r="L238" i="6"/>
  <c r="M238" i="6" s="1"/>
  <c r="L245" i="6"/>
  <c r="M245" i="6" s="1"/>
  <c r="L495" i="6"/>
  <c r="M495" i="6" s="1"/>
  <c r="L177" i="6"/>
  <c r="M177" i="6" s="1"/>
  <c r="R162" i="6"/>
  <c r="K162" i="6"/>
  <c r="I162" i="6"/>
  <c r="H162" i="6"/>
  <c r="K178" i="6"/>
  <c r="L178" i="6" s="1"/>
  <c r="M178" i="6" s="1"/>
  <c r="R178" i="6"/>
  <c r="I178" i="6"/>
  <c r="H178" i="6"/>
  <c r="D502" i="6"/>
  <c r="T502" i="6" s="1"/>
  <c r="F192" i="6"/>
  <c r="G192" i="6" s="1"/>
  <c r="O192" i="6"/>
  <c r="P192" i="6" s="1"/>
  <c r="F382" i="6"/>
  <c r="G382" i="6" s="1"/>
  <c r="F462" i="6"/>
  <c r="G462" i="6" s="1"/>
  <c r="F464" i="6"/>
  <c r="G464" i="6" s="1"/>
  <c r="O464" i="6"/>
  <c r="P464" i="6" s="1"/>
  <c r="F383" i="6"/>
  <c r="G383" i="6" s="1"/>
  <c r="O383" i="6"/>
  <c r="P383" i="6" s="1"/>
  <c r="F437" i="6"/>
  <c r="G437" i="6" s="1"/>
  <c r="P437" i="6"/>
  <c r="F459" i="6"/>
  <c r="G459" i="6" s="1"/>
  <c r="F384" i="6"/>
  <c r="G384" i="6" s="1"/>
  <c r="F465" i="6"/>
  <c r="G465" i="6" s="1"/>
  <c r="F439" i="6"/>
  <c r="G439" i="6" s="1"/>
  <c r="P439" i="6"/>
  <c r="F385" i="6"/>
  <c r="G385" i="6" s="1"/>
  <c r="F431" i="6"/>
  <c r="G431" i="6" s="1"/>
  <c r="O431" i="6"/>
  <c r="P431" i="6" s="1"/>
  <c r="F461" i="6"/>
  <c r="G461" i="6" s="1"/>
  <c r="F475" i="6"/>
  <c r="G475" i="6" s="1"/>
  <c r="O475" i="6"/>
  <c r="P475" i="6" s="1"/>
  <c r="F466" i="6"/>
  <c r="G466" i="6" s="1"/>
  <c r="F440" i="6"/>
  <c r="G440" i="6" s="1"/>
  <c r="P440" i="6"/>
  <c r="F380" i="6"/>
  <c r="G380" i="6" s="1"/>
  <c r="F460" i="6"/>
  <c r="G460" i="6" s="1"/>
  <c r="F386" i="6"/>
  <c r="G386" i="6" s="1"/>
  <c r="F476" i="6"/>
  <c r="G476" i="6" s="1"/>
  <c r="O476" i="6"/>
  <c r="P476" i="6" s="1"/>
  <c r="F482" i="6"/>
  <c r="G482" i="6" s="1"/>
  <c r="O482" i="6"/>
  <c r="P482" i="6" s="1"/>
  <c r="F483" i="6"/>
  <c r="G483" i="6" s="1"/>
  <c r="O483" i="6"/>
  <c r="P483" i="6" s="1"/>
  <c r="F474" i="6"/>
  <c r="G474" i="6" s="1"/>
  <c r="I85" i="41"/>
  <c r="I87" i="41" s="1"/>
  <c r="F87" i="41"/>
  <c r="I73" i="41"/>
  <c r="I75" i="41" s="1"/>
  <c r="F75" i="41"/>
  <c r="F36" i="41"/>
  <c r="I34" i="41"/>
  <c r="I36" i="41" s="1"/>
  <c r="F25" i="41"/>
  <c r="I23" i="41"/>
  <c r="I25" i="41" s="1"/>
  <c r="I13" i="41"/>
  <c r="K23" i="39"/>
  <c r="K25" i="39" s="1"/>
  <c r="D392" i="6" s="1"/>
  <c r="T392" i="6" s="1"/>
  <c r="H25" i="39"/>
  <c r="K11" i="39"/>
  <c r="K13" i="39" s="1"/>
  <c r="D393" i="6" s="1"/>
  <c r="T393" i="6" s="1"/>
  <c r="H13" i="39"/>
  <c r="I14" i="41"/>
  <c r="I15" i="41" s="1"/>
  <c r="F9" i="41"/>
  <c r="I151" i="38"/>
  <c r="I153" i="38" s="1"/>
  <c r="F153" i="38"/>
  <c r="I139" i="38"/>
  <c r="I141" i="38" s="1"/>
  <c r="F141" i="38"/>
  <c r="I127" i="38"/>
  <c r="I129" i="38" s="1"/>
  <c r="F129" i="38"/>
  <c r="I116" i="38"/>
  <c r="I118" i="38" s="1"/>
  <c r="F118" i="38"/>
  <c r="I104" i="38"/>
  <c r="I106" i="38" s="1"/>
  <c r="F106" i="38"/>
  <c r="I92" i="38"/>
  <c r="I94" i="38" s="1"/>
  <c r="F94" i="38"/>
  <c r="F68" i="38"/>
  <c r="I66" i="38"/>
  <c r="I68" i="38" s="1"/>
  <c r="I72" i="38" s="1"/>
  <c r="I53" i="38"/>
  <c r="I55" i="38" s="1"/>
  <c r="F55" i="38"/>
  <c r="I42" i="38"/>
  <c r="I44" i="38" s="1"/>
  <c r="F44" i="38"/>
  <c r="I20" i="38"/>
  <c r="I22" i="38" s="1"/>
  <c r="F22" i="38"/>
  <c r="I8" i="38"/>
  <c r="I10" i="38" s="1"/>
  <c r="F10" i="38"/>
  <c r="K393" i="6" l="1"/>
  <c r="I393" i="6"/>
  <c r="Q393" i="6"/>
  <c r="H393" i="6"/>
  <c r="R393" i="6"/>
  <c r="K392" i="6"/>
  <c r="Q392" i="6"/>
  <c r="R392" i="6"/>
  <c r="I392" i="6"/>
  <c r="H392" i="6"/>
  <c r="L162" i="6"/>
  <c r="M162" i="6" s="1"/>
  <c r="K502" i="6"/>
  <c r="L502" i="6" s="1"/>
  <c r="M502" i="6" s="1"/>
  <c r="R502" i="6"/>
  <c r="R505" i="6" s="1"/>
  <c r="Q502" i="6"/>
  <c r="I502" i="6"/>
  <c r="H502" i="6"/>
  <c r="H505" i="6" s="1"/>
  <c r="I29" i="41"/>
  <c r="D421" i="6"/>
  <c r="T421" i="6" s="1"/>
  <c r="I79" i="41"/>
  <c r="D424" i="6"/>
  <c r="T424" i="6" s="1"/>
  <c r="I40" i="41"/>
  <c r="I91" i="41"/>
  <c r="D425" i="6"/>
  <c r="T425" i="6" s="1"/>
  <c r="K17" i="39"/>
  <c r="K29" i="39"/>
  <c r="I41" i="41"/>
  <c r="I42" i="41" s="1"/>
  <c r="I92" i="41"/>
  <c r="I93" i="41" s="1"/>
  <c r="I80" i="41"/>
  <c r="I81" i="41" s="1"/>
  <c r="I30" i="41"/>
  <c r="I31" i="41" s="1"/>
  <c r="K30" i="39"/>
  <c r="K31" i="39" s="1"/>
  <c r="K18" i="39"/>
  <c r="K19" i="39" s="1"/>
  <c r="I14" i="38"/>
  <c r="D378" i="6"/>
  <c r="T378" i="6" s="1"/>
  <c r="I26" i="38"/>
  <c r="D379" i="6"/>
  <c r="T379" i="6" s="1"/>
  <c r="I27" i="38"/>
  <c r="I28" i="38" s="1"/>
  <c r="I59" i="38"/>
  <c r="D381" i="6"/>
  <c r="I98" i="38"/>
  <c r="D382" i="6"/>
  <c r="I122" i="38"/>
  <c r="D385" i="6"/>
  <c r="I145" i="38"/>
  <c r="I15" i="38"/>
  <c r="I16" i="38" s="1"/>
  <c r="I48" i="38"/>
  <c r="I110" i="38"/>
  <c r="D384" i="6"/>
  <c r="I133" i="38"/>
  <c r="D386" i="6"/>
  <c r="I157" i="38"/>
  <c r="D383" i="6"/>
  <c r="I134" i="38"/>
  <c r="I135" i="38" s="1"/>
  <c r="I49" i="38"/>
  <c r="I50" i="38" s="1"/>
  <c r="I158" i="38"/>
  <c r="I159" i="38" s="1"/>
  <c r="I146" i="38"/>
  <c r="I147" i="38" s="1"/>
  <c r="I123" i="38"/>
  <c r="I124" i="38" s="1"/>
  <c r="I111" i="38"/>
  <c r="I112" i="38" s="1"/>
  <c r="I99" i="38"/>
  <c r="I100" i="38" s="1"/>
  <c r="I73" i="38"/>
  <c r="I74" i="38" s="1"/>
  <c r="I60" i="38"/>
  <c r="I61" i="38" s="1"/>
  <c r="T384" i="6" l="1"/>
  <c r="H384" i="6"/>
  <c r="T385" i="6"/>
  <c r="H385" i="6"/>
  <c r="T382" i="6"/>
  <c r="H382" i="6"/>
  <c r="T383" i="6"/>
  <c r="H383" i="6"/>
  <c r="T381" i="6"/>
  <c r="T386" i="6"/>
  <c r="H386" i="6"/>
  <c r="L393" i="6"/>
  <c r="M393" i="6" s="1"/>
  <c r="L392" i="6"/>
  <c r="M392" i="6" s="1"/>
  <c r="Q383" i="6"/>
  <c r="R383" i="6"/>
  <c r="Q386" i="6"/>
  <c r="R386" i="6"/>
  <c r="Q384" i="6"/>
  <c r="R384" i="6"/>
  <c r="Q385" i="6"/>
  <c r="R385" i="6"/>
  <c r="Q382" i="6"/>
  <c r="R382" i="6"/>
  <c r="K386" i="6"/>
  <c r="L386" i="6" s="1"/>
  <c r="M386" i="6" s="1"/>
  <c r="I386" i="6"/>
  <c r="K382" i="6"/>
  <c r="L382" i="6" s="1"/>
  <c r="M382" i="6" s="1"/>
  <c r="I382" i="6"/>
  <c r="K383" i="6"/>
  <c r="I383" i="6"/>
  <c r="K384" i="6"/>
  <c r="I384" i="6"/>
  <c r="K385" i="6"/>
  <c r="L385" i="6" s="1"/>
  <c r="M385" i="6" s="1"/>
  <c r="I385" i="6"/>
  <c r="F31" i="37"/>
  <c r="F33" i="37" s="1"/>
  <c r="I30" i="37" s="1"/>
  <c r="F20" i="37"/>
  <c r="F23" i="37" s="1"/>
  <c r="I19" i="37" s="1"/>
  <c r="E370" i="6"/>
  <c r="B370" i="6"/>
  <c r="J370" i="6" s="1"/>
  <c r="E367" i="6"/>
  <c r="B367" i="6"/>
  <c r="J367" i="6" s="1"/>
  <c r="E369" i="6"/>
  <c r="B369" i="6"/>
  <c r="J369" i="6" s="1"/>
  <c r="E368" i="6"/>
  <c r="B368" i="6"/>
  <c r="J368" i="6" s="1"/>
  <c r="E371" i="6"/>
  <c r="B371" i="6"/>
  <c r="J371" i="6" s="1"/>
  <c r="E366" i="6"/>
  <c r="B366" i="6"/>
  <c r="J366" i="6" s="1"/>
  <c r="I82" i="36"/>
  <c r="I83" i="36" s="1"/>
  <c r="I70" i="36"/>
  <c r="I71" i="36" s="1"/>
  <c r="I58" i="36"/>
  <c r="I59" i="36" s="1"/>
  <c r="I47" i="36"/>
  <c r="I48" i="36" s="1"/>
  <c r="I35" i="36"/>
  <c r="I36" i="36" s="1"/>
  <c r="I23" i="36"/>
  <c r="I24" i="36" s="1"/>
  <c r="E358" i="6"/>
  <c r="B358" i="6"/>
  <c r="J358" i="6" s="1"/>
  <c r="E357" i="6"/>
  <c r="B357" i="6"/>
  <c r="J357" i="6" s="1"/>
  <c r="F8" i="37"/>
  <c r="I11" i="36"/>
  <c r="I12" i="36" s="1"/>
  <c r="E348" i="6"/>
  <c r="B348" i="6"/>
  <c r="J348" i="6" s="1"/>
  <c r="E350" i="6"/>
  <c r="B350" i="6"/>
  <c r="J350" i="6" s="1"/>
  <c r="E346" i="6"/>
  <c r="B346" i="6"/>
  <c r="J346" i="6" s="1"/>
  <c r="E349" i="6"/>
  <c r="B349" i="6"/>
  <c r="J349" i="6" s="1"/>
  <c r="E347" i="6"/>
  <c r="B347" i="6"/>
  <c r="J347" i="6" s="1"/>
  <c r="I39" i="34"/>
  <c r="I40" i="34" s="1"/>
  <c r="I26" i="34"/>
  <c r="I27" i="34" s="1"/>
  <c r="O425" i="6"/>
  <c r="P425" i="6" s="1"/>
  <c r="R425" i="6" s="1"/>
  <c r="K425" i="6"/>
  <c r="L425" i="6" s="1"/>
  <c r="F425" i="6"/>
  <c r="G425" i="6" s="1"/>
  <c r="I425" i="6" s="1"/>
  <c r="O424" i="6"/>
  <c r="P424" i="6" s="1"/>
  <c r="R424" i="6" s="1"/>
  <c r="K424" i="6"/>
  <c r="F424" i="6"/>
  <c r="G424" i="6" s="1"/>
  <c r="O423" i="6"/>
  <c r="P423" i="6" s="1"/>
  <c r="F423" i="6"/>
  <c r="G423" i="6" s="1"/>
  <c r="O422" i="6"/>
  <c r="P422" i="6" s="1"/>
  <c r="F422" i="6"/>
  <c r="G422" i="6" s="1"/>
  <c r="O421" i="6"/>
  <c r="P421" i="6" s="1"/>
  <c r="R421" i="6" s="1"/>
  <c r="K421" i="6"/>
  <c r="F421" i="6"/>
  <c r="G421" i="6" s="1"/>
  <c r="O420" i="6"/>
  <c r="P420" i="6" s="1"/>
  <c r="K420" i="6"/>
  <c r="F420" i="6"/>
  <c r="G420" i="6" s="1"/>
  <c r="H420" i="6" s="1"/>
  <c r="O381" i="6"/>
  <c r="P381" i="6" s="1"/>
  <c r="R381" i="6" s="1"/>
  <c r="K381" i="6"/>
  <c r="L381" i="6" s="1"/>
  <c r="M381" i="6" s="1"/>
  <c r="F381" i="6"/>
  <c r="G381" i="6" s="1"/>
  <c r="H381" i="6" s="1"/>
  <c r="O379" i="6"/>
  <c r="P379" i="6" s="1"/>
  <c r="R379" i="6" s="1"/>
  <c r="K379" i="6"/>
  <c r="L379" i="6" s="1"/>
  <c r="F379" i="6"/>
  <c r="G379" i="6" s="1"/>
  <c r="O378" i="6"/>
  <c r="P378" i="6" s="1"/>
  <c r="R378" i="6" s="1"/>
  <c r="K378" i="6"/>
  <c r="F378" i="6"/>
  <c r="G378" i="6" s="1"/>
  <c r="E339" i="6"/>
  <c r="B339" i="6"/>
  <c r="J339" i="6" s="1"/>
  <c r="E335" i="6"/>
  <c r="B335" i="6"/>
  <c r="J335" i="6" s="1"/>
  <c r="E337" i="6"/>
  <c r="B337" i="6"/>
  <c r="J337" i="6" s="1"/>
  <c r="E333" i="6"/>
  <c r="B333" i="6"/>
  <c r="J333" i="6" s="1"/>
  <c r="E338" i="6"/>
  <c r="B338" i="6"/>
  <c r="J338" i="6" s="1"/>
  <c r="E334" i="6"/>
  <c r="B334" i="6"/>
  <c r="J334" i="6" s="1"/>
  <c r="E340" i="6"/>
  <c r="B340" i="6"/>
  <c r="J340" i="6" s="1"/>
  <c r="E336" i="6"/>
  <c r="B336" i="6"/>
  <c r="J336" i="6" s="1"/>
  <c r="I63" i="33"/>
  <c r="I64" i="33" s="1"/>
  <c r="F60" i="33"/>
  <c r="F61" i="33" s="1"/>
  <c r="I49" i="33"/>
  <c r="I50" i="33" s="1"/>
  <c r="I37" i="33"/>
  <c r="I38" i="33" s="1"/>
  <c r="I24" i="33"/>
  <c r="I25" i="33" s="1"/>
  <c r="E325" i="6"/>
  <c r="B325" i="6"/>
  <c r="J325" i="6" s="1"/>
  <c r="E324" i="6"/>
  <c r="B324" i="6"/>
  <c r="J324" i="6" s="1"/>
  <c r="I11" i="35"/>
  <c r="I12" i="35" s="1"/>
  <c r="I11" i="34"/>
  <c r="I12" i="34" s="1"/>
  <c r="I11" i="33"/>
  <c r="I12" i="33" s="1"/>
  <c r="R11" i="32"/>
  <c r="R12" i="32" s="1"/>
  <c r="I11" i="32"/>
  <c r="I12" i="32" s="1"/>
  <c r="O8" i="32"/>
  <c r="F8" i="32"/>
  <c r="E315" i="6"/>
  <c r="B315" i="6"/>
  <c r="J315" i="6" s="1"/>
  <c r="E307" i="6"/>
  <c r="B307" i="6"/>
  <c r="J307" i="6" s="1"/>
  <c r="E316" i="6"/>
  <c r="B316" i="6"/>
  <c r="J316" i="6" s="1"/>
  <c r="E308" i="6"/>
  <c r="B308" i="6"/>
  <c r="J308" i="6" s="1"/>
  <c r="B317" i="6"/>
  <c r="J317" i="6" s="1"/>
  <c r="E314" i="6"/>
  <c r="B314" i="6"/>
  <c r="J314" i="6" s="1"/>
  <c r="E306" i="6"/>
  <c r="B306" i="6"/>
  <c r="J306" i="6" s="1"/>
  <c r="E313" i="6"/>
  <c r="B313" i="6"/>
  <c r="J313" i="6" s="1"/>
  <c r="E305" i="6"/>
  <c r="B305" i="6"/>
  <c r="J305" i="6" s="1"/>
  <c r="E309" i="6"/>
  <c r="B309" i="6"/>
  <c r="J309" i="6" s="1"/>
  <c r="E312" i="6"/>
  <c r="B312" i="6"/>
  <c r="J312" i="6" s="1"/>
  <c r="E304" i="6"/>
  <c r="B304" i="6"/>
  <c r="J304" i="6" s="1"/>
  <c r="I33" i="31"/>
  <c r="I34" i="31" s="1"/>
  <c r="F30" i="31"/>
  <c r="I22" i="31"/>
  <c r="I23" i="31" s="1"/>
  <c r="I83" i="31"/>
  <c r="I84" i="31" s="1"/>
  <c r="I69" i="31"/>
  <c r="I70" i="31" s="1"/>
  <c r="F66" i="31"/>
  <c r="I57" i="31"/>
  <c r="I58" i="31" s="1"/>
  <c r="I45" i="31"/>
  <c r="I46" i="31" s="1"/>
  <c r="E295" i="6"/>
  <c r="B295" i="6"/>
  <c r="J295" i="6" s="1"/>
  <c r="E297" i="6"/>
  <c r="B297" i="6"/>
  <c r="J297" i="6" s="1"/>
  <c r="E296" i="6"/>
  <c r="B296" i="6"/>
  <c r="J296" i="6" s="1"/>
  <c r="E298" i="6"/>
  <c r="B298" i="6"/>
  <c r="J298" i="6" s="1"/>
  <c r="I22" i="30"/>
  <c r="I23" i="30" s="1"/>
  <c r="E278" i="6"/>
  <c r="B278" i="6"/>
  <c r="J278" i="6" s="1"/>
  <c r="E268" i="6"/>
  <c r="B268" i="6"/>
  <c r="J268" i="6" s="1"/>
  <c r="E287" i="6"/>
  <c r="B287" i="6"/>
  <c r="J287" i="6" s="1"/>
  <c r="E277" i="6"/>
  <c r="B277" i="6"/>
  <c r="J277" i="6" s="1"/>
  <c r="E286" i="6"/>
  <c r="B286" i="6"/>
  <c r="J286" i="6" s="1"/>
  <c r="E276" i="6"/>
  <c r="B276" i="6"/>
  <c r="J276" i="6" s="1"/>
  <c r="E285" i="6"/>
  <c r="B285" i="6"/>
  <c r="J285" i="6" s="1"/>
  <c r="E275" i="6"/>
  <c r="B275" i="6"/>
  <c r="J275" i="6" s="1"/>
  <c r="E281" i="6"/>
  <c r="B281" i="6"/>
  <c r="J281" i="6" s="1"/>
  <c r="E271" i="6"/>
  <c r="B271" i="6"/>
  <c r="J271" i="6" s="1"/>
  <c r="E279" i="6"/>
  <c r="B279" i="6"/>
  <c r="J279" i="6" s="1"/>
  <c r="E269" i="6"/>
  <c r="B269" i="6"/>
  <c r="J269" i="6" s="1"/>
  <c r="E280" i="6"/>
  <c r="B280" i="6"/>
  <c r="J280" i="6" s="1"/>
  <c r="E270" i="6"/>
  <c r="B270" i="6"/>
  <c r="J270" i="6" s="1"/>
  <c r="I33" i="28"/>
  <c r="I34" i="28" s="1"/>
  <c r="F30" i="28"/>
  <c r="I81" i="28"/>
  <c r="I82" i="28" s="1"/>
  <c r="F78" i="28"/>
  <c r="I69" i="28"/>
  <c r="I70" i="28" s="1"/>
  <c r="F66" i="28"/>
  <c r="I58" i="28"/>
  <c r="I59" i="28" s="1"/>
  <c r="F55" i="28"/>
  <c r="I46" i="28"/>
  <c r="I47" i="28" s="1"/>
  <c r="I22" i="28"/>
  <c r="I23" i="28" s="1"/>
  <c r="F19" i="28"/>
  <c r="I11" i="31"/>
  <c r="I12" i="31" s="1"/>
  <c r="I11" i="30"/>
  <c r="I12" i="30" s="1"/>
  <c r="E258" i="6"/>
  <c r="B258" i="6"/>
  <c r="J258" i="6" s="1"/>
  <c r="E260" i="6"/>
  <c r="B260" i="6"/>
  <c r="J260" i="6" s="1"/>
  <c r="E255" i="6"/>
  <c r="B255" i="6"/>
  <c r="J255" i="6" s="1"/>
  <c r="E261" i="6"/>
  <c r="B261" i="6"/>
  <c r="J261" i="6" s="1"/>
  <c r="E256" i="6"/>
  <c r="B256" i="6"/>
  <c r="J256" i="6" s="1"/>
  <c r="E252" i="6"/>
  <c r="B252" i="6"/>
  <c r="J252" i="6" s="1"/>
  <c r="E259" i="6"/>
  <c r="B259" i="6"/>
  <c r="J259" i="6" s="1"/>
  <c r="I51" i="27"/>
  <c r="I52" i="27" s="1"/>
  <c r="E254" i="6"/>
  <c r="B254" i="6"/>
  <c r="J254" i="6" s="1"/>
  <c r="E262" i="6"/>
  <c r="B262" i="6"/>
  <c r="J262" i="6" s="1"/>
  <c r="E257" i="6"/>
  <c r="B257" i="6"/>
  <c r="J257" i="6" s="1"/>
  <c r="I104" i="27"/>
  <c r="I105" i="27" s="1"/>
  <c r="I93" i="27"/>
  <c r="I94" i="27" s="1"/>
  <c r="I81" i="27"/>
  <c r="I82" i="27" s="1"/>
  <c r="O242" i="6"/>
  <c r="P242" i="6" s="1"/>
  <c r="B242" i="6"/>
  <c r="J242" i="6" s="1"/>
  <c r="B244" i="6"/>
  <c r="J244" i="6" s="1"/>
  <c r="O241" i="6"/>
  <c r="P241" i="6" s="1"/>
  <c r="B241" i="6"/>
  <c r="J241" i="6" s="1"/>
  <c r="E194" i="6"/>
  <c r="B194" i="6"/>
  <c r="J194" i="6" s="1"/>
  <c r="E195" i="6"/>
  <c r="B195" i="6"/>
  <c r="J195" i="6" s="1"/>
  <c r="E193" i="6"/>
  <c r="B193" i="6"/>
  <c r="J193" i="6" s="1"/>
  <c r="E191" i="6"/>
  <c r="B191" i="6"/>
  <c r="J191" i="6" s="1"/>
  <c r="E190" i="6"/>
  <c r="B190" i="6"/>
  <c r="J190" i="6" s="1"/>
  <c r="E168" i="6"/>
  <c r="S168" i="6" s="1"/>
  <c r="B168" i="6"/>
  <c r="J168" i="6" s="1"/>
  <c r="E172" i="6"/>
  <c r="S172" i="6" s="1"/>
  <c r="B172" i="6"/>
  <c r="J172" i="6" s="1"/>
  <c r="E167" i="6"/>
  <c r="S167" i="6" s="1"/>
  <c r="B167" i="6"/>
  <c r="J167" i="6" s="1"/>
  <c r="E166" i="6"/>
  <c r="S166" i="6" s="1"/>
  <c r="B166" i="6"/>
  <c r="J166" i="6" s="1"/>
  <c r="E163" i="6"/>
  <c r="S163" i="6" s="1"/>
  <c r="B163" i="6"/>
  <c r="J163" i="6" s="1"/>
  <c r="E176" i="6"/>
  <c r="S176" i="6" s="1"/>
  <c r="B176" i="6"/>
  <c r="J176" i="6" s="1"/>
  <c r="E159" i="6"/>
  <c r="S159" i="6" s="1"/>
  <c r="B159" i="6"/>
  <c r="J159" i="6" s="1"/>
  <c r="E165" i="6"/>
  <c r="S165" i="6" s="1"/>
  <c r="B165" i="6"/>
  <c r="J165" i="6" s="1"/>
  <c r="E164" i="6"/>
  <c r="S164" i="6" s="1"/>
  <c r="B164" i="6"/>
  <c r="J164" i="6" s="1"/>
  <c r="E171" i="6"/>
  <c r="S171" i="6" s="1"/>
  <c r="B171" i="6"/>
  <c r="J171" i="6" s="1"/>
  <c r="E160" i="6"/>
  <c r="S160" i="6" s="1"/>
  <c r="B160" i="6"/>
  <c r="J160" i="6" s="1"/>
  <c r="E16" i="6"/>
  <c r="B16" i="6"/>
  <c r="J16" i="6" s="1"/>
  <c r="H237" i="4"/>
  <c r="K238" i="4"/>
  <c r="K239" i="4" s="1"/>
  <c r="E13" i="6"/>
  <c r="B13" i="6"/>
  <c r="J13" i="6" s="1"/>
  <c r="K224" i="4"/>
  <c r="K225" i="4" s="1"/>
  <c r="E19" i="6"/>
  <c r="B19" i="6"/>
  <c r="J19" i="6" s="1"/>
  <c r="N306" i="6" l="1"/>
  <c r="O306" i="6" s="1"/>
  <c r="P306" i="6" s="1"/>
  <c r="N279" i="6"/>
  <c r="O279" i="6" s="1"/>
  <c r="P279" i="6" s="1"/>
  <c r="N286" i="6"/>
  <c r="O286" i="6" s="1"/>
  <c r="P286" i="6" s="1"/>
  <c r="N325" i="6"/>
  <c r="O325" i="6" s="1"/>
  <c r="P325" i="6" s="1"/>
  <c r="N298" i="6"/>
  <c r="O298" i="6" s="1"/>
  <c r="P298" i="6" s="1"/>
  <c r="N304" i="6"/>
  <c r="O304" i="6" s="1"/>
  <c r="P304" i="6" s="1"/>
  <c r="N324" i="6"/>
  <c r="O324" i="6" s="1"/>
  <c r="P324" i="6" s="1"/>
  <c r="N271" i="6"/>
  <c r="O271" i="6" s="1"/>
  <c r="P271" i="6" s="1"/>
  <c r="N277" i="6"/>
  <c r="O277" i="6" s="1"/>
  <c r="P277" i="6" s="1"/>
  <c r="N296" i="6"/>
  <c r="O296" i="6" s="1"/>
  <c r="P296" i="6" s="1"/>
  <c r="N281" i="6"/>
  <c r="O281" i="6" s="1"/>
  <c r="P281" i="6" s="1"/>
  <c r="N287" i="6"/>
  <c r="O287" i="6" s="1"/>
  <c r="P287" i="6" s="1"/>
  <c r="N308" i="6"/>
  <c r="O308" i="6" s="1"/>
  <c r="P308" i="6" s="1"/>
  <c r="N297" i="6"/>
  <c r="O297" i="6" s="1"/>
  <c r="P297" i="6" s="1"/>
  <c r="N309" i="6"/>
  <c r="O309" i="6" s="1"/>
  <c r="P309" i="6" s="1"/>
  <c r="N269" i="6"/>
  <c r="O269" i="6" s="1"/>
  <c r="P269" i="6" s="1"/>
  <c r="N270" i="6"/>
  <c r="O270" i="6" s="1"/>
  <c r="P270" i="6" s="1"/>
  <c r="N275" i="6"/>
  <c r="O275" i="6" s="1"/>
  <c r="P275" i="6" s="1"/>
  <c r="N268" i="6"/>
  <c r="O268" i="6" s="1"/>
  <c r="P268" i="6" s="1"/>
  <c r="N305" i="6"/>
  <c r="O305" i="6" s="1"/>
  <c r="P305" i="6" s="1"/>
  <c r="N276" i="6"/>
  <c r="O276" i="6" s="1"/>
  <c r="P276" i="6" s="1"/>
  <c r="N280" i="6"/>
  <c r="O280" i="6" s="1"/>
  <c r="P280" i="6" s="1"/>
  <c r="N285" i="6"/>
  <c r="O285" i="6" s="1"/>
  <c r="P285" i="6" s="1"/>
  <c r="N307" i="6"/>
  <c r="O307" i="6" s="1"/>
  <c r="P307" i="6" s="1"/>
  <c r="O252" i="6"/>
  <c r="P252" i="6" s="1"/>
  <c r="O257" i="6"/>
  <c r="P257" i="6" s="1"/>
  <c r="O254" i="6"/>
  <c r="P254" i="6" s="1"/>
  <c r="J248" i="6"/>
  <c r="J185" i="6"/>
  <c r="F317" i="6"/>
  <c r="G317" i="6" s="1"/>
  <c r="O317" i="6"/>
  <c r="P317" i="6" s="1"/>
  <c r="F368" i="6"/>
  <c r="G368" i="6" s="1"/>
  <c r="O368" i="6"/>
  <c r="P368" i="6" s="1"/>
  <c r="F269" i="6"/>
  <c r="G269" i="6" s="1"/>
  <c r="F279" i="6"/>
  <c r="G279" i="6" s="1"/>
  <c r="F244" i="6"/>
  <c r="G244" i="6" s="1"/>
  <c r="O244" i="6"/>
  <c r="P244" i="6" s="1"/>
  <c r="F270" i="6"/>
  <c r="G270" i="6" s="1"/>
  <c r="F275" i="6"/>
  <c r="G275" i="6" s="1"/>
  <c r="F287" i="6"/>
  <c r="G287" i="6" s="1"/>
  <c r="F312" i="6"/>
  <c r="G312" i="6" s="1"/>
  <c r="O312" i="6"/>
  <c r="P312" i="6" s="1"/>
  <c r="F349" i="6"/>
  <c r="G349" i="6" s="1"/>
  <c r="O349" i="6"/>
  <c r="P349" i="6" s="1"/>
  <c r="F358" i="6"/>
  <c r="G358" i="6" s="1"/>
  <c r="O358" i="6"/>
  <c r="P358" i="6" s="1"/>
  <c r="F309" i="6"/>
  <c r="G309" i="6" s="1"/>
  <c r="F335" i="6"/>
  <c r="G335" i="6" s="1"/>
  <c r="O335" i="6"/>
  <c r="P335" i="6" s="1"/>
  <c r="F276" i="6"/>
  <c r="G276" i="6" s="1"/>
  <c r="F367" i="6"/>
  <c r="G367" i="6" s="1"/>
  <c r="O367" i="6"/>
  <c r="P367" i="6" s="1"/>
  <c r="F260" i="6"/>
  <c r="G260" i="6" s="1"/>
  <c r="O260" i="6"/>
  <c r="P260" i="6" s="1"/>
  <c r="F316" i="6"/>
  <c r="G316" i="6" s="1"/>
  <c r="O316" i="6"/>
  <c r="P316" i="6" s="1"/>
  <c r="F337" i="6"/>
  <c r="G337" i="6" s="1"/>
  <c r="O337" i="6"/>
  <c r="P337" i="6" s="1"/>
  <c r="F285" i="6"/>
  <c r="G285" i="6" s="1"/>
  <c r="F350" i="6"/>
  <c r="G350" i="6" s="1"/>
  <c r="O350" i="6"/>
  <c r="P350" i="6" s="1"/>
  <c r="F369" i="6"/>
  <c r="G369" i="6" s="1"/>
  <c r="O369" i="6"/>
  <c r="P369" i="6" s="1"/>
  <c r="F262" i="6"/>
  <c r="G262" i="6" s="1"/>
  <c r="O262" i="6"/>
  <c r="P262" i="6" s="1"/>
  <c r="F268" i="6"/>
  <c r="G268" i="6" s="1"/>
  <c r="F340" i="6"/>
  <c r="G340" i="6" s="1"/>
  <c r="O340" i="6"/>
  <c r="P340" i="6" s="1"/>
  <c r="F339" i="6"/>
  <c r="G339" i="6" s="1"/>
  <c r="O339" i="6"/>
  <c r="P339" i="6" s="1"/>
  <c r="F280" i="6"/>
  <c r="G280" i="6" s="1"/>
  <c r="F258" i="6"/>
  <c r="G258" i="6" s="1"/>
  <c r="O258" i="6"/>
  <c r="P258" i="6" s="1"/>
  <c r="F256" i="6"/>
  <c r="G256" i="6" s="1"/>
  <c r="O256" i="6"/>
  <c r="P256" i="6" s="1"/>
  <c r="F305" i="6"/>
  <c r="G305" i="6" s="1"/>
  <c r="F278" i="6"/>
  <c r="G278" i="6" s="1"/>
  <c r="O278" i="6"/>
  <c r="P278" i="6" s="1"/>
  <c r="F307" i="6"/>
  <c r="G307" i="6" s="1"/>
  <c r="F334" i="6"/>
  <c r="G334" i="6" s="1"/>
  <c r="O334" i="6"/>
  <c r="P334" i="6" s="1"/>
  <c r="F259" i="6"/>
  <c r="G259" i="6" s="1"/>
  <c r="O259" i="6"/>
  <c r="P259" i="6" s="1"/>
  <c r="F240" i="6"/>
  <c r="G240" i="6" s="1"/>
  <c r="O240" i="6"/>
  <c r="P240" i="6" s="1"/>
  <c r="F313" i="6"/>
  <c r="G313" i="6" s="1"/>
  <c r="O313" i="6"/>
  <c r="P313" i="6" s="1"/>
  <c r="F271" i="6"/>
  <c r="G271" i="6" s="1"/>
  <c r="F306" i="6"/>
  <c r="G306" i="6" s="1"/>
  <c r="F366" i="6"/>
  <c r="G366" i="6" s="1"/>
  <c r="O366" i="6"/>
  <c r="P366" i="6" s="1"/>
  <c r="F370" i="6"/>
  <c r="G370" i="6" s="1"/>
  <c r="O370" i="6"/>
  <c r="P370" i="6" s="1"/>
  <c r="F286" i="6"/>
  <c r="G286" i="6" s="1"/>
  <c r="F348" i="6"/>
  <c r="G348" i="6" s="1"/>
  <c r="O348" i="6"/>
  <c r="P348" i="6" s="1"/>
  <c r="F261" i="6"/>
  <c r="G261" i="6" s="1"/>
  <c r="O261" i="6"/>
  <c r="P261" i="6" s="1"/>
  <c r="F315" i="6"/>
  <c r="G315" i="6" s="1"/>
  <c r="O315" i="6"/>
  <c r="P315" i="6" s="1"/>
  <c r="F324" i="6"/>
  <c r="G324" i="6" s="1"/>
  <c r="F338" i="6"/>
  <c r="G338" i="6" s="1"/>
  <c r="O338" i="6"/>
  <c r="P338" i="6" s="1"/>
  <c r="F281" i="6"/>
  <c r="G281" i="6" s="1"/>
  <c r="F277" i="6"/>
  <c r="G277" i="6" s="1"/>
  <c r="F304" i="6"/>
  <c r="G304" i="6" s="1"/>
  <c r="F314" i="6"/>
  <c r="G314" i="6" s="1"/>
  <c r="O314" i="6"/>
  <c r="P314" i="6" s="1"/>
  <c r="F347" i="6"/>
  <c r="G347" i="6" s="1"/>
  <c r="O347" i="6"/>
  <c r="P347" i="6" s="1"/>
  <c r="F357" i="6"/>
  <c r="G357" i="6" s="1"/>
  <c r="O357" i="6"/>
  <c r="P357" i="6" s="1"/>
  <c r="F371" i="6"/>
  <c r="G371" i="6" s="1"/>
  <c r="O371" i="6"/>
  <c r="P371" i="6" s="1"/>
  <c r="F346" i="6"/>
  <c r="G346" i="6" s="1"/>
  <c r="O346" i="6"/>
  <c r="P346" i="6" s="1"/>
  <c r="F336" i="6"/>
  <c r="G336" i="6" s="1"/>
  <c r="O336" i="6"/>
  <c r="P336" i="6" s="1"/>
  <c r="F255" i="6"/>
  <c r="G255" i="6" s="1"/>
  <c r="O255" i="6"/>
  <c r="P255" i="6" s="1"/>
  <c r="F308" i="6"/>
  <c r="G308" i="6" s="1"/>
  <c r="F325" i="6"/>
  <c r="G325" i="6" s="1"/>
  <c r="F333" i="6"/>
  <c r="G333" i="6" s="1"/>
  <c r="O333" i="6"/>
  <c r="P333" i="6" s="1"/>
  <c r="F296" i="6"/>
  <c r="G296" i="6" s="1"/>
  <c r="F297" i="6"/>
  <c r="G297" i="6" s="1"/>
  <c r="F298" i="6"/>
  <c r="G298" i="6" s="1"/>
  <c r="F295" i="6"/>
  <c r="G295" i="6" s="1"/>
  <c r="O295" i="6"/>
  <c r="P295" i="6" s="1"/>
  <c r="Q378" i="6"/>
  <c r="Q425" i="6"/>
  <c r="Q420" i="6"/>
  <c r="R420" i="6"/>
  <c r="Q379" i="6"/>
  <c r="F16" i="6"/>
  <c r="G16" i="6" s="1"/>
  <c r="O16" i="6"/>
  <c r="P16" i="6" s="1"/>
  <c r="Q424" i="6"/>
  <c r="Q421" i="6"/>
  <c r="F19" i="6"/>
  <c r="G19" i="6" s="1"/>
  <c r="Q381" i="6"/>
  <c r="F13" i="6"/>
  <c r="G13" i="6" s="1"/>
  <c r="L384" i="6"/>
  <c r="M384" i="6" s="1"/>
  <c r="L383" i="6"/>
  <c r="M383" i="6" s="1"/>
  <c r="F10" i="37"/>
  <c r="I7" i="37" s="1"/>
  <c r="I420" i="6"/>
  <c r="M425" i="6"/>
  <c r="L420" i="6"/>
  <c r="M420" i="6" s="1"/>
  <c r="I424" i="6"/>
  <c r="H424" i="6"/>
  <c r="I421" i="6"/>
  <c r="H421" i="6"/>
  <c r="L421" i="6"/>
  <c r="M421" i="6" s="1"/>
  <c r="L424" i="6"/>
  <c r="M424" i="6" s="1"/>
  <c r="H425" i="6"/>
  <c r="I379" i="6"/>
  <c r="H379" i="6"/>
  <c r="I378" i="6"/>
  <c r="H378" i="6"/>
  <c r="I381" i="6"/>
  <c r="L378" i="6"/>
  <c r="M378" i="6" s="1"/>
  <c r="M379" i="6"/>
  <c r="I59" i="33"/>
  <c r="I61" i="33" s="1"/>
  <c r="O9" i="32"/>
  <c r="R7" i="32"/>
  <c r="R8" i="32" s="1"/>
  <c r="R9" i="32" s="1"/>
  <c r="D325" i="6" s="1"/>
  <c r="F9" i="32"/>
  <c r="I7" i="32"/>
  <c r="I9" i="32" s="1"/>
  <c r="F31" i="31"/>
  <c r="I29" i="31"/>
  <c r="F67" i="31"/>
  <c r="I65" i="31"/>
  <c r="I29" i="28"/>
  <c r="I31" i="28" s="1"/>
  <c r="F31" i="28"/>
  <c r="I77" i="28"/>
  <c r="I79" i="28" s="1"/>
  <c r="F79" i="28"/>
  <c r="F67" i="28"/>
  <c r="I65" i="28"/>
  <c r="I67" i="28" s="1"/>
  <c r="I54" i="28"/>
  <c r="I56" i="28" s="1"/>
  <c r="F56" i="28"/>
  <c r="I18" i="28"/>
  <c r="I20" i="28" s="1"/>
  <c r="F20" i="28"/>
  <c r="F252" i="6"/>
  <c r="G252" i="6" s="1"/>
  <c r="F257" i="6"/>
  <c r="G257" i="6" s="1"/>
  <c r="F254" i="6"/>
  <c r="G254" i="6" s="1"/>
  <c r="F241" i="6"/>
  <c r="G241" i="6" s="1"/>
  <c r="F242" i="6"/>
  <c r="G242" i="6" s="1"/>
  <c r="E134" i="6"/>
  <c r="B134" i="6"/>
  <c r="E131" i="6"/>
  <c r="B131" i="6"/>
  <c r="E133" i="6"/>
  <c r="B133" i="6"/>
  <c r="J133" i="6" s="1"/>
  <c r="J136" i="6"/>
  <c r="E132" i="6"/>
  <c r="B132" i="6"/>
  <c r="J132" i="6" s="1"/>
  <c r="E135" i="6"/>
  <c r="B135" i="6"/>
  <c r="J135" i="6" s="1"/>
  <c r="E103" i="6"/>
  <c r="B103" i="6"/>
  <c r="J103" i="6" s="1"/>
  <c r="E101" i="6"/>
  <c r="B101" i="6"/>
  <c r="J101" i="6" s="1"/>
  <c r="E102" i="6"/>
  <c r="B102" i="6"/>
  <c r="J102" i="6" s="1"/>
  <c r="E111" i="6"/>
  <c r="B111" i="6"/>
  <c r="J111" i="6" s="1"/>
  <c r="E112" i="6"/>
  <c r="B112" i="6"/>
  <c r="J112" i="6" s="1"/>
  <c r="E114" i="6"/>
  <c r="B114" i="6"/>
  <c r="J114" i="6" s="1"/>
  <c r="E113" i="6"/>
  <c r="B113" i="6"/>
  <c r="J113" i="6" s="1"/>
  <c r="J131" i="6" l="1"/>
  <c r="J134" i="6"/>
  <c r="K325" i="6"/>
  <c r="L325" i="6" s="1"/>
  <c r="M325" i="6" s="1"/>
  <c r="T325" i="6"/>
  <c r="F101" i="6"/>
  <c r="F103" i="6"/>
  <c r="J149" i="6"/>
  <c r="J117" i="6"/>
  <c r="Q325" i="6"/>
  <c r="O19" i="6"/>
  <c r="P19" i="6" s="1"/>
  <c r="F102" i="6"/>
  <c r="I8" i="37"/>
  <c r="I9" i="37" s="1"/>
  <c r="I31" i="37"/>
  <c r="I32" i="37" s="1"/>
  <c r="D492" i="6" s="1"/>
  <c r="I20" i="37"/>
  <c r="I21" i="37" s="1"/>
  <c r="D494" i="6" s="1"/>
  <c r="T494" i="6" s="1"/>
  <c r="O13" i="6"/>
  <c r="P13" i="6" s="1"/>
  <c r="R325" i="6"/>
  <c r="I65" i="33"/>
  <c r="D335" i="6"/>
  <c r="I325" i="6"/>
  <c r="H325" i="6"/>
  <c r="I66" i="33"/>
  <c r="I67" i="33" s="1"/>
  <c r="D339" i="6"/>
  <c r="I13" i="32"/>
  <c r="D324" i="6"/>
  <c r="K324" i="6" s="1"/>
  <c r="I14" i="32"/>
  <c r="I15" i="32" s="1"/>
  <c r="R13" i="32"/>
  <c r="R14" i="32"/>
  <c r="R15" i="32" s="1"/>
  <c r="I31" i="31"/>
  <c r="D305" i="6" s="1"/>
  <c r="D313" i="6"/>
  <c r="I67" i="31"/>
  <c r="D308" i="6" s="1"/>
  <c r="D316" i="6"/>
  <c r="I71" i="28"/>
  <c r="D277" i="6"/>
  <c r="K277" i="6" s="1"/>
  <c r="I35" i="28"/>
  <c r="D271" i="6"/>
  <c r="K271" i="6" s="1"/>
  <c r="I83" i="28"/>
  <c r="D268" i="6"/>
  <c r="I24" i="28"/>
  <c r="D269" i="6"/>
  <c r="K269" i="6" s="1"/>
  <c r="I60" i="28"/>
  <c r="D276" i="6"/>
  <c r="I36" i="28"/>
  <c r="I37" i="28" s="1"/>
  <c r="I84" i="28"/>
  <c r="I85" i="28" s="1"/>
  <c r="I72" i="28"/>
  <c r="I73" i="28" s="1"/>
  <c r="I61" i="28"/>
  <c r="I62" i="28" s="1"/>
  <c r="I25" i="28"/>
  <c r="I26" i="28" s="1"/>
  <c r="T269" i="6" l="1"/>
  <c r="T324" i="6"/>
  <c r="K316" i="6"/>
  <c r="L316" i="6" s="1"/>
  <c r="M316" i="6" s="1"/>
  <c r="T316" i="6"/>
  <c r="T271" i="6"/>
  <c r="K308" i="6"/>
  <c r="T308" i="6"/>
  <c r="T277" i="6"/>
  <c r="K276" i="6"/>
  <c r="L276" i="6" s="1"/>
  <c r="M276" i="6" s="1"/>
  <c r="T276" i="6"/>
  <c r="K313" i="6"/>
  <c r="L313" i="6" s="1"/>
  <c r="M313" i="6" s="1"/>
  <c r="T313" i="6"/>
  <c r="K305" i="6"/>
  <c r="L305" i="6" s="1"/>
  <c r="M305" i="6" s="1"/>
  <c r="T305" i="6"/>
  <c r="Q492" i="6"/>
  <c r="T492" i="6"/>
  <c r="K339" i="6"/>
  <c r="L339" i="6" s="1"/>
  <c r="M339" i="6" s="1"/>
  <c r="T339" i="6"/>
  <c r="K335" i="6"/>
  <c r="L335" i="6" s="1"/>
  <c r="M335" i="6" s="1"/>
  <c r="T335" i="6"/>
  <c r="K268" i="6"/>
  <c r="T268" i="6"/>
  <c r="D286" i="6"/>
  <c r="D278" i="6"/>
  <c r="D287" i="6"/>
  <c r="D279" i="6"/>
  <c r="D281" i="6"/>
  <c r="D280" i="6"/>
  <c r="I14" i="37"/>
  <c r="I15" i="37" s="1"/>
  <c r="D493" i="6"/>
  <c r="T493" i="6" s="1"/>
  <c r="K494" i="6"/>
  <c r="L494" i="6" s="1"/>
  <c r="M494" i="6" s="1"/>
  <c r="R494" i="6"/>
  <c r="I494" i="6"/>
  <c r="Q494" i="6"/>
  <c r="H494" i="6"/>
  <c r="K492" i="6"/>
  <c r="I492" i="6"/>
  <c r="R492" i="6"/>
  <c r="H492" i="6"/>
  <c r="I13" i="37"/>
  <c r="I25" i="37"/>
  <c r="I26" i="37"/>
  <c r="I27" i="37" s="1"/>
  <c r="I36" i="37"/>
  <c r="I37" i="37"/>
  <c r="I38" i="37" s="1"/>
  <c r="Q313" i="6"/>
  <c r="R313" i="6"/>
  <c r="Q339" i="6"/>
  <c r="R339" i="6"/>
  <c r="Q269" i="6"/>
  <c r="R269" i="6"/>
  <c r="Q305" i="6"/>
  <c r="R305" i="6"/>
  <c r="Q335" i="6"/>
  <c r="R335" i="6"/>
  <c r="Q268" i="6"/>
  <c r="R268" i="6"/>
  <c r="Q271" i="6"/>
  <c r="R271" i="6"/>
  <c r="Q316" i="6"/>
  <c r="R316" i="6"/>
  <c r="Q308" i="6"/>
  <c r="R308" i="6"/>
  <c r="Q324" i="6"/>
  <c r="R324" i="6"/>
  <c r="R329" i="6" s="1"/>
  <c r="Q276" i="6"/>
  <c r="R276" i="6"/>
  <c r="Q277" i="6"/>
  <c r="R277" i="6"/>
  <c r="I339" i="6"/>
  <c r="H339" i="6"/>
  <c r="H335" i="6"/>
  <c r="I335" i="6"/>
  <c r="L324" i="6"/>
  <c r="M324" i="6" s="1"/>
  <c r="H324" i="6"/>
  <c r="H329" i="6" s="1"/>
  <c r="I324" i="6"/>
  <c r="I308" i="6"/>
  <c r="H308" i="6"/>
  <c r="H313" i="6"/>
  <c r="I313" i="6"/>
  <c r="I316" i="6"/>
  <c r="H316" i="6"/>
  <c r="H305" i="6"/>
  <c r="I305" i="6"/>
  <c r="I35" i="31"/>
  <c r="I36" i="31"/>
  <c r="I37" i="31" s="1"/>
  <c r="I71" i="31"/>
  <c r="I72" i="31"/>
  <c r="I73" i="31" s="1"/>
  <c r="I269" i="6"/>
  <c r="L269" i="6"/>
  <c r="M269" i="6" s="1"/>
  <c r="H269" i="6"/>
  <c r="L271" i="6"/>
  <c r="M271" i="6" s="1"/>
  <c r="H271" i="6"/>
  <c r="I271" i="6"/>
  <c r="I276" i="6"/>
  <c r="H276" i="6"/>
  <c r="L277" i="6"/>
  <c r="M277" i="6" s="1"/>
  <c r="I277" i="6"/>
  <c r="H277" i="6"/>
  <c r="I268" i="6"/>
  <c r="H268" i="6"/>
  <c r="K281" i="6" l="1"/>
  <c r="L281" i="6" s="1"/>
  <c r="M281" i="6" s="1"/>
  <c r="T281" i="6"/>
  <c r="K286" i="6"/>
  <c r="L286" i="6" s="1"/>
  <c r="M286" i="6" s="1"/>
  <c r="T286" i="6"/>
  <c r="K279" i="6"/>
  <c r="L279" i="6" s="1"/>
  <c r="M279" i="6" s="1"/>
  <c r="T279" i="6"/>
  <c r="K287" i="6"/>
  <c r="L287" i="6" s="1"/>
  <c r="M287" i="6" s="1"/>
  <c r="T287" i="6"/>
  <c r="K280" i="6"/>
  <c r="L280" i="6" s="1"/>
  <c r="M280" i="6" s="1"/>
  <c r="T280" i="6"/>
  <c r="K278" i="6"/>
  <c r="L278" i="6" s="1"/>
  <c r="M278" i="6" s="1"/>
  <c r="T278" i="6"/>
  <c r="Q280" i="6"/>
  <c r="R280" i="6"/>
  <c r="H280" i="6"/>
  <c r="R281" i="6"/>
  <c r="I280" i="6"/>
  <c r="H279" i="6"/>
  <c r="I279" i="6"/>
  <c r="H287" i="6"/>
  <c r="I287" i="6"/>
  <c r="R287" i="6"/>
  <c r="Q287" i="6"/>
  <c r="R278" i="6"/>
  <c r="Q278" i="6"/>
  <c r="Q281" i="6"/>
  <c r="R286" i="6"/>
  <c r="H286" i="6"/>
  <c r="Q286" i="6"/>
  <c r="I278" i="6"/>
  <c r="I286" i="6"/>
  <c r="H278" i="6"/>
  <c r="R279" i="6"/>
  <c r="H281" i="6"/>
  <c r="Q279" i="6"/>
  <c r="I281" i="6"/>
  <c r="K493" i="6"/>
  <c r="Q493" i="6"/>
  <c r="R493" i="6"/>
  <c r="R496" i="6" s="1"/>
  <c r="I493" i="6"/>
  <c r="H493" i="6"/>
  <c r="H496" i="6" s="1"/>
  <c r="L492" i="6"/>
  <c r="M492" i="6" s="1"/>
  <c r="L308" i="6"/>
  <c r="M308" i="6" s="1"/>
  <c r="L268" i="6"/>
  <c r="M268" i="6" s="1"/>
  <c r="E104" i="6"/>
  <c r="B104" i="6"/>
  <c r="J104" i="6" s="1"/>
  <c r="E99" i="6"/>
  <c r="B99" i="6"/>
  <c r="J99" i="6" s="1"/>
  <c r="E98" i="6"/>
  <c r="B98" i="6"/>
  <c r="J98" i="6" s="1"/>
  <c r="E100" i="6"/>
  <c r="B100" i="6"/>
  <c r="J100" i="6" s="1"/>
  <c r="E97" i="6"/>
  <c r="B97" i="6"/>
  <c r="J97" i="6" s="1"/>
  <c r="O134" i="6"/>
  <c r="P134" i="6" s="1"/>
  <c r="F134" i="6"/>
  <c r="G134" i="6" s="1"/>
  <c r="O131" i="6"/>
  <c r="P131" i="6" s="1"/>
  <c r="F131" i="6"/>
  <c r="G131" i="6" s="1"/>
  <c r="O133" i="6"/>
  <c r="P133" i="6" s="1"/>
  <c r="F133" i="6"/>
  <c r="G133" i="6" s="1"/>
  <c r="O136" i="6"/>
  <c r="P136" i="6" s="1"/>
  <c r="F136" i="6"/>
  <c r="G136" i="6" s="1"/>
  <c r="O132" i="6"/>
  <c r="P132" i="6" s="1"/>
  <c r="F132" i="6"/>
  <c r="G132" i="6" s="1"/>
  <c r="O135" i="6"/>
  <c r="P135" i="6" s="1"/>
  <c r="F135" i="6"/>
  <c r="G135" i="6" s="1"/>
  <c r="O194" i="6"/>
  <c r="P194" i="6" s="1"/>
  <c r="F194" i="6"/>
  <c r="G194" i="6" s="1"/>
  <c r="O195" i="6"/>
  <c r="P195" i="6" s="1"/>
  <c r="F195" i="6"/>
  <c r="G195" i="6" s="1"/>
  <c r="O193" i="6"/>
  <c r="P193" i="6" s="1"/>
  <c r="F193" i="6"/>
  <c r="G193" i="6" s="1"/>
  <c r="O191" i="6"/>
  <c r="P191" i="6" s="1"/>
  <c r="F191" i="6"/>
  <c r="G191" i="6" s="1"/>
  <c r="O190" i="6"/>
  <c r="P190" i="6" s="1"/>
  <c r="F190" i="6"/>
  <c r="G190" i="6" s="1"/>
  <c r="O168" i="6"/>
  <c r="P168" i="6" s="1"/>
  <c r="F168" i="6"/>
  <c r="G168" i="6" s="1"/>
  <c r="O172" i="6"/>
  <c r="P172" i="6" s="1"/>
  <c r="F172" i="6"/>
  <c r="G172" i="6" s="1"/>
  <c r="O167" i="6"/>
  <c r="P167" i="6" s="1"/>
  <c r="F167" i="6"/>
  <c r="G167" i="6" s="1"/>
  <c r="O166" i="6"/>
  <c r="P166" i="6" s="1"/>
  <c r="F166" i="6"/>
  <c r="G166" i="6" s="1"/>
  <c r="O163" i="6"/>
  <c r="P163" i="6" s="1"/>
  <c r="F163" i="6"/>
  <c r="G163" i="6" s="1"/>
  <c r="O176" i="6"/>
  <c r="P176" i="6" s="1"/>
  <c r="F176" i="6"/>
  <c r="G176" i="6" s="1"/>
  <c r="O159" i="6"/>
  <c r="P159" i="6" s="1"/>
  <c r="F159" i="6"/>
  <c r="O165" i="6"/>
  <c r="P165" i="6" s="1"/>
  <c r="F165" i="6"/>
  <c r="G165" i="6" s="1"/>
  <c r="O164" i="6"/>
  <c r="P164" i="6" s="1"/>
  <c r="F164" i="6"/>
  <c r="G164" i="6" s="1"/>
  <c r="O171" i="6"/>
  <c r="P171" i="6" s="1"/>
  <c r="F171" i="6"/>
  <c r="G171" i="6" s="1"/>
  <c r="O160" i="6"/>
  <c r="P160" i="6" s="1"/>
  <c r="F160" i="6"/>
  <c r="E84" i="6"/>
  <c r="B84" i="6"/>
  <c r="J84" i="6" s="1"/>
  <c r="E79" i="6"/>
  <c r="B79" i="6"/>
  <c r="J79" i="6" s="1"/>
  <c r="J105" i="6" l="1"/>
  <c r="F84" i="6"/>
  <c r="G84" i="6" s="1"/>
  <c r="O84" i="6"/>
  <c r="P84" i="6" s="1"/>
  <c r="L493" i="6"/>
  <c r="M493" i="6" s="1"/>
  <c r="E88" i="6"/>
  <c r="B88" i="6"/>
  <c r="J88" i="6" s="1"/>
  <c r="E87" i="6"/>
  <c r="B87" i="6"/>
  <c r="J87" i="6" s="1"/>
  <c r="E89" i="6"/>
  <c r="B89" i="6"/>
  <c r="J89" i="6" s="1"/>
  <c r="E80" i="6"/>
  <c r="B80" i="6"/>
  <c r="J80" i="6" s="1"/>
  <c r="E85" i="6"/>
  <c r="B85" i="6"/>
  <c r="J85" i="6" s="1"/>
  <c r="E86" i="6"/>
  <c r="B86" i="6"/>
  <c r="J86" i="6" s="1"/>
  <c r="E81" i="6"/>
  <c r="B81" i="6"/>
  <c r="J81" i="6" s="1"/>
  <c r="E78" i="6" l="1"/>
  <c r="B78" i="6"/>
  <c r="J78" i="6" s="1"/>
  <c r="E82" i="6"/>
  <c r="B82" i="6"/>
  <c r="J82" i="6" s="1"/>
  <c r="E77" i="6"/>
  <c r="B77" i="6"/>
  <c r="J77" i="6" s="1"/>
  <c r="B90" i="6"/>
  <c r="J90" i="6" s="1"/>
  <c r="J91" i="6" l="1"/>
  <c r="E70" i="6"/>
  <c r="B70" i="6"/>
  <c r="J70" i="6" s="1"/>
  <c r="E69" i="6"/>
  <c r="J69" i="6"/>
  <c r="E65" i="6"/>
  <c r="B65" i="6"/>
  <c r="J65" i="6" s="1"/>
  <c r="E67" i="6"/>
  <c r="J67" i="6"/>
  <c r="E68" i="6"/>
  <c r="B68" i="6"/>
  <c r="J68" i="6" s="1"/>
  <c r="E66" i="6"/>
  <c r="B66" i="6"/>
  <c r="J66" i="6" s="1"/>
  <c r="E57" i="6"/>
  <c r="B57" i="6"/>
  <c r="J57" i="6" s="1"/>
  <c r="E58" i="6"/>
  <c r="B58" i="6"/>
  <c r="J58" i="6" s="1"/>
  <c r="E50" i="6"/>
  <c r="B50" i="6"/>
  <c r="J50" i="6" s="1"/>
  <c r="E49" i="6"/>
  <c r="B49" i="6"/>
  <c r="J49" i="6" s="1"/>
  <c r="E47" i="6"/>
  <c r="B47" i="6"/>
  <c r="J47" i="6" s="1"/>
  <c r="E46" i="6"/>
  <c r="B46" i="6"/>
  <c r="J46" i="6" s="1"/>
  <c r="E48" i="6"/>
  <c r="B48" i="6"/>
  <c r="J48" i="6" s="1"/>
  <c r="E39" i="6"/>
  <c r="B39" i="6"/>
  <c r="J39" i="6" s="1"/>
  <c r="E40" i="6"/>
  <c r="B40" i="6"/>
  <c r="J40" i="6" s="1"/>
  <c r="E38" i="6"/>
  <c r="T69" i="6" l="1"/>
  <c r="J59" i="6"/>
  <c r="J51" i="6"/>
  <c r="J71" i="6"/>
  <c r="B38" i="6"/>
  <c r="J38" i="6" s="1"/>
  <c r="J41" i="6" s="1"/>
  <c r="O111" i="6"/>
  <c r="P111" i="6" s="1"/>
  <c r="F111" i="6"/>
  <c r="G111" i="6" s="1"/>
  <c r="O112" i="6"/>
  <c r="P112" i="6" s="1"/>
  <c r="F112" i="6"/>
  <c r="G112" i="6" s="1"/>
  <c r="O114" i="6"/>
  <c r="P114" i="6" s="1"/>
  <c r="F114" i="6"/>
  <c r="G114" i="6" s="1"/>
  <c r="O113" i="6"/>
  <c r="P113" i="6" s="1"/>
  <c r="F113" i="6"/>
  <c r="G113" i="6" s="1"/>
  <c r="O103" i="6"/>
  <c r="P103" i="6" s="1"/>
  <c r="G103" i="6"/>
  <c r="O101" i="6"/>
  <c r="P101" i="6" s="1"/>
  <c r="G101" i="6"/>
  <c r="O102" i="6"/>
  <c r="P102" i="6" s="1"/>
  <c r="G102" i="6"/>
  <c r="O104" i="6"/>
  <c r="P104" i="6" s="1"/>
  <c r="F104" i="6"/>
  <c r="G104" i="6" s="1"/>
  <c r="O99" i="6"/>
  <c r="P99" i="6" s="1"/>
  <c r="F99" i="6"/>
  <c r="G99" i="6" s="1"/>
  <c r="O98" i="6"/>
  <c r="P98" i="6" s="1"/>
  <c r="F98" i="6"/>
  <c r="G98" i="6" s="1"/>
  <c r="O100" i="6"/>
  <c r="P100" i="6" s="1"/>
  <c r="F100" i="6"/>
  <c r="G100" i="6" s="1"/>
  <c r="F97" i="6"/>
  <c r="G97" i="6" s="1"/>
  <c r="O79" i="6"/>
  <c r="P79" i="6" s="1"/>
  <c r="F79" i="6"/>
  <c r="G79" i="6" s="1"/>
  <c r="O88" i="6"/>
  <c r="P88" i="6" s="1"/>
  <c r="F88" i="6"/>
  <c r="G88" i="6" s="1"/>
  <c r="O87" i="6"/>
  <c r="P87" i="6" s="1"/>
  <c r="F87" i="6"/>
  <c r="G87" i="6" s="1"/>
  <c r="O89" i="6"/>
  <c r="P89" i="6" s="1"/>
  <c r="F89" i="6"/>
  <c r="G89" i="6" s="1"/>
  <c r="O80" i="6"/>
  <c r="P80" i="6" s="1"/>
  <c r="F80" i="6"/>
  <c r="G80" i="6" s="1"/>
  <c r="O85" i="6"/>
  <c r="P85" i="6" s="1"/>
  <c r="F85" i="6"/>
  <c r="G85" i="6" s="1"/>
  <c r="O86" i="6"/>
  <c r="P86" i="6" s="1"/>
  <c r="F86" i="6"/>
  <c r="G86" i="6" s="1"/>
  <c r="O81" i="6"/>
  <c r="P81" i="6" s="1"/>
  <c r="F81" i="6"/>
  <c r="G81" i="6" s="1"/>
  <c r="O78" i="6"/>
  <c r="P78" i="6" s="1"/>
  <c r="F78" i="6"/>
  <c r="G78" i="6" s="1"/>
  <c r="O82" i="6"/>
  <c r="P82" i="6" s="1"/>
  <c r="F82" i="6"/>
  <c r="G82" i="6" s="1"/>
  <c r="O77" i="6"/>
  <c r="P77" i="6" s="1"/>
  <c r="F77" i="6"/>
  <c r="G77" i="6" s="1"/>
  <c r="O90" i="6"/>
  <c r="P90" i="6" s="1"/>
  <c r="F90" i="6"/>
  <c r="G90" i="6" s="1"/>
  <c r="O70" i="6"/>
  <c r="P70" i="6" s="1"/>
  <c r="F70" i="6"/>
  <c r="G70" i="6" s="1"/>
  <c r="O69" i="6"/>
  <c r="P69" i="6" s="1"/>
  <c r="Q69" i="6" s="1"/>
  <c r="F69" i="6"/>
  <c r="G69" i="6" s="1"/>
  <c r="O65" i="6"/>
  <c r="P65" i="6" s="1"/>
  <c r="F65" i="6"/>
  <c r="G65" i="6" s="1"/>
  <c r="O67" i="6"/>
  <c r="P67" i="6" s="1"/>
  <c r="F67" i="6"/>
  <c r="G67" i="6" s="1"/>
  <c r="O68" i="6"/>
  <c r="P68" i="6" s="1"/>
  <c r="F68" i="6"/>
  <c r="G68" i="6" s="1"/>
  <c r="O66" i="6"/>
  <c r="P66" i="6" s="1"/>
  <c r="F66" i="6"/>
  <c r="G66" i="6" s="1"/>
  <c r="F57" i="6"/>
  <c r="G57" i="6" s="1"/>
  <c r="F58" i="6"/>
  <c r="G58" i="6" s="1"/>
  <c r="O50" i="6"/>
  <c r="P50" i="6" s="1"/>
  <c r="F50" i="6"/>
  <c r="G50" i="6" s="1"/>
  <c r="O49" i="6"/>
  <c r="P49" i="6" s="1"/>
  <c r="F49" i="6"/>
  <c r="G49" i="6" s="1"/>
  <c r="O47" i="6"/>
  <c r="P47" i="6" s="1"/>
  <c r="F47" i="6"/>
  <c r="G47" i="6" s="1"/>
  <c r="F46" i="6"/>
  <c r="G46" i="6" s="1"/>
  <c r="O46" i="6" s="1"/>
  <c r="P46" i="6" s="1"/>
  <c r="O48" i="6"/>
  <c r="P48" i="6" s="1"/>
  <c r="F48" i="6"/>
  <c r="G48" i="6" s="1"/>
  <c r="E15" i="6"/>
  <c r="B15" i="6"/>
  <c r="J15" i="6" s="1"/>
  <c r="E11" i="6"/>
  <c r="B11" i="6"/>
  <c r="J11" i="6" s="1"/>
  <c r="E7" i="6"/>
  <c r="B7" i="6"/>
  <c r="J7" i="6" s="1"/>
  <c r="E6" i="6"/>
  <c r="B6" i="6"/>
  <c r="J6" i="6" s="1"/>
  <c r="E8" i="6"/>
  <c r="B8" i="6"/>
  <c r="J8" i="6" s="1"/>
  <c r="E9" i="6"/>
  <c r="B9" i="6"/>
  <c r="J9" i="6" s="1"/>
  <c r="E21" i="6"/>
  <c r="B21" i="6"/>
  <c r="J21" i="6" s="1"/>
  <c r="E5" i="6"/>
  <c r="B5" i="6"/>
  <c r="B12" i="6"/>
  <c r="J12" i="6" s="1"/>
  <c r="B14" i="6"/>
  <c r="E20" i="6"/>
  <c r="B20" i="6"/>
  <c r="J20" i="6" s="1"/>
  <c r="E18" i="6"/>
  <c r="B18" i="6"/>
  <c r="E17" i="6"/>
  <c r="J14" i="6" l="1"/>
  <c r="J5" i="6"/>
  <c r="J18" i="6"/>
  <c r="N6" i="6"/>
  <c r="S6" i="6"/>
  <c r="N7" i="6"/>
  <c r="S7" i="6"/>
  <c r="N9" i="6"/>
  <c r="S9" i="6"/>
  <c r="N8" i="6"/>
  <c r="S8" i="6"/>
  <c r="O17" i="6"/>
  <c r="P17" i="6" s="1"/>
  <c r="O58" i="6"/>
  <c r="P58" i="6" s="1"/>
  <c r="F15" i="6"/>
  <c r="G15" i="6" s="1"/>
  <c r="O57" i="6"/>
  <c r="P57" i="6" s="1"/>
  <c r="O97" i="6" l="1"/>
  <c r="P97" i="6" s="1"/>
  <c r="F19" i="31" l="1"/>
  <c r="F55" i="36"/>
  <c r="F32" i="36"/>
  <c r="F8" i="36"/>
  <c r="F20" i="36"/>
  <c r="F79" i="36"/>
  <c r="F67" i="36"/>
  <c r="F62" i="41"/>
  <c r="F23" i="34"/>
  <c r="F36" i="34"/>
  <c r="F8" i="43"/>
  <c r="F9" i="43" s="1"/>
  <c r="I7" i="43" s="1"/>
  <c r="I9" i="43" s="1"/>
  <c r="D437" i="6" s="1"/>
  <c r="T437" i="6" s="1"/>
  <c r="F32" i="38"/>
  <c r="F79" i="38"/>
  <c r="F48" i="27"/>
  <c r="R437" i="6" l="1"/>
  <c r="Q437" i="6"/>
  <c r="F33" i="43"/>
  <c r="F34" i="43" s="1"/>
  <c r="I32" i="43" s="1"/>
  <c r="I34" i="43" s="1"/>
  <c r="K437" i="6"/>
  <c r="L437" i="6" s="1"/>
  <c r="M437" i="6" s="1"/>
  <c r="I437" i="6"/>
  <c r="H437" i="6"/>
  <c r="F21" i="43"/>
  <c r="F22" i="43" s="1"/>
  <c r="I20" i="43" s="1"/>
  <c r="I22" i="43" s="1"/>
  <c r="D439" i="6" s="1"/>
  <c r="T439" i="6" s="1"/>
  <c r="I14" i="43"/>
  <c r="I15" i="43" s="1"/>
  <c r="I13" i="43"/>
  <c r="F44" i="36"/>
  <c r="I43" i="36" s="1"/>
  <c r="I45" i="36" s="1"/>
  <c r="I61" i="41"/>
  <c r="I63" i="41" s="1"/>
  <c r="D423" i="6" s="1"/>
  <c r="T423" i="6" s="1"/>
  <c r="F63" i="41"/>
  <c r="F47" i="41"/>
  <c r="I78" i="38"/>
  <c r="I80" i="38" s="1"/>
  <c r="F80" i="38"/>
  <c r="I31" i="38"/>
  <c r="I33" i="38" s="1"/>
  <c r="F33" i="38"/>
  <c r="I19" i="36"/>
  <c r="I21" i="36" s="1"/>
  <c r="F21" i="36"/>
  <c r="I54" i="36"/>
  <c r="I56" i="36" s="1"/>
  <c r="F56" i="36"/>
  <c r="I66" i="36"/>
  <c r="I68" i="36" s="1"/>
  <c r="F68" i="36"/>
  <c r="I7" i="36"/>
  <c r="I9" i="36" s="1"/>
  <c r="F9" i="36"/>
  <c r="F33" i="36"/>
  <c r="I31" i="36"/>
  <c r="I33" i="36" s="1"/>
  <c r="F80" i="36"/>
  <c r="I78" i="36"/>
  <c r="I80" i="36" s="1"/>
  <c r="F8" i="35"/>
  <c r="I22" i="34"/>
  <c r="I24" i="34" s="1"/>
  <c r="F24" i="34"/>
  <c r="I35" i="34"/>
  <c r="I37" i="34" s="1"/>
  <c r="F37" i="34"/>
  <c r="F8" i="34"/>
  <c r="F46" i="33"/>
  <c r="F34" i="33"/>
  <c r="I33" i="33" s="1"/>
  <c r="I35" i="33" s="1"/>
  <c r="D334" i="6" s="1"/>
  <c r="F8" i="33"/>
  <c r="F9" i="33" s="1"/>
  <c r="F21" i="33"/>
  <c r="F80" i="31"/>
  <c r="E54" i="31"/>
  <c r="F54" i="31" s="1"/>
  <c r="F42" i="31"/>
  <c r="F20" i="31"/>
  <c r="I18" i="31"/>
  <c r="I20" i="31" s="1"/>
  <c r="D309" i="6" s="1"/>
  <c r="F8" i="31"/>
  <c r="F8" i="30"/>
  <c r="F9" i="30" s="1"/>
  <c r="F43" i="28"/>
  <c r="I47" i="27"/>
  <c r="I49" i="27" s="1"/>
  <c r="D252" i="6" s="1"/>
  <c r="F49" i="27"/>
  <c r="F90" i="27"/>
  <c r="F78" i="27"/>
  <c r="F101" i="27"/>
  <c r="H242" i="4"/>
  <c r="H239" i="4"/>
  <c r="H240" i="4"/>
  <c r="H238" i="4"/>
  <c r="H235" i="4"/>
  <c r="H243" i="4"/>
  <c r="K309" i="6" l="1"/>
  <c r="L309" i="6" s="1"/>
  <c r="M309" i="6" s="1"/>
  <c r="T309" i="6"/>
  <c r="K334" i="6"/>
  <c r="T334" i="6"/>
  <c r="K252" i="6"/>
  <c r="L252" i="6" s="1"/>
  <c r="M252" i="6" s="1"/>
  <c r="T252" i="6"/>
  <c r="Q334" i="6"/>
  <c r="R334" i="6"/>
  <c r="Q423" i="6"/>
  <c r="R423" i="6"/>
  <c r="Q252" i="6"/>
  <c r="R252" i="6"/>
  <c r="R395" i="6"/>
  <c r="R439" i="6"/>
  <c r="Q439" i="6"/>
  <c r="Q309" i="6"/>
  <c r="R309" i="6"/>
  <c r="I7" i="33"/>
  <c r="I9" i="33" s="1"/>
  <c r="H16" i="42"/>
  <c r="K7" i="42" s="1"/>
  <c r="K53" i="20"/>
  <c r="K54" i="20" s="1"/>
  <c r="K55" i="20" s="1"/>
  <c r="D192" i="6" s="1"/>
  <c r="H61" i="20"/>
  <c r="D440" i="6"/>
  <c r="T440" i="6" s="1"/>
  <c r="I38" i="43"/>
  <c r="I39" i="43"/>
  <c r="I40" i="43" s="1"/>
  <c r="K439" i="6"/>
  <c r="I439" i="6"/>
  <c r="H439" i="6"/>
  <c r="I27" i="43"/>
  <c r="I28" i="43" s="1"/>
  <c r="I26" i="43"/>
  <c r="F45" i="36"/>
  <c r="K423" i="6"/>
  <c r="L423" i="6" s="1"/>
  <c r="M423" i="6" s="1"/>
  <c r="H423" i="6"/>
  <c r="I423" i="6"/>
  <c r="F48" i="41"/>
  <c r="I46" i="41"/>
  <c r="I48" i="41" s="1"/>
  <c r="D422" i="6" s="1"/>
  <c r="T422" i="6" s="1"/>
  <c r="I67" i="41"/>
  <c r="I68" i="41"/>
  <c r="I69" i="41" s="1"/>
  <c r="H395" i="6"/>
  <c r="I85" i="38"/>
  <c r="I86" i="38" s="1"/>
  <c r="I84" i="38"/>
  <c r="I37" i="38"/>
  <c r="D380" i="6"/>
  <c r="I38" i="38"/>
  <c r="I39" i="38" s="1"/>
  <c r="I84" i="36"/>
  <c r="D370" i="6"/>
  <c r="T370" i="6" s="1"/>
  <c r="I85" i="36"/>
  <c r="I86" i="36" s="1"/>
  <c r="I14" i="36"/>
  <c r="I15" i="36" s="1"/>
  <c r="D366" i="6"/>
  <c r="T366" i="6" s="1"/>
  <c r="I13" i="36"/>
  <c r="I60" i="36"/>
  <c r="D369" i="6"/>
  <c r="T369" i="6" s="1"/>
  <c r="I61" i="36"/>
  <c r="I62" i="36" s="1"/>
  <c r="I37" i="36"/>
  <c r="I38" i="36"/>
  <c r="I39" i="36" s="1"/>
  <c r="I49" i="36"/>
  <c r="D368" i="6"/>
  <c r="T368" i="6" s="1"/>
  <c r="I50" i="36"/>
  <c r="I51" i="36" s="1"/>
  <c r="D367" i="6"/>
  <c r="T367" i="6" s="1"/>
  <c r="I73" i="36"/>
  <c r="I74" i="36" s="1"/>
  <c r="I72" i="36"/>
  <c r="D371" i="6"/>
  <c r="T371" i="6" s="1"/>
  <c r="I26" i="36"/>
  <c r="I27" i="36" s="1"/>
  <c r="I25" i="36"/>
  <c r="I7" i="35"/>
  <c r="I9" i="35" s="1"/>
  <c r="F9" i="35"/>
  <c r="I7" i="34"/>
  <c r="I9" i="34" s="1"/>
  <c r="F9" i="34"/>
  <c r="I41" i="34"/>
  <c r="D348" i="6"/>
  <c r="T348" i="6" s="1"/>
  <c r="I42" i="34"/>
  <c r="I43" i="34" s="1"/>
  <c r="D350" i="6"/>
  <c r="T350" i="6" s="1"/>
  <c r="I28" i="34"/>
  <c r="D346" i="6"/>
  <c r="T346" i="6" s="1"/>
  <c r="I29" i="34"/>
  <c r="I30" i="34" s="1"/>
  <c r="I334" i="6"/>
  <c r="H334" i="6"/>
  <c r="I45" i="33"/>
  <c r="I47" i="33" s="1"/>
  <c r="F47" i="33"/>
  <c r="F35" i="33"/>
  <c r="D338" i="6"/>
  <c r="I39" i="33"/>
  <c r="I40" i="33"/>
  <c r="I41" i="33" s="1"/>
  <c r="D340" i="6"/>
  <c r="F22" i="33"/>
  <c r="I20" i="33"/>
  <c r="I22" i="33" s="1"/>
  <c r="D336" i="6" s="1"/>
  <c r="I79" i="31"/>
  <c r="I81" i="31" s="1"/>
  <c r="F81" i="31"/>
  <c r="I309" i="6"/>
  <c r="H309" i="6"/>
  <c r="D317" i="6"/>
  <c r="F55" i="31"/>
  <c r="I53" i="31"/>
  <c r="I55" i="31" s="1"/>
  <c r="D312" i="6"/>
  <c r="I41" i="31"/>
  <c r="I43" i="31" s="1"/>
  <c r="D306" i="6" s="1"/>
  <c r="F43" i="31"/>
  <c r="I24" i="31"/>
  <c r="I25" i="31"/>
  <c r="I26" i="31" s="1"/>
  <c r="F9" i="31"/>
  <c r="I7" i="31"/>
  <c r="I9" i="31" s="1"/>
  <c r="D304" i="6" s="1"/>
  <c r="D314" i="6"/>
  <c r="I7" i="30"/>
  <c r="I9" i="30" s="1"/>
  <c r="I14" i="30" s="1"/>
  <c r="I15" i="30" s="1"/>
  <c r="D296" i="6"/>
  <c r="T296" i="6" s="1"/>
  <c r="F44" i="28"/>
  <c r="I42" i="28"/>
  <c r="I44" i="28" s="1"/>
  <c r="D275" i="6" s="1"/>
  <c r="H252" i="6"/>
  <c r="I252" i="6"/>
  <c r="I53" i="27"/>
  <c r="I54" i="27"/>
  <c r="I55" i="27" s="1"/>
  <c r="I100" i="27"/>
  <c r="I102" i="27" s="1"/>
  <c r="D258" i="6" s="1"/>
  <c r="F102" i="27"/>
  <c r="F91" i="27"/>
  <c r="I89" i="27"/>
  <c r="I91" i="27" s="1"/>
  <c r="D255" i="6" s="1"/>
  <c r="F79" i="27"/>
  <c r="I77" i="27"/>
  <c r="I79" i="27" s="1"/>
  <c r="D256" i="6" s="1"/>
  <c r="D260" i="6"/>
  <c r="D261" i="6"/>
  <c r="H231" i="4"/>
  <c r="K220" i="4"/>
  <c r="H247" i="4"/>
  <c r="K234" i="4"/>
  <c r="K46" i="19"/>
  <c r="K47" i="19" s="1"/>
  <c r="K258" i="6" l="1"/>
  <c r="T258" i="6"/>
  <c r="K340" i="6"/>
  <c r="L340" i="6" s="1"/>
  <c r="M340" i="6" s="1"/>
  <c r="T340" i="6"/>
  <c r="Q380" i="6"/>
  <c r="T380" i="6"/>
  <c r="K336" i="6"/>
  <c r="T336" i="6"/>
  <c r="K317" i="6"/>
  <c r="L317" i="6" s="1"/>
  <c r="M317" i="6" s="1"/>
  <c r="T317" i="6"/>
  <c r="K256" i="6"/>
  <c r="T256" i="6"/>
  <c r="K275" i="6"/>
  <c r="L275" i="6" s="1"/>
  <c r="M275" i="6" s="1"/>
  <c r="T275" i="6"/>
  <c r="K306" i="6"/>
  <c r="L306" i="6" s="1"/>
  <c r="M306" i="6" s="1"/>
  <c r="T306" i="6"/>
  <c r="K314" i="6"/>
  <c r="L314" i="6" s="1"/>
  <c r="M314" i="6" s="1"/>
  <c r="T314" i="6"/>
  <c r="K304" i="6"/>
  <c r="L304" i="6" s="1"/>
  <c r="M304" i="6" s="1"/>
  <c r="T304" i="6"/>
  <c r="K260" i="6"/>
  <c r="L260" i="6" s="1"/>
  <c r="M260" i="6" s="1"/>
  <c r="T260" i="6"/>
  <c r="K338" i="6"/>
  <c r="L338" i="6" s="1"/>
  <c r="M338" i="6" s="1"/>
  <c r="T338" i="6"/>
  <c r="K255" i="6"/>
  <c r="L255" i="6" s="1"/>
  <c r="M255" i="6" s="1"/>
  <c r="T255" i="6"/>
  <c r="K261" i="6"/>
  <c r="L261" i="6" s="1"/>
  <c r="M261" i="6" s="1"/>
  <c r="T261" i="6"/>
  <c r="K312" i="6"/>
  <c r="L312" i="6" s="1"/>
  <c r="M312" i="6" s="1"/>
  <c r="T312" i="6"/>
  <c r="K192" i="6"/>
  <c r="T192" i="6"/>
  <c r="K221" i="4"/>
  <c r="K222" i="4" s="1"/>
  <c r="K235" i="4"/>
  <c r="K236" i="4" s="1"/>
  <c r="K8" i="42"/>
  <c r="K9" i="42" s="1"/>
  <c r="Q338" i="6"/>
  <c r="R338" i="6"/>
  <c r="Q275" i="6"/>
  <c r="R275" i="6"/>
  <c r="Q255" i="6"/>
  <c r="R255" i="6"/>
  <c r="Q368" i="6"/>
  <c r="R368" i="6"/>
  <c r="Q370" i="6"/>
  <c r="R370" i="6"/>
  <c r="R346" i="6"/>
  <c r="Q346" i="6"/>
  <c r="Q260" i="6"/>
  <c r="R260" i="6"/>
  <c r="Q256" i="6"/>
  <c r="R256" i="6"/>
  <c r="R380" i="6"/>
  <c r="Q306" i="6"/>
  <c r="R306" i="6"/>
  <c r="Q350" i="6"/>
  <c r="R350" i="6"/>
  <c r="Q296" i="6"/>
  <c r="R296" i="6"/>
  <c r="Q312" i="6"/>
  <c r="R312" i="6"/>
  <c r="Q369" i="6"/>
  <c r="R369" i="6"/>
  <c r="Q422" i="6"/>
  <c r="R422" i="6"/>
  <c r="R426" i="6" s="1"/>
  <c r="Q348" i="6"/>
  <c r="R348" i="6"/>
  <c r="Q371" i="6"/>
  <c r="R371" i="6"/>
  <c r="Q440" i="6"/>
  <c r="R440" i="6"/>
  <c r="R442" i="6" s="1"/>
  <c r="Q258" i="6"/>
  <c r="R258" i="6"/>
  <c r="Q336" i="6"/>
  <c r="R336" i="6"/>
  <c r="Q317" i="6"/>
  <c r="R317" i="6"/>
  <c r="R366" i="6"/>
  <c r="Q366" i="6"/>
  <c r="Q192" i="6"/>
  <c r="R192" i="6"/>
  <c r="Q314" i="6"/>
  <c r="R314" i="6"/>
  <c r="Q340" i="6"/>
  <c r="R340" i="6"/>
  <c r="Q367" i="6"/>
  <c r="R367" i="6"/>
  <c r="Q261" i="6"/>
  <c r="R261" i="6"/>
  <c r="Q304" i="6"/>
  <c r="R304" i="6"/>
  <c r="I14" i="33"/>
  <c r="I15" i="33" s="1"/>
  <c r="I13" i="33"/>
  <c r="H192" i="6"/>
  <c r="I192" i="6"/>
  <c r="K59" i="20"/>
  <c r="K60" i="20"/>
  <c r="K61" i="20" s="1"/>
  <c r="K440" i="6"/>
  <c r="H440" i="6"/>
  <c r="H442" i="6" s="1"/>
  <c r="I440" i="6"/>
  <c r="L439" i="6"/>
  <c r="M439" i="6" s="1"/>
  <c r="K422" i="6"/>
  <c r="L422" i="6" s="1"/>
  <c r="M422" i="6" s="1"/>
  <c r="H422" i="6"/>
  <c r="H426" i="6" s="1"/>
  <c r="I422" i="6"/>
  <c r="I52" i="41"/>
  <c r="I53" i="41"/>
  <c r="I54" i="41" s="1"/>
  <c r="I380" i="6"/>
  <c r="H380" i="6"/>
  <c r="K380" i="6"/>
  <c r="L380" i="6" s="1"/>
  <c r="M380" i="6" s="1"/>
  <c r="K367" i="6"/>
  <c r="H367" i="6"/>
  <c r="I367" i="6"/>
  <c r="K371" i="6"/>
  <c r="I371" i="6"/>
  <c r="H371" i="6"/>
  <c r="K369" i="6"/>
  <c r="L369" i="6" s="1"/>
  <c r="M369" i="6" s="1"/>
  <c r="I369" i="6"/>
  <c r="H369" i="6"/>
  <c r="K368" i="6"/>
  <c r="L368" i="6" s="1"/>
  <c r="M368" i="6" s="1"/>
  <c r="H368" i="6"/>
  <c r="I368" i="6"/>
  <c r="K370" i="6"/>
  <c r="L370" i="6" s="1"/>
  <c r="M370" i="6" s="1"/>
  <c r="H370" i="6"/>
  <c r="I370" i="6"/>
  <c r="K366" i="6"/>
  <c r="L366" i="6" s="1"/>
  <c r="M366" i="6" s="1"/>
  <c r="I366" i="6"/>
  <c r="H366" i="6"/>
  <c r="D358" i="6"/>
  <c r="T358" i="6" s="1"/>
  <c r="D357" i="6"/>
  <c r="T357" i="6" s="1"/>
  <c r="I13" i="35"/>
  <c r="I14" i="35"/>
  <c r="I15" i="35" s="1"/>
  <c r="K350" i="6"/>
  <c r="L350" i="6" s="1"/>
  <c r="M350" i="6" s="1"/>
  <c r="I350" i="6"/>
  <c r="H350" i="6"/>
  <c r="K346" i="6"/>
  <c r="I346" i="6"/>
  <c r="H346" i="6"/>
  <c r="D349" i="6"/>
  <c r="T349" i="6" s="1"/>
  <c r="K348" i="6"/>
  <c r="L348" i="6" s="1"/>
  <c r="M348" i="6" s="1"/>
  <c r="H348" i="6"/>
  <c r="I348" i="6"/>
  <c r="D347" i="6"/>
  <c r="T347" i="6" s="1"/>
  <c r="I13" i="34"/>
  <c r="I14" i="34"/>
  <c r="I15" i="34" s="1"/>
  <c r="H336" i="6"/>
  <c r="I336" i="6"/>
  <c r="D337" i="6"/>
  <c r="I338" i="6"/>
  <c r="H338" i="6"/>
  <c r="H340" i="6"/>
  <c r="I340" i="6"/>
  <c r="I51" i="33"/>
  <c r="D333" i="6"/>
  <c r="I52" i="33"/>
  <c r="I53" i="33" s="1"/>
  <c r="L334" i="6"/>
  <c r="M334" i="6" s="1"/>
  <c r="I26" i="33"/>
  <c r="I27" i="33"/>
  <c r="I28" i="33" s="1"/>
  <c r="D315" i="6"/>
  <c r="D307" i="6"/>
  <c r="I85" i="31"/>
  <c r="I86" i="31"/>
  <c r="I87" i="31" s="1"/>
  <c r="I306" i="6"/>
  <c r="H306" i="6"/>
  <c r="I317" i="6"/>
  <c r="H317" i="6"/>
  <c r="I314" i="6"/>
  <c r="H314" i="6"/>
  <c r="I312" i="6"/>
  <c r="H312" i="6"/>
  <c r="H304" i="6"/>
  <c r="I304" i="6"/>
  <c r="I59" i="31"/>
  <c r="I60" i="31"/>
  <c r="I61" i="31" s="1"/>
  <c r="I47" i="31"/>
  <c r="I48" i="31"/>
  <c r="I49" i="31" s="1"/>
  <c r="I13" i="31"/>
  <c r="I14" i="31"/>
  <c r="I15" i="31" s="1"/>
  <c r="K296" i="6"/>
  <c r="L296" i="6" s="1"/>
  <c r="M296" i="6" s="1"/>
  <c r="I296" i="6"/>
  <c r="H296" i="6"/>
  <c r="I13" i="30"/>
  <c r="D298" i="6"/>
  <c r="T298" i="6" s="1"/>
  <c r="H275" i="6"/>
  <c r="I275" i="6"/>
  <c r="I48" i="28"/>
  <c r="I49" i="28"/>
  <c r="I50" i="28" s="1"/>
  <c r="H258" i="6"/>
  <c r="I258" i="6"/>
  <c r="H255" i="6"/>
  <c r="I255" i="6"/>
  <c r="H260" i="6"/>
  <c r="I260" i="6"/>
  <c r="I261" i="6"/>
  <c r="H261" i="6"/>
  <c r="H256" i="6"/>
  <c r="I256" i="6"/>
  <c r="I95" i="27"/>
  <c r="I96" i="27"/>
  <c r="I97" i="27" s="1"/>
  <c r="I83" i="27"/>
  <c r="I84" i="27"/>
  <c r="I85" i="27" s="1"/>
  <c r="I106" i="27"/>
  <c r="I107" i="27"/>
  <c r="I108" i="27" s="1"/>
  <c r="K42" i="19"/>
  <c r="H47" i="19"/>
  <c r="K194" i="29"/>
  <c r="K195" i="29" s="1"/>
  <c r="K268" i="13"/>
  <c r="K269" i="13" s="1"/>
  <c r="K307" i="6" l="1"/>
  <c r="T307" i="6"/>
  <c r="K337" i="6"/>
  <c r="L337" i="6" s="1"/>
  <c r="M337" i="6" s="1"/>
  <c r="T337" i="6"/>
  <c r="K333" i="6"/>
  <c r="L333" i="6" s="1"/>
  <c r="M333" i="6" s="1"/>
  <c r="T333" i="6"/>
  <c r="K315" i="6"/>
  <c r="L315" i="6" s="1"/>
  <c r="M315" i="6" s="1"/>
  <c r="T315" i="6"/>
  <c r="D285" i="6"/>
  <c r="T285" i="6" s="1"/>
  <c r="K241" i="4"/>
  <c r="K242" i="4" s="1"/>
  <c r="D16" i="6"/>
  <c r="K240" i="4"/>
  <c r="K227" i="4"/>
  <c r="K228" i="4" s="1"/>
  <c r="K226" i="4"/>
  <c r="D13" i="6"/>
  <c r="R387" i="6"/>
  <c r="K14" i="42"/>
  <c r="K15" i="42" s="1"/>
  <c r="D431" i="6"/>
  <c r="K13" i="42"/>
  <c r="H387" i="6"/>
  <c r="R357" i="6"/>
  <c r="Q357" i="6"/>
  <c r="R333" i="6"/>
  <c r="Q333" i="6"/>
  <c r="Q337" i="6"/>
  <c r="R337" i="6"/>
  <c r="Q358" i="6"/>
  <c r="R358" i="6"/>
  <c r="Q347" i="6"/>
  <c r="R347" i="6"/>
  <c r="Q298" i="6"/>
  <c r="R298" i="6"/>
  <c r="Q307" i="6"/>
  <c r="R307" i="6"/>
  <c r="Q315" i="6"/>
  <c r="R315" i="6"/>
  <c r="Q349" i="6"/>
  <c r="R349" i="6"/>
  <c r="L192" i="6"/>
  <c r="M192" i="6" s="1"/>
  <c r="L440" i="6"/>
  <c r="M440" i="6" s="1"/>
  <c r="L371" i="6"/>
  <c r="M371" i="6" s="1"/>
  <c r="H372" i="6"/>
  <c r="R372" i="6"/>
  <c r="L367" i="6"/>
  <c r="M367" i="6" s="1"/>
  <c r="K357" i="6"/>
  <c r="L357" i="6" s="1"/>
  <c r="M357" i="6" s="1"/>
  <c r="H357" i="6"/>
  <c r="I357" i="6"/>
  <c r="K358" i="6"/>
  <c r="L358" i="6" s="1"/>
  <c r="M358" i="6" s="1"/>
  <c r="I358" i="6"/>
  <c r="H358" i="6"/>
  <c r="K347" i="6"/>
  <c r="L347" i="6" s="1"/>
  <c r="M347" i="6" s="1"/>
  <c r="I347" i="6"/>
  <c r="H347" i="6"/>
  <c r="K349" i="6"/>
  <c r="L349" i="6" s="1"/>
  <c r="M349" i="6" s="1"/>
  <c r="I349" i="6"/>
  <c r="H349" i="6"/>
  <c r="L346" i="6"/>
  <c r="M346" i="6" s="1"/>
  <c r="H333" i="6"/>
  <c r="I333" i="6"/>
  <c r="H337" i="6"/>
  <c r="I337" i="6"/>
  <c r="L336" i="6"/>
  <c r="M336" i="6" s="1"/>
  <c r="I307" i="6"/>
  <c r="H307" i="6"/>
  <c r="H315" i="6"/>
  <c r="I315" i="6"/>
  <c r="K298" i="6"/>
  <c r="L298" i="6" s="1"/>
  <c r="M298" i="6" s="1"/>
  <c r="H298" i="6"/>
  <c r="I298" i="6"/>
  <c r="L258" i="6"/>
  <c r="M258" i="6" s="1"/>
  <c r="L256" i="6"/>
  <c r="M256" i="6" s="1"/>
  <c r="K43" i="19"/>
  <c r="K44" i="19" s="1"/>
  <c r="D447" i="6" s="1"/>
  <c r="T447" i="6" s="1"/>
  <c r="H203" i="29"/>
  <c r="K190" i="29"/>
  <c r="H285" i="13"/>
  <c r="K264" i="13"/>
  <c r="K265" i="13" s="1"/>
  <c r="Q431" i="6" l="1"/>
  <c r="T431" i="6"/>
  <c r="K13" i="6"/>
  <c r="L13" i="6" s="1"/>
  <c r="M13" i="6" s="1"/>
  <c r="T13" i="6"/>
  <c r="Q16" i="6"/>
  <c r="T16" i="6"/>
  <c r="K285" i="6"/>
  <c r="L285" i="6" s="1"/>
  <c r="M285" i="6" s="1"/>
  <c r="R285" i="6"/>
  <c r="H285" i="6"/>
  <c r="Q285" i="6"/>
  <c r="I285" i="6"/>
  <c r="H16" i="6"/>
  <c r="I16" i="6"/>
  <c r="R16" i="6"/>
  <c r="K16" i="6"/>
  <c r="L16" i="6" s="1"/>
  <c r="M16" i="6" s="1"/>
  <c r="R13" i="6"/>
  <c r="Q13" i="6"/>
  <c r="I13" i="6"/>
  <c r="H13" i="6"/>
  <c r="K431" i="6"/>
  <c r="L431" i="6" s="1"/>
  <c r="M431" i="6" s="1"/>
  <c r="I431" i="6"/>
  <c r="R431" i="6"/>
  <c r="R432" i="6" s="1"/>
  <c r="H431" i="6"/>
  <c r="H432" i="6" s="1"/>
  <c r="H319" i="6"/>
  <c r="R319" i="6"/>
  <c r="Q447" i="6"/>
  <c r="R447" i="6"/>
  <c r="K447" i="6"/>
  <c r="L447" i="6" s="1"/>
  <c r="M447" i="6" s="1"/>
  <c r="I447" i="6"/>
  <c r="H361" i="6"/>
  <c r="R361" i="6"/>
  <c r="R352" i="6"/>
  <c r="H352" i="6"/>
  <c r="H341" i="6"/>
  <c r="R341" i="6"/>
  <c r="L307" i="6"/>
  <c r="M307" i="6" s="1"/>
  <c r="K48" i="19"/>
  <c r="K49" i="19"/>
  <c r="K50" i="19" s="1"/>
  <c r="K191" i="29"/>
  <c r="K192" i="29" s="1"/>
  <c r="D168" i="6" s="1"/>
  <c r="T168" i="6" s="1"/>
  <c r="K266" i="13"/>
  <c r="Q168" i="6" l="1"/>
  <c r="R168" i="6"/>
  <c r="K168" i="6"/>
  <c r="I168" i="6"/>
  <c r="H168" i="6"/>
  <c r="K270" i="13"/>
  <c r="D84" i="6"/>
  <c r="T84" i="6" s="1"/>
  <c r="K196" i="29"/>
  <c r="K197" i="29"/>
  <c r="K198" i="29" s="1"/>
  <c r="K271" i="13"/>
  <c r="K272" i="13" s="1"/>
  <c r="Q84" i="6" l="1"/>
  <c r="R84" i="6"/>
  <c r="L168" i="6"/>
  <c r="M168" i="6" s="1"/>
  <c r="K84" i="6"/>
  <c r="L84" i="6" s="1"/>
  <c r="M84" i="6" s="1"/>
  <c r="I84" i="6"/>
  <c r="H84" i="6"/>
  <c r="H114" i="29"/>
  <c r="H122" i="29"/>
  <c r="K176" i="29"/>
  <c r="K177" i="29" s="1"/>
  <c r="K161" i="29"/>
  <c r="K162" i="29" s="1"/>
  <c r="K145" i="29"/>
  <c r="K146" i="29" s="1"/>
  <c r="K131" i="29"/>
  <c r="K132" i="29" s="1"/>
  <c r="H119" i="29"/>
  <c r="H118" i="29"/>
  <c r="H112" i="29"/>
  <c r="H117" i="29"/>
  <c r="H120" i="29"/>
  <c r="K114" i="29"/>
  <c r="K115" i="29" s="1"/>
  <c r="H115" i="29"/>
  <c r="H116" i="29"/>
  <c r="H111" i="29"/>
  <c r="H121" i="29"/>
  <c r="H105" i="29"/>
  <c r="H100" i="29"/>
  <c r="H104" i="29"/>
  <c r="H103" i="29"/>
  <c r="K102" i="29"/>
  <c r="K103" i="29" s="1"/>
  <c r="H99" i="29"/>
  <c r="H101" i="29"/>
  <c r="H102" i="29"/>
  <c r="K86" i="29"/>
  <c r="K87" i="29" s="1"/>
  <c r="K68" i="29"/>
  <c r="K69" i="29" s="1"/>
  <c r="K51" i="29"/>
  <c r="K52" i="29" s="1"/>
  <c r="K30" i="29"/>
  <c r="K31" i="29" s="1"/>
  <c r="H44" i="29" l="1"/>
  <c r="K7" i="29"/>
  <c r="K8" i="29" s="1"/>
  <c r="K9" i="29" s="1"/>
  <c r="D160" i="6" s="1"/>
  <c r="T160" i="6" s="1"/>
  <c r="H186" i="29"/>
  <c r="K172" i="29"/>
  <c r="H168" i="29"/>
  <c r="K157" i="29"/>
  <c r="H153" i="29"/>
  <c r="K141" i="29"/>
  <c r="H137" i="29"/>
  <c r="K127" i="29"/>
  <c r="H123" i="29"/>
  <c r="K110" i="29"/>
  <c r="K98" i="29"/>
  <c r="H106" i="29"/>
  <c r="K82" i="29"/>
  <c r="H94" i="29"/>
  <c r="H78" i="29"/>
  <c r="K64" i="29"/>
  <c r="K47" i="29"/>
  <c r="H60" i="29"/>
  <c r="K26" i="29"/>
  <c r="H22" i="29"/>
  <c r="Q160" i="6" l="1"/>
  <c r="R160" i="6"/>
  <c r="K160" i="6"/>
  <c r="L160" i="6" s="1"/>
  <c r="M160" i="6" s="1"/>
  <c r="I160" i="6"/>
  <c r="H160" i="6"/>
  <c r="K173" i="29"/>
  <c r="K174" i="29" s="1"/>
  <c r="D172" i="6" s="1"/>
  <c r="T172" i="6" s="1"/>
  <c r="K158" i="29"/>
  <c r="K159" i="29" s="1"/>
  <c r="D167" i="6" s="1"/>
  <c r="T167" i="6" s="1"/>
  <c r="K142" i="29"/>
  <c r="K143" i="29" s="1"/>
  <c r="K128" i="29"/>
  <c r="K129" i="29" s="1"/>
  <c r="D166" i="6" s="1"/>
  <c r="T166" i="6" s="1"/>
  <c r="K111" i="29"/>
  <c r="K112" i="29" s="1"/>
  <c r="D163" i="6" s="1"/>
  <c r="T163" i="6" s="1"/>
  <c r="K99" i="29"/>
  <c r="K100" i="29" s="1"/>
  <c r="D176" i="6" s="1"/>
  <c r="T176" i="6" s="1"/>
  <c r="K83" i="29"/>
  <c r="K84" i="29" s="1"/>
  <c r="D159" i="6" s="1"/>
  <c r="T159" i="6" s="1"/>
  <c r="K65" i="29"/>
  <c r="K66" i="29" s="1"/>
  <c r="D165" i="6" s="1"/>
  <c r="T165" i="6" s="1"/>
  <c r="K48" i="29"/>
  <c r="K49" i="29" s="1"/>
  <c r="D164" i="6" s="1"/>
  <c r="T164" i="6" s="1"/>
  <c r="K27" i="29"/>
  <c r="K28" i="29" s="1"/>
  <c r="D171" i="6" s="1"/>
  <c r="T171" i="6" s="1"/>
  <c r="Q166" i="6" l="1"/>
  <c r="R166" i="6"/>
  <c r="Q159" i="6"/>
  <c r="R159" i="6"/>
  <c r="Q176" i="6"/>
  <c r="R176" i="6"/>
  <c r="Q163" i="6"/>
  <c r="R163" i="6"/>
  <c r="Q167" i="6"/>
  <c r="R167" i="6"/>
  <c r="Q172" i="6"/>
  <c r="R172" i="6"/>
  <c r="Q171" i="6"/>
  <c r="R171" i="6"/>
  <c r="Q164" i="6"/>
  <c r="R164" i="6"/>
  <c r="Q165" i="6"/>
  <c r="R165" i="6"/>
  <c r="K171" i="6"/>
  <c r="L171" i="6" s="1"/>
  <c r="M171" i="6" s="1"/>
  <c r="I171" i="6"/>
  <c r="H171" i="6"/>
  <c r="K164" i="6"/>
  <c r="L164" i="6" s="1"/>
  <c r="M164" i="6" s="1"/>
  <c r="H164" i="6"/>
  <c r="I164" i="6"/>
  <c r="K159" i="6"/>
  <c r="L159" i="6" s="1"/>
  <c r="M159" i="6" s="1"/>
  <c r="H159" i="6"/>
  <c r="I159" i="6"/>
  <c r="K167" i="6"/>
  <c r="L167" i="6" s="1"/>
  <c r="M167" i="6" s="1"/>
  <c r="H167" i="6"/>
  <c r="I167" i="6"/>
  <c r="K172" i="6"/>
  <c r="L172" i="6" s="1"/>
  <c r="M172" i="6" s="1"/>
  <c r="H172" i="6"/>
  <c r="I172" i="6"/>
  <c r="K165" i="6"/>
  <c r="L165" i="6" s="1"/>
  <c r="M165" i="6" s="1"/>
  <c r="I165" i="6"/>
  <c r="H165" i="6"/>
  <c r="K176" i="6"/>
  <c r="L176" i="6" s="1"/>
  <c r="M176" i="6" s="1"/>
  <c r="I176" i="6"/>
  <c r="H176" i="6"/>
  <c r="K163" i="6"/>
  <c r="L163" i="6" s="1"/>
  <c r="M163" i="6" s="1"/>
  <c r="I163" i="6"/>
  <c r="H163" i="6"/>
  <c r="K166" i="6"/>
  <c r="L166" i="6" s="1"/>
  <c r="M166" i="6" s="1"/>
  <c r="I166" i="6"/>
  <c r="H166" i="6"/>
  <c r="K178" i="29"/>
  <c r="K179" i="29"/>
  <c r="K180" i="29" s="1"/>
  <c r="K163" i="29"/>
  <c r="K164" i="29"/>
  <c r="K165" i="29" s="1"/>
  <c r="K147" i="29"/>
  <c r="K148" i="29"/>
  <c r="K149" i="29" s="1"/>
  <c r="K133" i="29"/>
  <c r="K134" i="29"/>
  <c r="K135" i="29" s="1"/>
  <c r="K116" i="29"/>
  <c r="K117" i="29"/>
  <c r="K118" i="29" s="1"/>
  <c r="K104" i="29"/>
  <c r="K105" i="29"/>
  <c r="K106" i="29" s="1"/>
  <c r="K88" i="29"/>
  <c r="K89" i="29"/>
  <c r="K90" i="29" s="1"/>
  <c r="K70" i="29"/>
  <c r="K71" i="29"/>
  <c r="K72" i="29" s="1"/>
  <c r="K53" i="29"/>
  <c r="K54" i="29"/>
  <c r="K55" i="29" s="1"/>
  <c r="K32" i="29"/>
  <c r="K33" i="29"/>
  <c r="K34" i="29" s="1"/>
  <c r="K11" i="29"/>
  <c r="K12" i="29" s="1"/>
  <c r="H185" i="6" l="1"/>
  <c r="R185" i="6"/>
  <c r="K14" i="29"/>
  <c r="K15" i="29" s="1"/>
  <c r="K13" i="29"/>
  <c r="I64" i="27"/>
  <c r="I65" i="27" s="1"/>
  <c r="I38" i="27"/>
  <c r="I39" i="27" s="1"/>
  <c r="I25" i="27"/>
  <c r="I26" i="27" s="1"/>
  <c r="F22" i="27"/>
  <c r="F8" i="27"/>
  <c r="I11" i="28"/>
  <c r="I12" i="28" s="1"/>
  <c r="F8" i="28"/>
  <c r="I119" i="25"/>
  <c r="I120" i="25" s="1"/>
  <c r="F116" i="25"/>
  <c r="I108" i="25"/>
  <c r="I109" i="25" s="1"/>
  <c r="I96" i="25"/>
  <c r="I97" i="25" s="1"/>
  <c r="I84" i="25"/>
  <c r="I85" i="25" s="1"/>
  <c r="F81" i="25"/>
  <c r="I71" i="25"/>
  <c r="I72" i="25" s="1"/>
  <c r="I35" i="25"/>
  <c r="I36" i="25" s="1"/>
  <c r="I23" i="25"/>
  <c r="I24" i="25" s="1"/>
  <c r="I11" i="27"/>
  <c r="I12" i="27" s="1"/>
  <c r="I24" i="24"/>
  <c r="I25" i="24" s="1"/>
  <c r="I106" i="24"/>
  <c r="I107" i="24" s="1"/>
  <c r="I95" i="24"/>
  <c r="I96" i="24" s="1"/>
  <c r="F92" i="24"/>
  <c r="I83" i="24"/>
  <c r="I84" i="24" s="1"/>
  <c r="F80" i="24"/>
  <c r="I71" i="24"/>
  <c r="I72" i="24" s="1"/>
  <c r="I59" i="24"/>
  <c r="I60" i="24" s="1"/>
  <c r="I47" i="24"/>
  <c r="I48" i="24" s="1"/>
  <c r="I35" i="24"/>
  <c r="I36" i="24" s="1"/>
  <c r="I11" i="25"/>
  <c r="I12" i="25" s="1"/>
  <c r="I11" i="24"/>
  <c r="I12" i="24" s="1"/>
  <c r="K34" i="23"/>
  <c r="K35" i="23" s="1"/>
  <c r="K23" i="23"/>
  <c r="K24" i="23" s="1"/>
  <c r="H13" i="23"/>
  <c r="H12" i="23"/>
  <c r="K11" i="23"/>
  <c r="K12" i="23" s="1"/>
  <c r="H11" i="23"/>
  <c r="H10" i="23"/>
  <c r="H9" i="23"/>
  <c r="H8" i="23"/>
  <c r="K66" i="22"/>
  <c r="K67" i="22" s="1"/>
  <c r="K53" i="22"/>
  <c r="K54" i="22" s="1"/>
  <c r="K41" i="22"/>
  <c r="K42" i="22" s="1"/>
  <c r="K26" i="22"/>
  <c r="K27" i="22" s="1"/>
  <c r="K11" i="22"/>
  <c r="K12" i="22" s="1"/>
  <c r="H46" i="22" l="1"/>
  <c r="K22" i="22"/>
  <c r="K23" i="22" s="1"/>
  <c r="K24" i="22" s="1"/>
  <c r="D241" i="6" s="1"/>
  <c r="T241" i="6" s="1"/>
  <c r="H19" i="22"/>
  <c r="I21" i="27"/>
  <c r="F23" i="27"/>
  <c r="F9" i="28"/>
  <c r="I7" i="28"/>
  <c r="F117" i="25"/>
  <c r="I115" i="25"/>
  <c r="I117" i="25" s="1"/>
  <c r="F82" i="25"/>
  <c r="I80" i="25"/>
  <c r="I82" i="25" s="1"/>
  <c r="F9" i="27"/>
  <c r="I7" i="27"/>
  <c r="I91" i="24"/>
  <c r="F93" i="24"/>
  <c r="F81" i="24"/>
  <c r="I79" i="24"/>
  <c r="H58" i="22"/>
  <c r="K49" i="22"/>
  <c r="K50" i="22" s="1"/>
  <c r="K51" i="22" s="1"/>
  <c r="H14" i="23"/>
  <c r="K7" i="23"/>
  <c r="H36" i="23"/>
  <c r="K30" i="23"/>
  <c r="H26" i="23"/>
  <c r="K19" i="23"/>
  <c r="K62" i="22"/>
  <c r="H71" i="22"/>
  <c r="K37" i="22"/>
  <c r="K7" i="22"/>
  <c r="H34" i="22"/>
  <c r="I121" i="25" l="1"/>
  <c r="D402" i="6"/>
  <c r="I86" i="25"/>
  <c r="D409" i="6"/>
  <c r="Q241" i="6"/>
  <c r="R241" i="6"/>
  <c r="K241" i="6"/>
  <c r="L241" i="6" s="1"/>
  <c r="M241" i="6" s="1"/>
  <c r="I241" i="6"/>
  <c r="H241" i="6"/>
  <c r="K55" i="22"/>
  <c r="D242" i="6"/>
  <c r="T242" i="6" s="1"/>
  <c r="D262" i="6"/>
  <c r="I22" i="27"/>
  <c r="I23" i="27" s="1"/>
  <c r="I9" i="28"/>
  <c r="D270" i="6" s="1"/>
  <c r="I87" i="25"/>
  <c r="I88" i="25" s="1"/>
  <c r="I122" i="25"/>
  <c r="I123" i="25" s="1"/>
  <c r="I9" i="27"/>
  <c r="D257" i="6" s="1"/>
  <c r="I93" i="24"/>
  <c r="D464" i="6" s="1"/>
  <c r="T464" i="6" s="1"/>
  <c r="I81" i="24"/>
  <c r="D458" i="6" s="1"/>
  <c r="T458" i="6" s="1"/>
  <c r="K56" i="22"/>
  <c r="K57" i="22" s="1"/>
  <c r="K31" i="23"/>
  <c r="K32" i="23" s="1"/>
  <c r="D476" i="6" s="1"/>
  <c r="T476" i="6" s="1"/>
  <c r="K20" i="23"/>
  <c r="K21" i="23" s="1"/>
  <c r="D474" i="6" s="1"/>
  <c r="T474" i="6" s="1"/>
  <c r="K8" i="23"/>
  <c r="K9" i="23" s="1"/>
  <c r="D475" i="6" s="1"/>
  <c r="T475" i="6" s="1"/>
  <c r="K28" i="22"/>
  <c r="K29" i="22"/>
  <c r="K30" i="22" s="1"/>
  <c r="K63" i="22"/>
  <c r="K64" i="22" s="1"/>
  <c r="D240" i="6" s="1"/>
  <c r="T240" i="6" s="1"/>
  <c r="K8" i="22"/>
  <c r="K9" i="22" s="1"/>
  <c r="K38" i="22"/>
  <c r="K39" i="22" s="1"/>
  <c r="D244" i="6" s="1"/>
  <c r="T244" i="6" s="1"/>
  <c r="K262" i="6" l="1"/>
  <c r="L262" i="6" s="1"/>
  <c r="M262" i="6" s="1"/>
  <c r="T262" i="6"/>
  <c r="Q402" i="6"/>
  <c r="T402" i="6"/>
  <c r="K257" i="6"/>
  <c r="L257" i="6" s="1"/>
  <c r="M257" i="6" s="1"/>
  <c r="T257" i="6"/>
  <c r="K270" i="6"/>
  <c r="T270" i="6"/>
  <c r="Q409" i="6"/>
  <c r="T409" i="6"/>
  <c r="K409" i="6"/>
  <c r="L409" i="6" s="1"/>
  <c r="M409" i="6" s="1"/>
  <c r="H409" i="6"/>
  <c r="I409" i="6"/>
  <c r="R409" i="6"/>
  <c r="K402" i="6"/>
  <c r="I402" i="6"/>
  <c r="H402" i="6"/>
  <c r="R402" i="6"/>
  <c r="Q474" i="6"/>
  <c r="R474" i="6"/>
  <c r="Q476" i="6"/>
  <c r="R476" i="6"/>
  <c r="Q458" i="6"/>
  <c r="R458" i="6"/>
  <c r="Q464" i="6"/>
  <c r="R464" i="6"/>
  <c r="Q262" i="6"/>
  <c r="R262" i="6"/>
  <c r="Q475" i="6"/>
  <c r="R475" i="6"/>
  <c r="Q244" i="6"/>
  <c r="R244" i="6"/>
  <c r="Q257" i="6"/>
  <c r="R257" i="6"/>
  <c r="Q242" i="6"/>
  <c r="R242" i="6"/>
  <c r="Q240" i="6"/>
  <c r="R240" i="6"/>
  <c r="Q270" i="6"/>
  <c r="R270" i="6"/>
  <c r="R288" i="6" s="1"/>
  <c r="K475" i="6"/>
  <c r="L475" i="6" s="1"/>
  <c r="M475" i="6" s="1"/>
  <c r="H475" i="6"/>
  <c r="I475" i="6"/>
  <c r="K476" i="6"/>
  <c r="L476" i="6" s="1"/>
  <c r="M476" i="6" s="1"/>
  <c r="H476" i="6"/>
  <c r="I476" i="6"/>
  <c r="K474" i="6"/>
  <c r="L474" i="6" s="1"/>
  <c r="M474" i="6" s="1"/>
  <c r="I474" i="6"/>
  <c r="H474" i="6"/>
  <c r="K458" i="6"/>
  <c r="H458" i="6"/>
  <c r="I458" i="6"/>
  <c r="K464" i="6"/>
  <c r="H464" i="6"/>
  <c r="I464" i="6"/>
  <c r="H270" i="6"/>
  <c r="H288" i="6" s="1"/>
  <c r="I270" i="6"/>
  <c r="I262" i="6"/>
  <c r="H262" i="6"/>
  <c r="I257" i="6"/>
  <c r="H257" i="6"/>
  <c r="K240" i="6"/>
  <c r="I240" i="6"/>
  <c r="H240" i="6"/>
  <c r="K244" i="6"/>
  <c r="L244" i="6" s="1"/>
  <c r="M244" i="6" s="1"/>
  <c r="I244" i="6"/>
  <c r="H244" i="6"/>
  <c r="K242" i="6"/>
  <c r="L242" i="6" s="1"/>
  <c r="M242" i="6" s="1"/>
  <c r="I242" i="6"/>
  <c r="H242" i="6"/>
  <c r="I27" i="27"/>
  <c r="I28" i="27"/>
  <c r="I29" i="27" s="1"/>
  <c r="I13" i="28"/>
  <c r="I14" i="28"/>
  <c r="I15" i="28" s="1"/>
  <c r="I13" i="27"/>
  <c r="I14" i="27"/>
  <c r="I15" i="27" s="1"/>
  <c r="I97" i="24"/>
  <c r="I98" i="24"/>
  <c r="I99" i="24" s="1"/>
  <c r="I85" i="24"/>
  <c r="I86" i="24"/>
  <c r="I87" i="24" s="1"/>
  <c r="K25" i="23"/>
  <c r="K26" i="23"/>
  <c r="K27" i="23" s="1"/>
  <c r="K13" i="23"/>
  <c r="K14" i="23"/>
  <c r="K15" i="23" s="1"/>
  <c r="K36" i="23"/>
  <c r="K37" i="23"/>
  <c r="K38" i="23" s="1"/>
  <c r="K43" i="22"/>
  <c r="K44" i="22"/>
  <c r="K45" i="22" s="1"/>
  <c r="K68" i="22"/>
  <c r="K69" i="22"/>
  <c r="K70" i="22" s="1"/>
  <c r="K13" i="22"/>
  <c r="K14" i="22"/>
  <c r="K15" i="22" s="1"/>
  <c r="L402" i="6" l="1"/>
  <c r="M402" i="6" s="1"/>
  <c r="H478" i="6"/>
  <c r="H248" i="6"/>
  <c r="R478" i="6"/>
  <c r="L464" i="6"/>
  <c r="M464" i="6" s="1"/>
  <c r="L458" i="6"/>
  <c r="M458" i="6" s="1"/>
  <c r="R248" i="6"/>
  <c r="L270" i="6"/>
  <c r="M270" i="6" s="1"/>
  <c r="L240" i="6"/>
  <c r="M240" i="6" s="1"/>
  <c r="F68" i="24"/>
  <c r="F103" i="24"/>
  <c r="F8" i="24"/>
  <c r="F21" i="24"/>
  <c r="F22" i="24" s="1"/>
  <c r="F105" i="25"/>
  <c r="F8" i="25"/>
  <c r="F93" i="25"/>
  <c r="F32" i="24"/>
  <c r="F20" i="25"/>
  <c r="F68" i="25"/>
  <c r="F32" i="25"/>
  <c r="F58" i="24" l="1"/>
  <c r="I19" i="25"/>
  <c r="I21" i="25" s="1"/>
  <c r="D401" i="6" s="1"/>
  <c r="T401" i="6" s="1"/>
  <c r="F21" i="25"/>
  <c r="F94" i="25"/>
  <c r="I92" i="25"/>
  <c r="I94" i="25" s="1"/>
  <c r="D408" i="6" s="1"/>
  <c r="F61" i="27"/>
  <c r="F9" i="25"/>
  <c r="I7" i="25"/>
  <c r="I9" i="25" s="1"/>
  <c r="I104" i="25"/>
  <c r="I106" i="25" s="1"/>
  <c r="D407" i="6" s="1"/>
  <c r="F106" i="25"/>
  <c r="F69" i="25"/>
  <c r="I67" i="25"/>
  <c r="I69" i="25" s="1"/>
  <c r="D404" i="6" s="1"/>
  <c r="D405" i="6"/>
  <c r="F33" i="25"/>
  <c r="I31" i="25"/>
  <c r="I33" i="25" s="1"/>
  <c r="D406" i="6" s="1"/>
  <c r="F35" i="27"/>
  <c r="I67" i="24"/>
  <c r="I69" i="24" s="1"/>
  <c r="D463" i="6" s="1"/>
  <c r="T463" i="6" s="1"/>
  <c r="F69" i="24"/>
  <c r="I102" i="24"/>
  <c r="I104" i="24" s="1"/>
  <c r="D465" i="6" s="1"/>
  <c r="T465" i="6" s="1"/>
  <c r="F104" i="24"/>
  <c r="I20" i="24"/>
  <c r="I22" i="24" s="1"/>
  <c r="D462" i="6" s="1"/>
  <c r="T462" i="6" s="1"/>
  <c r="F9" i="24"/>
  <c r="I7" i="24"/>
  <c r="I9" i="24" s="1"/>
  <c r="D459" i="6" s="1"/>
  <c r="T459" i="6" s="1"/>
  <c r="F44" i="24"/>
  <c r="F45" i="24" s="1"/>
  <c r="F56" i="24"/>
  <c r="F57" i="24"/>
  <c r="F33" i="24"/>
  <c r="I31" i="24"/>
  <c r="I33" i="24" s="1"/>
  <c r="D466" i="6" s="1"/>
  <c r="T466" i="6" s="1"/>
  <c r="Q406" i="6" l="1"/>
  <c r="T406" i="6"/>
  <c r="Q405" i="6"/>
  <c r="T405" i="6"/>
  <c r="Q407" i="6"/>
  <c r="T407" i="6"/>
  <c r="Q408" i="6"/>
  <c r="T408" i="6"/>
  <c r="Q404" i="6"/>
  <c r="T404" i="6"/>
  <c r="K407" i="6"/>
  <c r="L407" i="6" s="1"/>
  <c r="M407" i="6" s="1"/>
  <c r="H407" i="6"/>
  <c r="I407" i="6"/>
  <c r="R407" i="6"/>
  <c r="K408" i="6"/>
  <c r="I408" i="6"/>
  <c r="H408" i="6"/>
  <c r="R408" i="6"/>
  <c r="K406" i="6"/>
  <c r="L406" i="6" s="1"/>
  <c r="M406" i="6" s="1"/>
  <c r="R406" i="6"/>
  <c r="H406" i="6"/>
  <c r="I406" i="6"/>
  <c r="K405" i="6"/>
  <c r="L405" i="6" s="1"/>
  <c r="M405" i="6" s="1"/>
  <c r="I405" i="6"/>
  <c r="H405" i="6"/>
  <c r="R405" i="6"/>
  <c r="K404" i="6"/>
  <c r="L404" i="6" s="1"/>
  <c r="M404" i="6" s="1"/>
  <c r="I404" i="6"/>
  <c r="R404" i="6"/>
  <c r="H404" i="6"/>
  <c r="K401" i="6"/>
  <c r="L401" i="6" s="1"/>
  <c r="M401" i="6" s="1"/>
  <c r="I401" i="6"/>
  <c r="H401" i="6"/>
  <c r="R401" i="6"/>
  <c r="Q401" i="6"/>
  <c r="Q463" i="6"/>
  <c r="R463" i="6"/>
  <c r="Q466" i="6"/>
  <c r="R466" i="6"/>
  <c r="Q459" i="6"/>
  <c r="R459" i="6"/>
  <c r="Q462" i="6"/>
  <c r="R462" i="6"/>
  <c r="Q465" i="6"/>
  <c r="R465" i="6"/>
  <c r="K465" i="6"/>
  <c r="L465" i="6" s="1"/>
  <c r="M465" i="6" s="1"/>
  <c r="H465" i="6"/>
  <c r="I465" i="6"/>
  <c r="K459" i="6"/>
  <c r="L459" i="6" s="1"/>
  <c r="M459" i="6" s="1"/>
  <c r="H459" i="6"/>
  <c r="I459" i="6"/>
  <c r="H466" i="6"/>
  <c r="K466" i="6"/>
  <c r="L466" i="6" s="1"/>
  <c r="M466" i="6" s="1"/>
  <c r="I466" i="6"/>
  <c r="K462" i="6"/>
  <c r="L462" i="6" s="1"/>
  <c r="M462" i="6" s="1"/>
  <c r="H462" i="6"/>
  <c r="I462" i="6"/>
  <c r="K463" i="6"/>
  <c r="L463" i="6" s="1"/>
  <c r="M463" i="6" s="1"/>
  <c r="H463" i="6"/>
  <c r="I463" i="6"/>
  <c r="I13" i="25"/>
  <c r="I14" i="25"/>
  <c r="I15" i="25" s="1"/>
  <c r="I37" i="25"/>
  <c r="I38" i="25"/>
  <c r="I39" i="25" s="1"/>
  <c r="I110" i="25"/>
  <c r="I111" i="25"/>
  <c r="I112" i="25" s="1"/>
  <c r="I34" i="27"/>
  <c r="I36" i="27" s="1"/>
  <c r="D254" i="6" s="1"/>
  <c r="F36" i="27"/>
  <c r="D259" i="6"/>
  <c r="I98" i="25"/>
  <c r="I99" i="25"/>
  <c r="I100" i="25" s="1"/>
  <c r="I73" i="25"/>
  <c r="I74" i="25"/>
  <c r="I75" i="25" s="1"/>
  <c r="I60" i="27"/>
  <c r="I62" i="27" s="1"/>
  <c r="F62" i="27"/>
  <c r="I25" i="25"/>
  <c r="I26" i="25"/>
  <c r="I27" i="25" s="1"/>
  <c r="I108" i="24"/>
  <c r="I109" i="24"/>
  <c r="I110" i="24" s="1"/>
  <c r="I74" i="24"/>
  <c r="I75" i="24" s="1"/>
  <c r="I73" i="24"/>
  <c r="I55" i="24"/>
  <c r="I57" i="24" s="1"/>
  <c r="D460" i="6" s="1"/>
  <c r="T460" i="6" s="1"/>
  <c r="F59" i="24"/>
  <c r="I43" i="24"/>
  <c r="I45" i="24" s="1"/>
  <c r="I26" i="24"/>
  <c r="I27" i="24"/>
  <c r="I28" i="24" s="1"/>
  <c r="I37" i="24"/>
  <c r="I38" i="24"/>
  <c r="I39" i="24" s="1"/>
  <c r="I14" i="24"/>
  <c r="I15" i="24" s="1"/>
  <c r="I13" i="24"/>
  <c r="K259" i="6" l="1"/>
  <c r="T259" i="6"/>
  <c r="K254" i="6"/>
  <c r="L254" i="6" s="1"/>
  <c r="M254" i="6" s="1"/>
  <c r="T254" i="6"/>
  <c r="L408" i="6"/>
  <c r="M408" i="6" s="1"/>
  <c r="H410" i="6"/>
  <c r="R410" i="6"/>
  <c r="Q259" i="6"/>
  <c r="R259" i="6"/>
  <c r="Q254" i="6"/>
  <c r="R254" i="6"/>
  <c r="Q460" i="6"/>
  <c r="R460" i="6"/>
  <c r="I49" i="24"/>
  <c r="D461" i="6"/>
  <c r="T461" i="6" s="1"/>
  <c r="K460" i="6"/>
  <c r="H460" i="6"/>
  <c r="I460" i="6"/>
  <c r="I259" i="6"/>
  <c r="H259" i="6"/>
  <c r="I254" i="6"/>
  <c r="H254" i="6"/>
  <c r="I66" i="27"/>
  <c r="I67" i="27"/>
  <c r="I68" i="27" s="1"/>
  <c r="I40" i="27"/>
  <c r="I41" i="27"/>
  <c r="I42" i="27" s="1"/>
  <c r="I50" i="24"/>
  <c r="I51" i="24" s="1"/>
  <c r="I61" i="24"/>
  <c r="I62" i="24"/>
  <c r="I63" i="24" s="1"/>
  <c r="K69" i="20"/>
  <c r="K70" i="20" s="1"/>
  <c r="K45" i="20"/>
  <c r="K46" i="20" s="1"/>
  <c r="K33" i="20"/>
  <c r="K34" i="20" s="1"/>
  <c r="K22" i="20"/>
  <c r="K23" i="20" s="1"/>
  <c r="K34" i="19"/>
  <c r="K35" i="19" s="1"/>
  <c r="K23" i="19"/>
  <c r="K24" i="19" s="1"/>
  <c r="K11" i="19"/>
  <c r="K12" i="19" s="1"/>
  <c r="R263" i="6" l="1"/>
  <c r="H263" i="6"/>
  <c r="Q461" i="6"/>
  <c r="R461" i="6"/>
  <c r="R467" i="6" s="1"/>
  <c r="K461" i="6"/>
  <c r="L461" i="6" s="1"/>
  <c r="M461" i="6" s="1"/>
  <c r="I461" i="6"/>
  <c r="H461" i="6"/>
  <c r="H467" i="6" s="1"/>
  <c r="L460" i="6"/>
  <c r="M460" i="6" s="1"/>
  <c r="L259" i="6"/>
  <c r="M259" i="6" s="1"/>
  <c r="H37" i="19"/>
  <c r="K18" i="20"/>
  <c r="K19" i="20" s="1"/>
  <c r="K20" i="20" s="1"/>
  <c r="D191" i="6" s="1"/>
  <c r="H37" i="20"/>
  <c r="K41" i="20"/>
  <c r="K42" i="20" s="1"/>
  <c r="K43" i="20" s="1"/>
  <c r="D195" i="6" s="1"/>
  <c r="H49" i="20"/>
  <c r="K65" i="20"/>
  <c r="K66" i="20" s="1"/>
  <c r="K67" i="20" s="1"/>
  <c r="D194" i="6" s="1"/>
  <c r="H74" i="20"/>
  <c r="K19" i="19"/>
  <c r="K20" i="19" s="1"/>
  <c r="K21" i="19" s="1"/>
  <c r="H26" i="19"/>
  <c r="H15" i="19"/>
  <c r="K7" i="19"/>
  <c r="K8" i="19" s="1"/>
  <c r="K9" i="19" s="1"/>
  <c r="D449" i="6" s="1"/>
  <c r="T449" i="6" s="1"/>
  <c r="H25" i="20"/>
  <c r="K29" i="20"/>
  <c r="K30" i="19"/>
  <c r="K191" i="6" l="1"/>
  <c r="L191" i="6" s="1"/>
  <c r="M191" i="6" s="1"/>
  <c r="T191" i="6"/>
  <c r="K195" i="6"/>
  <c r="L195" i="6" s="1"/>
  <c r="M195" i="6" s="1"/>
  <c r="T195" i="6"/>
  <c r="K194" i="6"/>
  <c r="L194" i="6" s="1"/>
  <c r="M194" i="6" s="1"/>
  <c r="T194" i="6"/>
  <c r="Q191" i="6"/>
  <c r="R191" i="6"/>
  <c r="Q194" i="6"/>
  <c r="R194" i="6"/>
  <c r="Q449" i="6"/>
  <c r="R449" i="6"/>
  <c r="Q195" i="6"/>
  <c r="R195" i="6"/>
  <c r="K449" i="6"/>
  <c r="L449" i="6" s="1"/>
  <c r="M449" i="6" s="1"/>
  <c r="I449" i="6"/>
  <c r="H449" i="6"/>
  <c r="K26" i="19"/>
  <c r="K27" i="19" s="1"/>
  <c r="D450" i="6"/>
  <c r="T450" i="6" s="1"/>
  <c r="H195" i="6"/>
  <c r="I195" i="6"/>
  <c r="I191" i="6"/>
  <c r="H191" i="6"/>
  <c r="I194" i="6"/>
  <c r="H194" i="6"/>
  <c r="D190" i="6"/>
  <c r="K25" i="19"/>
  <c r="K48" i="20"/>
  <c r="K49" i="20" s="1"/>
  <c r="K47" i="20"/>
  <c r="K24" i="20"/>
  <c r="K25" i="20"/>
  <c r="K26" i="20" s="1"/>
  <c r="K30" i="20"/>
  <c r="K31" i="20" s="1"/>
  <c r="D193" i="6" s="1"/>
  <c r="K72" i="20"/>
  <c r="K73" i="20" s="1"/>
  <c r="K71" i="20"/>
  <c r="K31" i="19"/>
  <c r="K32" i="19" s="1"/>
  <c r="D448" i="6" s="1"/>
  <c r="T448" i="6" s="1"/>
  <c r="K14" i="19"/>
  <c r="K15" i="19" s="1"/>
  <c r="K13" i="19"/>
  <c r="K190" i="6" l="1"/>
  <c r="L190" i="6" s="1"/>
  <c r="M190" i="6" s="1"/>
  <c r="T190" i="6"/>
  <c r="K193" i="6"/>
  <c r="L193" i="6" s="1"/>
  <c r="M193" i="6" s="1"/>
  <c r="T193" i="6"/>
  <c r="Q450" i="6"/>
  <c r="R450" i="6"/>
  <c r="Q448" i="6"/>
  <c r="R448" i="6"/>
  <c r="Q193" i="6"/>
  <c r="R193" i="6"/>
  <c r="Q190" i="6"/>
  <c r="R190" i="6"/>
  <c r="K448" i="6"/>
  <c r="I448" i="6"/>
  <c r="H448" i="6"/>
  <c r="K450" i="6"/>
  <c r="H450" i="6"/>
  <c r="I450" i="6"/>
  <c r="H190" i="6"/>
  <c r="I190" i="6"/>
  <c r="H193" i="6"/>
  <c r="I193" i="6"/>
  <c r="K35" i="20"/>
  <c r="K36" i="20"/>
  <c r="K37" i="20" s="1"/>
  <c r="K36" i="19"/>
  <c r="K37" i="19"/>
  <c r="K38" i="19" s="1"/>
  <c r="H452" i="6" l="1"/>
  <c r="R452" i="6"/>
  <c r="L448" i="6"/>
  <c r="M448" i="6" s="1"/>
  <c r="L450" i="6"/>
  <c r="M450" i="6" s="1"/>
  <c r="R215" i="6"/>
  <c r="K45" i="18" l="1"/>
  <c r="K46" i="18" s="1"/>
  <c r="K34" i="18"/>
  <c r="K35" i="18" s="1"/>
  <c r="K23" i="18"/>
  <c r="K24" i="18" s="1"/>
  <c r="K11" i="18"/>
  <c r="K12" i="18" s="1"/>
  <c r="K62" i="17"/>
  <c r="K63" i="17" s="1"/>
  <c r="K49" i="17"/>
  <c r="K50" i="17" s="1"/>
  <c r="K36" i="17"/>
  <c r="K37" i="17" s="1"/>
  <c r="K24" i="17"/>
  <c r="K25" i="17" s="1"/>
  <c r="K12" i="17"/>
  <c r="K13" i="17" s="1"/>
  <c r="K34" i="16"/>
  <c r="K35" i="16" s="1"/>
  <c r="H23" i="16"/>
  <c r="H25" i="16"/>
  <c r="H24" i="16"/>
  <c r="K22" i="16"/>
  <c r="K23" i="16" s="1"/>
  <c r="H20" i="16"/>
  <c r="H21" i="16"/>
  <c r="H19" i="16"/>
  <c r="H22" i="16"/>
  <c r="K11" i="16"/>
  <c r="K12" i="16" s="1"/>
  <c r="K76" i="15"/>
  <c r="K77" i="15" s="1"/>
  <c r="K57" i="15"/>
  <c r="K58" i="15" s="1"/>
  <c r="K36" i="15"/>
  <c r="K37" i="15" s="1"/>
  <c r="K11" i="15"/>
  <c r="K12" i="15" s="1"/>
  <c r="K249" i="13"/>
  <c r="K250" i="13" s="1"/>
  <c r="K230" i="13"/>
  <c r="K231" i="13" s="1"/>
  <c r="K213" i="13"/>
  <c r="K214" i="13" s="1"/>
  <c r="K195" i="13"/>
  <c r="K196" i="13" s="1"/>
  <c r="H35" i="18" l="1"/>
  <c r="H15" i="16"/>
  <c r="K7" i="16" s="1"/>
  <c r="K32" i="17"/>
  <c r="K33" i="17" s="1"/>
  <c r="K34" i="17" s="1"/>
  <c r="D133" i="6" s="1"/>
  <c r="T133" i="6" s="1"/>
  <c r="K32" i="15"/>
  <c r="K33" i="15" s="1"/>
  <c r="K34" i="15" s="1"/>
  <c r="D114" i="6" s="1"/>
  <c r="T114" i="6" s="1"/>
  <c r="H29" i="17"/>
  <c r="H205" i="13"/>
  <c r="H261" i="13"/>
  <c r="H13" i="18"/>
  <c r="K19" i="18"/>
  <c r="H25" i="18"/>
  <c r="H46" i="18"/>
  <c r="K41" i="18"/>
  <c r="K45" i="17"/>
  <c r="K46" i="17" s="1"/>
  <c r="K47" i="17" s="1"/>
  <c r="D131" i="6" s="1"/>
  <c r="H52" i="17"/>
  <c r="K8" i="17"/>
  <c r="K9" i="17" s="1"/>
  <c r="K10" i="17" s="1"/>
  <c r="H17" i="17"/>
  <c r="K20" i="17"/>
  <c r="K21" i="17" s="1"/>
  <c r="K22" i="17" s="1"/>
  <c r="K30" i="18"/>
  <c r="K7" i="18"/>
  <c r="K30" i="16"/>
  <c r="K31" i="16" s="1"/>
  <c r="K32" i="16" s="1"/>
  <c r="H36" i="16"/>
  <c r="H26" i="16"/>
  <c r="K18" i="16" s="1"/>
  <c r="K19" i="16" s="1"/>
  <c r="K20" i="16" s="1"/>
  <c r="D124" i="6" s="1"/>
  <c r="T124" i="6" s="1"/>
  <c r="H42" i="17"/>
  <c r="K53" i="15"/>
  <c r="H68" i="15"/>
  <c r="H49" i="15"/>
  <c r="K245" i="13"/>
  <c r="H242" i="13"/>
  <c r="K226" i="13"/>
  <c r="H222" i="13"/>
  <c r="K209" i="13"/>
  <c r="K191" i="13"/>
  <c r="K129" i="14"/>
  <c r="K130" i="14" s="1"/>
  <c r="K115" i="14"/>
  <c r="K116" i="14" s="1"/>
  <c r="K96" i="14"/>
  <c r="K97" i="14" s="1"/>
  <c r="K74" i="14"/>
  <c r="K75" i="14" s="1"/>
  <c r="K57" i="14"/>
  <c r="K58" i="14" s="1"/>
  <c r="K40" i="14"/>
  <c r="K41" i="14" s="1"/>
  <c r="K28" i="14"/>
  <c r="K29" i="14" s="1"/>
  <c r="K11" i="14"/>
  <c r="K12" i="14" s="1"/>
  <c r="K171" i="13"/>
  <c r="K172" i="13" s="1"/>
  <c r="K151" i="13"/>
  <c r="K152" i="13" s="1"/>
  <c r="K134" i="13"/>
  <c r="K135" i="13" s="1"/>
  <c r="K115" i="13"/>
  <c r="K116" i="13" s="1"/>
  <c r="K100" i="13"/>
  <c r="K101" i="13" s="1"/>
  <c r="K84" i="13"/>
  <c r="K85" i="13" s="1"/>
  <c r="K63" i="13"/>
  <c r="K64" i="13" s="1"/>
  <c r="K38" i="13"/>
  <c r="K39" i="13" s="1"/>
  <c r="K11" i="13"/>
  <c r="K12" i="13" s="1"/>
  <c r="K111" i="12"/>
  <c r="K112" i="12" s="1"/>
  <c r="K90" i="12"/>
  <c r="K91" i="12" s="1"/>
  <c r="K73" i="12"/>
  <c r="K74" i="12" s="1"/>
  <c r="K55" i="12"/>
  <c r="K56" i="12" s="1"/>
  <c r="K34" i="12"/>
  <c r="K35" i="12" s="1"/>
  <c r="K11" i="12"/>
  <c r="K12" i="12" s="1"/>
  <c r="K26" i="11"/>
  <c r="K27" i="11" s="1"/>
  <c r="H8" i="11"/>
  <c r="H9" i="11"/>
  <c r="H13" i="11"/>
  <c r="H14" i="11"/>
  <c r="K11" i="11"/>
  <c r="K12" i="11" s="1"/>
  <c r="H10" i="11"/>
  <c r="H12" i="11"/>
  <c r="H11" i="11"/>
  <c r="H15" i="11"/>
  <c r="T131" i="6" l="1"/>
  <c r="H122" i="14"/>
  <c r="K111" i="14" s="1"/>
  <c r="H134" i="14"/>
  <c r="K125" i="14" s="1"/>
  <c r="H32" i="14"/>
  <c r="H188" i="13"/>
  <c r="H47" i="12"/>
  <c r="H27" i="12"/>
  <c r="H17" i="11"/>
  <c r="H29" i="11"/>
  <c r="Q124" i="6"/>
  <c r="R124" i="6"/>
  <c r="Q114" i="6"/>
  <c r="R114" i="6"/>
  <c r="Q133" i="6"/>
  <c r="R133" i="6"/>
  <c r="Q131" i="6"/>
  <c r="R131" i="6"/>
  <c r="K36" i="16"/>
  <c r="D123" i="6"/>
  <c r="T123" i="6" s="1"/>
  <c r="K124" i="6"/>
  <c r="H124" i="6"/>
  <c r="I124" i="6"/>
  <c r="K133" i="6"/>
  <c r="L133" i="6" s="1"/>
  <c r="M133" i="6" s="1"/>
  <c r="I133" i="6"/>
  <c r="H133" i="6"/>
  <c r="K131" i="6"/>
  <c r="L131" i="6" s="1"/>
  <c r="M131" i="6" s="1"/>
  <c r="H131" i="6"/>
  <c r="I131" i="6"/>
  <c r="K14" i="17"/>
  <c r="D135" i="6"/>
  <c r="T135" i="6" s="1"/>
  <c r="K27" i="17"/>
  <c r="K28" i="17" s="1"/>
  <c r="D132" i="6"/>
  <c r="T132" i="6" s="1"/>
  <c r="K114" i="6"/>
  <c r="L114" i="6" s="1"/>
  <c r="M114" i="6" s="1"/>
  <c r="I114" i="6"/>
  <c r="H114" i="6"/>
  <c r="K7" i="14"/>
  <c r="K8" i="14" s="1"/>
  <c r="K9" i="14" s="1"/>
  <c r="H108" i="13"/>
  <c r="H164" i="13"/>
  <c r="K130" i="13"/>
  <c r="K131" i="13" s="1"/>
  <c r="K132" i="13" s="1"/>
  <c r="H121" i="12"/>
  <c r="K7" i="11"/>
  <c r="K8" i="11" s="1"/>
  <c r="K9" i="11" s="1"/>
  <c r="K42" i="18"/>
  <c r="K43" i="18" s="1"/>
  <c r="D484" i="6" s="1"/>
  <c r="T484" i="6" s="1"/>
  <c r="K20" i="18"/>
  <c r="K21" i="18" s="1"/>
  <c r="D482" i="6" s="1"/>
  <c r="T482" i="6" s="1"/>
  <c r="K26" i="17"/>
  <c r="K15" i="17"/>
  <c r="K16" i="17" s="1"/>
  <c r="K8" i="18"/>
  <c r="K9" i="18" s="1"/>
  <c r="D483" i="6" s="1"/>
  <c r="T483" i="6" s="1"/>
  <c r="K31" i="18"/>
  <c r="K32" i="18" s="1"/>
  <c r="D485" i="6" s="1"/>
  <c r="T485" i="6" s="1"/>
  <c r="K37" i="16"/>
  <c r="K38" i="16" s="1"/>
  <c r="K39" i="17"/>
  <c r="K40" i="17" s="1"/>
  <c r="K38" i="17"/>
  <c r="K51" i="17"/>
  <c r="K52" i="17"/>
  <c r="K53" i="17" s="1"/>
  <c r="K25" i="16"/>
  <c r="K26" i="16" s="1"/>
  <c r="K24" i="16"/>
  <c r="K8" i="16"/>
  <c r="K9" i="16" s="1"/>
  <c r="D122" i="6" s="1"/>
  <c r="T122" i="6" s="1"/>
  <c r="K24" i="14"/>
  <c r="K25" i="14" s="1"/>
  <c r="K26" i="14" s="1"/>
  <c r="H67" i="14"/>
  <c r="K53" i="14"/>
  <c r="K54" i="14" s="1"/>
  <c r="K55" i="14" s="1"/>
  <c r="K92" i="14"/>
  <c r="K93" i="14" s="1"/>
  <c r="H108" i="14"/>
  <c r="K36" i="14"/>
  <c r="K37" i="14" s="1"/>
  <c r="K38" i="14" s="1"/>
  <c r="H50" i="14"/>
  <c r="H88" i="14"/>
  <c r="K70" i="14"/>
  <c r="K71" i="14" s="1"/>
  <c r="K72" i="14" s="1"/>
  <c r="H19" i="14"/>
  <c r="K39" i="15"/>
  <c r="K40" i="15" s="1"/>
  <c r="K38" i="15"/>
  <c r="K54" i="15"/>
  <c r="K55" i="15" s="1"/>
  <c r="D112" i="6" s="1"/>
  <c r="T112" i="6" s="1"/>
  <c r="K246" i="13"/>
  <c r="K247" i="13" s="1"/>
  <c r="K227" i="13"/>
  <c r="K228" i="13" s="1"/>
  <c r="K210" i="13"/>
  <c r="K211" i="13" s="1"/>
  <c r="K192" i="13"/>
  <c r="K193" i="13" s="1"/>
  <c r="K34" i="13"/>
  <c r="K35" i="13" s="1"/>
  <c r="H56" i="13"/>
  <c r="H31" i="13"/>
  <c r="K7" i="13"/>
  <c r="K8" i="13" s="1"/>
  <c r="K9" i="13" s="1"/>
  <c r="K59" i="13"/>
  <c r="K60" i="13" s="1"/>
  <c r="K61" i="13" s="1"/>
  <c r="H77" i="13"/>
  <c r="H92" i="13"/>
  <c r="K80" i="13"/>
  <c r="K81" i="13" s="1"/>
  <c r="H127" i="13"/>
  <c r="K111" i="13"/>
  <c r="K112" i="13" s="1"/>
  <c r="K113" i="13" s="1"/>
  <c r="K167" i="13"/>
  <c r="K168" i="13" s="1"/>
  <c r="K169" i="13" s="1"/>
  <c r="H144" i="13"/>
  <c r="K96" i="13"/>
  <c r="K97" i="13" s="1"/>
  <c r="K98" i="13" s="1"/>
  <c r="K147" i="13"/>
  <c r="K7" i="12"/>
  <c r="K8" i="12" s="1"/>
  <c r="K9" i="12" s="1"/>
  <c r="H103" i="12"/>
  <c r="K86" i="12"/>
  <c r="K87" i="12" s="1"/>
  <c r="K88" i="12" s="1"/>
  <c r="H65" i="12"/>
  <c r="K51" i="12"/>
  <c r="K52" i="12" s="1"/>
  <c r="K53" i="12" s="1"/>
  <c r="K30" i="12"/>
  <c r="K31" i="12" s="1"/>
  <c r="H82" i="12"/>
  <c r="K69" i="12"/>
  <c r="K70" i="12" s="1"/>
  <c r="K107" i="12"/>
  <c r="K22" i="11"/>
  <c r="K23" i="11" s="1"/>
  <c r="K24" i="11" s="1"/>
  <c r="D79" i="6" l="1"/>
  <c r="D87" i="6"/>
  <c r="D88" i="6"/>
  <c r="D100" i="6"/>
  <c r="I69" i="6"/>
  <c r="D90" i="6"/>
  <c r="D97" i="6"/>
  <c r="D66" i="6"/>
  <c r="D86" i="6"/>
  <c r="D89" i="6"/>
  <c r="K118" i="13"/>
  <c r="K119" i="13" s="1"/>
  <c r="D83" i="6"/>
  <c r="T83" i="6" s="1"/>
  <c r="Q132" i="6"/>
  <c r="R132" i="6"/>
  <c r="Q123" i="6"/>
  <c r="R123" i="6"/>
  <c r="Q484" i="6"/>
  <c r="R484" i="6"/>
  <c r="R135" i="6"/>
  <c r="Q135" i="6"/>
  <c r="Q485" i="6"/>
  <c r="R485" i="6"/>
  <c r="Q482" i="6"/>
  <c r="R482" i="6"/>
  <c r="Q112" i="6"/>
  <c r="R112" i="6"/>
  <c r="Q483" i="6"/>
  <c r="R483" i="6"/>
  <c r="R122" i="6"/>
  <c r="Q122" i="6"/>
  <c r="L124" i="6"/>
  <c r="M124" i="6" s="1"/>
  <c r="K123" i="6"/>
  <c r="L123" i="6" s="1"/>
  <c r="M123" i="6" s="1"/>
  <c r="H123" i="6"/>
  <c r="I123" i="6"/>
  <c r="K122" i="6"/>
  <c r="L122" i="6" s="1"/>
  <c r="M122" i="6" s="1"/>
  <c r="H122" i="6"/>
  <c r="I122" i="6"/>
  <c r="K484" i="6"/>
  <c r="L484" i="6" s="1"/>
  <c r="M484" i="6" s="1"/>
  <c r="I484" i="6"/>
  <c r="H484" i="6"/>
  <c r="K485" i="6"/>
  <c r="I485" i="6"/>
  <c r="H485" i="6"/>
  <c r="K483" i="6"/>
  <c r="L483" i="6" s="1"/>
  <c r="M483" i="6" s="1"/>
  <c r="I483" i="6"/>
  <c r="H483" i="6"/>
  <c r="I482" i="6"/>
  <c r="H482" i="6"/>
  <c r="K482" i="6"/>
  <c r="L482" i="6" s="1"/>
  <c r="M482" i="6" s="1"/>
  <c r="K135" i="6"/>
  <c r="L135" i="6" s="1"/>
  <c r="M135" i="6" s="1"/>
  <c r="I135" i="6"/>
  <c r="H135" i="6"/>
  <c r="K132" i="6"/>
  <c r="L132" i="6" s="1"/>
  <c r="M132" i="6" s="1"/>
  <c r="I132" i="6"/>
  <c r="H132" i="6"/>
  <c r="K112" i="6"/>
  <c r="L112" i="6" s="1"/>
  <c r="M112" i="6" s="1"/>
  <c r="I112" i="6"/>
  <c r="H112" i="6"/>
  <c r="K76" i="14"/>
  <c r="D104" i="6"/>
  <c r="T104" i="6" s="1"/>
  <c r="K42" i="14"/>
  <c r="D98" i="6"/>
  <c r="T98" i="6" s="1"/>
  <c r="K59" i="14"/>
  <c r="D99" i="6"/>
  <c r="T99" i="6" s="1"/>
  <c r="K173" i="13"/>
  <c r="D80" i="6"/>
  <c r="T80" i="6" s="1"/>
  <c r="K102" i="13"/>
  <c r="D81" i="6"/>
  <c r="T81" i="6" s="1"/>
  <c r="K65" i="13"/>
  <c r="D82" i="6"/>
  <c r="T82" i="6" s="1"/>
  <c r="K58" i="12"/>
  <c r="K59" i="12" s="1"/>
  <c r="T67" i="6"/>
  <c r="K29" i="11"/>
  <c r="K30" i="11" s="1"/>
  <c r="D57" i="6"/>
  <c r="T57" i="6" s="1"/>
  <c r="K13" i="11"/>
  <c r="D58" i="6"/>
  <c r="K47" i="18"/>
  <c r="K48" i="18"/>
  <c r="K49" i="18" s="1"/>
  <c r="K26" i="18"/>
  <c r="K27" i="18" s="1"/>
  <c r="K25" i="18"/>
  <c r="K37" i="18"/>
  <c r="K38" i="18" s="1"/>
  <c r="K36" i="18"/>
  <c r="K14" i="18"/>
  <c r="K15" i="18" s="1"/>
  <c r="K13" i="18"/>
  <c r="K14" i="16"/>
  <c r="K15" i="16" s="1"/>
  <c r="K13" i="16"/>
  <c r="K77" i="14"/>
  <c r="K78" i="14" s="1"/>
  <c r="K43" i="14"/>
  <c r="K44" i="14" s="1"/>
  <c r="K94" i="14"/>
  <c r="K60" i="14"/>
  <c r="K61" i="14" s="1"/>
  <c r="K126" i="14"/>
  <c r="K127" i="14" s="1"/>
  <c r="D103" i="6" s="1"/>
  <c r="T103" i="6" s="1"/>
  <c r="K112" i="14"/>
  <c r="K113" i="14" s="1"/>
  <c r="D101" i="6" s="1"/>
  <c r="T101" i="6" s="1"/>
  <c r="K13" i="14"/>
  <c r="K14" i="14"/>
  <c r="K15" i="14" s="1"/>
  <c r="K59" i="15"/>
  <c r="K60" i="15"/>
  <c r="K61" i="15" s="1"/>
  <c r="K251" i="13"/>
  <c r="K252" i="13"/>
  <c r="K253" i="13" s="1"/>
  <c r="K232" i="13"/>
  <c r="K233" i="13"/>
  <c r="K234" i="13" s="1"/>
  <c r="K215" i="13"/>
  <c r="K216" i="13"/>
  <c r="K217" i="13" s="1"/>
  <c r="K197" i="13"/>
  <c r="K198" i="13"/>
  <c r="K199" i="13" s="1"/>
  <c r="K66" i="13"/>
  <c r="K67" i="13" s="1"/>
  <c r="K103" i="13"/>
  <c r="K104" i="13" s="1"/>
  <c r="K82" i="13"/>
  <c r="K117" i="13"/>
  <c r="K36" i="13"/>
  <c r="K174" i="13"/>
  <c r="K175" i="13" s="1"/>
  <c r="K148" i="13"/>
  <c r="K149" i="13" s="1"/>
  <c r="K32" i="12"/>
  <c r="K71" i="12"/>
  <c r="K57" i="12"/>
  <c r="K31" i="14"/>
  <c r="K32" i="14" s="1"/>
  <c r="K30" i="14"/>
  <c r="K137" i="13"/>
  <c r="K138" i="13" s="1"/>
  <c r="K136" i="13"/>
  <c r="K13" i="13"/>
  <c r="K14" i="13"/>
  <c r="K15" i="13" s="1"/>
  <c r="K93" i="12"/>
  <c r="K94" i="12" s="1"/>
  <c r="K92" i="12"/>
  <c r="K13" i="12"/>
  <c r="K14" i="12"/>
  <c r="K15" i="12" s="1"/>
  <c r="K108" i="12"/>
  <c r="K109" i="12" s="1"/>
  <c r="K28" i="11"/>
  <c r="K14" i="11"/>
  <c r="K15" i="11" s="1"/>
  <c r="K89" i="6" l="1"/>
  <c r="L89" i="6" s="1"/>
  <c r="M89" i="6" s="1"/>
  <c r="T89" i="6"/>
  <c r="Q86" i="6"/>
  <c r="T86" i="6"/>
  <c r="Q66" i="6"/>
  <c r="T66" i="6"/>
  <c r="Q97" i="6"/>
  <c r="T97" i="6"/>
  <c r="H90" i="6"/>
  <c r="T90" i="6"/>
  <c r="H58" i="6"/>
  <c r="T58" i="6"/>
  <c r="I100" i="6"/>
  <c r="T100" i="6"/>
  <c r="K88" i="6"/>
  <c r="L88" i="6" s="1"/>
  <c r="M88" i="6" s="1"/>
  <c r="T88" i="6"/>
  <c r="R87" i="6"/>
  <c r="T87" i="6"/>
  <c r="Q79" i="6"/>
  <c r="T79" i="6"/>
  <c r="H87" i="6"/>
  <c r="I87" i="6"/>
  <c r="H97" i="6"/>
  <c r="R69" i="6"/>
  <c r="Q87" i="6"/>
  <c r="K87" i="6"/>
  <c r="L87" i="6" s="1"/>
  <c r="M87" i="6" s="1"/>
  <c r="H88" i="6"/>
  <c r="R97" i="6"/>
  <c r="I88" i="6"/>
  <c r="K69" i="6"/>
  <c r="L69" i="6" s="1"/>
  <c r="M69" i="6" s="1"/>
  <c r="H69" i="6"/>
  <c r="I97" i="6"/>
  <c r="K97" i="6"/>
  <c r="L97" i="6" s="1"/>
  <c r="M97" i="6" s="1"/>
  <c r="K100" i="6"/>
  <c r="L100" i="6" s="1"/>
  <c r="M100" i="6" s="1"/>
  <c r="R88" i="6"/>
  <c r="Q88" i="6"/>
  <c r="R100" i="6"/>
  <c r="Q100" i="6"/>
  <c r="H100" i="6"/>
  <c r="R66" i="6"/>
  <c r="K66" i="6"/>
  <c r="L66" i="6" s="1"/>
  <c r="M66" i="6" s="1"/>
  <c r="H66" i="6"/>
  <c r="I89" i="6"/>
  <c r="I66" i="6"/>
  <c r="H89" i="6"/>
  <c r="R89" i="6"/>
  <c r="Q89" i="6"/>
  <c r="I90" i="6"/>
  <c r="R86" i="6"/>
  <c r="D85" i="6"/>
  <c r="I79" i="6"/>
  <c r="H79" i="6"/>
  <c r="K79" i="6"/>
  <c r="L79" i="6" s="1"/>
  <c r="M79" i="6" s="1"/>
  <c r="K86" i="6"/>
  <c r="L86" i="6" s="1"/>
  <c r="M86" i="6" s="1"/>
  <c r="I86" i="6"/>
  <c r="H86" i="6"/>
  <c r="R90" i="6"/>
  <c r="D70" i="6"/>
  <c r="R79" i="6"/>
  <c r="Q90" i="6"/>
  <c r="K90" i="6"/>
  <c r="L90" i="6" s="1"/>
  <c r="M90" i="6" s="1"/>
  <c r="K83" i="6"/>
  <c r="L83" i="6" s="1"/>
  <c r="M83" i="6" s="1"/>
  <c r="Q83" i="6"/>
  <c r="R83" i="6"/>
  <c r="H83" i="6"/>
  <c r="I83" i="6"/>
  <c r="K80" i="6"/>
  <c r="L80" i="6" s="1"/>
  <c r="M80" i="6" s="1"/>
  <c r="Q80" i="6"/>
  <c r="R80" i="6"/>
  <c r="K57" i="6"/>
  <c r="Q57" i="6"/>
  <c r="R57" i="6"/>
  <c r="K81" i="6"/>
  <c r="L81" i="6" s="1"/>
  <c r="M81" i="6" s="1"/>
  <c r="Q81" i="6"/>
  <c r="R81" i="6"/>
  <c r="Q136" i="6"/>
  <c r="R136" i="6"/>
  <c r="Q101" i="6"/>
  <c r="R101" i="6"/>
  <c r="Q104" i="6"/>
  <c r="R104" i="6"/>
  <c r="Q103" i="6"/>
  <c r="R103" i="6"/>
  <c r="K67" i="6"/>
  <c r="L67" i="6" s="1"/>
  <c r="M67" i="6" s="1"/>
  <c r="R67" i="6"/>
  <c r="Q67" i="6"/>
  <c r="K58" i="6"/>
  <c r="Q58" i="6"/>
  <c r="R58" i="6"/>
  <c r="Q99" i="6"/>
  <c r="R99" i="6"/>
  <c r="K82" i="6"/>
  <c r="L82" i="6" s="1"/>
  <c r="M82" i="6" s="1"/>
  <c r="Q82" i="6"/>
  <c r="R82" i="6"/>
  <c r="Q98" i="6"/>
  <c r="R98" i="6"/>
  <c r="H125" i="6"/>
  <c r="R125" i="6"/>
  <c r="R487" i="6"/>
  <c r="H487" i="6"/>
  <c r="L485" i="6"/>
  <c r="M485" i="6" s="1"/>
  <c r="K103" i="6"/>
  <c r="L103" i="6" s="1"/>
  <c r="M103" i="6" s="1"/>
  <c r="I103" i="6"/>
  <c r="H103" i="6"/>
  <c r="K98" i="14"/>
  <c r="D102" i="6"/>
  <c r="T102" i="6" s="1"/>
  <c r="K136" i="6"/>
  <c r="I136" i="6"/>
  <c r="H136" i="6"/>
  <c r="K101" i="6"/>
  <c r="L101" i="6" s="1"/>
  <c r="M101" i="6" s="1"/>
  <c r="H101" i="6"/>
  <c r="I101" i="6"/>
  <c r="K104" i="6"/>
  <c r="L104" i="6" s="1"/>
  <c r="M104" i="6" s="1"/>
  <c r="I104" i="6"/>
  <c r="H104" i="6"/>
  <c r="K98" i="6"/>
  <c r="L98" i="6" s="1"/>
  <c r="M98" i="6" s="1"/>
  <c r="I98" i="6"/>
  <c r="H98" i="6"/>
  <c r="K99" i="6"/>
  <c r="L99" i="6" s="1"/>
  <c r="M99" i="6" s="1"/>
  <c r="H99" i="6"/>
  <c r="I99" i="6"/>
  <c r="H80" i="6"/>
  <c r="I80" i="6"/>
  <c r="I81" i="6"/>
  <c r="H81" i="6"/>
  <c r="K86" i="13"/>
  <c r="D78" i="6"/>
  <c r="T78" i="6" s="1"/>
  <c r="H82" i="6"/>
  <c r="I82" i="6"/>
  <c r="K41" i="13"/>
  <c r="K42" i="13" s="1"/>
  <c r="D77" i="6"/>
  <c r="K75" i="12"/>
  <c r="D65" i="6"/>
  <c r="T65" i="6" s="1"/>
  <c r="K36" i="12"/>
  <c r="D68" i="6"/>
  <c r="T68" i="6" s="1"/>
  <c r="H67" i="6"/>
  <c r="I67" i="6"/>
  <c r="I58" i="6"/>
  <c r="H57" i="6"/>
  <c r="I57" i="6"/>
  <c r="K99" i="14"/>
  <c r="K100" i="14" s="1"/>
  <c r="K131" i="14"/>
  <c r="K132" i="14"/>
  <c r="K133" i="14" s="1"/>
  <c r="K117" i="14"/>
  <c r="K118" i="14"/>
  <c r="K119" i="14" s="1"/>
  <c r="K87" i="13"/>
  <c r="K88" i="13" s="1"/>
  <c r="K154" i="13"/>
  <c r="K155" i="13" s="1"/>
  <c r="K153" i="13"/>
  <c r="K40" i="13"/>
  <c r="K76" i="12"/>
  <c r="K77" i="12" s="1"/>
  <c r="K37" i="12"/>
  <c r="K38" i="12" s="1"/>
  <c r="K113" i="12"/>
  <c r="K114" i="12"/>
  <c r="K115" i="12" s="1"/>
  <c r="H77" i="6" l="1"/>
  <c r="T77" i="6"/>
  <c r="K70" i="6"/>
  <c r="L70" i="6" s="1"/>
  <c r="M70" i="6" s="1"/>
  <c r="T70" i="6"/>
  <c r="R85" i="6"/>
  <c r="T85" i="6"/>
  <c r="K85" i="6"/>
  <c r="L85" i="6" s="1"/>
  <c r="M85" i="6" s="1"/>
  <c r="Q85" i="6"/>
  <c r="H85" i="6"/>
  <c r="I85" i="6"/>
  <c r="Q70" i="6"/>
  <c r="I70" i="6"/>
  <c r="R70" i="6"/>
  <c r="H70" i="6"/>
  <c r="Q102" i="6"/>
  <c r="R102" i="6"/>
  <c r="R105" i="6" s="1"/>
  <c r="K77" i="6"/>
  <c r="L77" i="6" s="1"/>
  <c r="M77" i="6" s="1"/>
  <c r="Q77" i="6"/>
  <c r="R77" i="6"/>
  <c r="K65" i="6"/>
  <c r="L65" i="6" s="1"/>
  <c r="M65" i="6" s="1"/>
  <c r="Q65" i="6"/>
  <c r="R65" i="6"/>
  <c r="K68" i="6"/>
  <c r="Q68" i="6"/>
  <c r="R68" i="6"/>
  <c r="K78" i="6"/>
  <c r="R78" i="6"/>
  <c r="Q78" i="6"/>
  <c r="L136" i="6"/>
  <c r="M136" i="6" s="1"/>
  <c r="K102" i="6"/>
  <c r="L102" i="6" s="1"/>
  <c r="M102" i="6" s="1"/>
  <c r="I102" i="6"/>
  <c r="H102" i="6"/>
  <c r="H105" i="6" s="1"/>
  <c r="I78" i="6"/>
  <c r="H78" i="6"/>
  <c r="I77" i="6"/>
  <c r="I68" i="6"/>
  <c r="H68" i="6"/>
  <c r="H65" i="6"/>
  <c r="I65" i="6"/>
  <c r="R59" i="6"/>
  <c r="L58" i="6"/>
  <c r="M58" i="6" s="1"/>
  <c r="L57" i="6"/>
  <c r="M57" i="6" s="1"/>
  <c r="H59" i="6"/>
  <c r="B17" i="6"/>
  <c r="J17" i="6" s="1"/>
  <c r="J22" i="6" s="1"/>
  <c r="F8" i="6"/>
  <c r="G8" i="6" s="1"/>
  <c r="F6" i="6"/>
  <c r="G6" i="6" s="1"/>
  <c r="F7" i="6"/>
  <c r="G7" i="6" s="1"/>
  <c r="F18" i="6"/>
  <c r="G18" i="6" s="1"/>
  <c r="F20" i="6"/>
  <c r="G20" i="6" s="1"/>
  <c r="F14" i="6"/>
  <c r="G14" i="6" s="1"/>
  <c r="F5" i="6"/>
  <c r="G5" i="6" s="1"/>
  <c r="F21" i="6"/>
  <c r="G21" i="6" s="1"/>
  <c r="F9" i="6"/>
  <c r="G9" i="6" s="1"/>
  <c r="R91" i="6" l="1"/>
  <c r="H91" i="6"/>
  <c r="L78" i="6"/>
  <c r="M78" i="6" s="1"/>
  <c r="H71" i="6"/>
  <c r="R71" i="6"/>
  <c r="L68" i="6"/>
  <c r="M68" i="6" s="1"/>
  <c r="K210" i="4"/>
  <c r="K211" i="4" s="1"/>
  <c r="K193" i="4"/>
  <c r="K194" i="4" s="1"/>
  <c r="K175" i="4"/>
  <c r="K176" i="4" s="1"/>
  <c r="K164" i="4"/>
  <c r="K165" i="4" s="1"/>
  <c r="K152" i="4"/>
  <c r="K153" i="4" s="1"/>
  <c r="K136" i="4"/>
  <c r="K137" i="4" s="1"/>
  <c r="H217" i="4" l="1"/>
  <c r="H202" i="4"/>
  <c r="H185" i="4"/>
  <c r="H166" i="4"/>
  <c r="H156" i="4"/>
  <c r="H144" i="4"/>
  <c r="K189" i="4"/>
  <c r="K206" i="4"/>
  <c r="K171" i="4"/>
  <c r="K172" i="4" s="1"/>
  <c r="K160" i="4"/>
  <c r="K161" i="4" s="1"/>
  <c r="K148" i="4"/>
  <c r="K149" i="4" s="1"/>
  <c r="K132" i="4"/>
  <c r="K133" i="4" s="1"/>
  <c r="K207" i="4" l="1"/>
  <c r="K208" i="4" s="1"/>
  <c r="K190" i="4"/>
  <c r="K191" i="4" s="1"/>
  <c r="K173" i="4"/>
  <c r="K162" i="4"/>
  <c r="K150" i="4"/>
  <c r="K134" i="4"/>
  <c r="D15" i="6" l="1"/>
  <c r="K195" i="4"/>
  <c r="K196" i="4"/>
  <c r="K197" i="4" s="1"/>
  <c r="D19" i="6"/>
  <c r="K212" i="4"/>
  <c r="K213" i="4"/>
  <c r="K214" i="4" s="1"/>
  <c r="D11" i="6"/>
  <c r="D8" i="6"/>
  <c r="D6" i="6"/>
  <c r="D7" i="6"/>
  <c r="K177" i="4"/>
  <c r="K178" i="4"/>
  <c r="K179" i="4" s="1"/>
  <c r="K166" i="4"/>
  <c r="K167" i="4"/>
  <c r="K168" i="4" s="1"/>
  <c r="K154" i="4"/>
  <c r="K155" i="4"/>
  <c r="K156" i="4" s="1"/>
  <c r="K138" i="4"/>
  <c r="K139" i="4"/>
  <c r="K140" i="4" s="1"/>
  <c r="F203" i="6" l="1"/>
  <c r="G203" i="6" s="1"/>
  <c r="T203" i="6"/>
  <c r="K8" i="6"/>
  <c r="L8" i="6" s="1"/>
  <c r="M8" i="6" s="1"/>
  <c r="T8" i="6"/>
  <c r="K7" i="6"/>
  <c r="L7" i="6" s="1"/>
  <c r="M7" i="6" s="1"/>
  <c r="T7" i="6"/>
  <c r="K6" i="6"/>
  <c r="L6" i="6" s="1"/>
  <c r="M6" i="6" s="1"/>
  <c r="O6" i="6" s="1"/>
  <c r="P6" i="6" s="1"/>
  <c r="R6" i="6" s="1"/>
  <c r="T6" i="6"/>
  <c r="K11" i="6"/>
  <c r="T11" i="6"/>
  <c r="R19" i="6"/>
  <c r="T19" i="6"/>
  <c r="K15" i="6"/>
  <c r="L15" i="6" s="1"/>
  <c r="M15" i="6" s="1"/>
  <c r="T15" i="6"/>
  <c r="Q19" i="6"/>
  <c r="K19" i="6"/>
  <c r="L19" i="6" s="1"/>
  <c r="M19" i="6" s="1"/>
  <c r="H15" i="6"/>
  <c r="I15" i="6"/>
  <c r="H19" i="6"/>
  <c r="I19" i="6"/>
  <c r="I6" i="6"/>
  <c r="I7" i="6"/>
  <c r="I8" i="6"/>
  <c r="O15" i="6"/>
  <c r="P15" i="6" s="1"/>
  <c r="K43" i="7"/>
  <c r="K44" i="7" s="1"/>
  <c r="K29" i="7"/>
  <c r="K30" i="7" s="1"/>
  <c r="K11" i="7"/>
  <c r="K12" i="7" s="1"/>
  <c r="O39" i="6"/>
  <c r="P39" i="6" s="1"/>
  <c r="F39" i="6"/>
  <c r="G39" i="6" s="1"/>
  <c r="O40" i="6"/>
  <c r="P40" i="6" s="1"/>
  <c r="O38" i="6"/>
  <c r="P38" i="6" s="1"/>
  <c r="F38" i="6"/>
  <c r="G38" i="6" s="1"/>
  <c r="F11" i="6"/>
  <c r="G11" i="6" s="1"/>
  <c r="Q6" i="6" l="1"/>
  <c r="I203" i="6"/>
  <c r="H203" i="6"/>
  <c r="H215" i="6" s="1"/>
  <c r="Q15" i="6"/>
  <c r="R15" i="6"/>
  <c r="O7" i="6"/>
  <c r="P7" i="6" s="1"/>
  <c r="O8" i="6"/>
  <c r="P8" i="6" s="1"/>
  <c r="H22" i="7"/>
  <c r="H58" i="7"/>
  <c r="H35" i="7"/>
  <c r="K25" i="7"/>
  <c r="K26" i="7" s="1"/>
  <c r="K27" i="7" s="1"/>
  <c r="K39" i="7"/>
  <c r="K7" i="7"/>
  <c r="F40" i="6"/>
  <c r="G40" i="6" s="1"/>
  <c r="Q8" i="6" l="1"/>
  <c r="R8" i="6"/>
  <c r="Q7" i="6"/>
  <c r="R7" i="6"/>
  <c r="K31" i="7"/>
  <c r="D40" i="6"/>
  <c r="T40" i="6" s="1"/>
  <c r="K32" i="7"/>
  <c r="K33" i="7" s="1"/>
  <c r="K40" i="7"/>
  <c r="K41" i="7" s="1"/>
  <c r="K8" i="7"/>
  <c r="K9" i="7" s="1"/>
  <c r="K22" i="4"/>
  <c r="K23" i="4" s="1"/>
  <c r="K86" i="5"/>
  <c r="K87" i="5" s="1"/>
  <c r="K66" i="5"/>
  <c r="K67" i="5" s="1"/>
  <c r="K46" i="5"/>
  <c r="K47" i="5" s="1"/>
  <c r="K32" i="5"/>
  <c r="K33" i="5" s="1"/>
  <c r="K11" i="5"/>
  <c r="K12" i="5" s="1"/>
  <c r="K120" i="4"/>
  <c r="K121" i="4" s="1"/>
  <c r="K108" i="4"/>
  <c r="K109" i="4" s="1"/>
  <c r="K95" i="4"/>
  <c r="K96" i="4" s="1"/>
  <c r="K34" i="4"/>
  <c r="K35" i="4" s="1"/>
  <c r="K50" i="4" l="1"/>
  <c r="K68" i="4"/>
  <c r="K69" i="4" s="1"/>
  <c r="D38" i="6"/>
  <c r="D39" i="6"/>
  <c r="H59" i="5"/>
  <c r="Q40" i="6"/>
  <c r="R40" i="6"/>
  <c r="I40" i="6"/>
  <c r="K40" i="6"/>
  <c r="L40" i="6" s="1"/>
  <c r="M40" i="6" s="1"/>
  <c r="H100" i="5"/>
  <c r="H40" i="6"/>
  <c r="H79" i="5"/>
  <c r="H128" i="4"/>
  <c r="H46" i="4"/>
  <c r="H23" i="4"/>
  <c r="H85" i="4"/>
  <c r="H110" i="4"/>
  <c r="H13" i="4"/>
  <c r="K45" i="7"/>
  <c r="K46" i="7"/>
  <c r="K47" i="7" s="1"/>
  <c r="K62" i="5"/>
  <c r="K63" i="5" s="1"/>
  <c r="K64" i="5" s="1"/>
  <c r="K82" i="5"/>
  <c r="K83" i="5" s="1"/>
  <c r="K14" i="7"/>
  <c r="K15" i="7" s="1"/>
  <c r="K13" i="7"/>
  <c r="K18" i="4"/>
  <c r="K19" i="4" s="1"/>
  <c r="K42" i="5"/>
  <c r="K116" i="4"/>
  <c r="K117" i="4" s="1"/>
  <c r="K104" i="4"/>
  <c r="K105" i="4" s="1"/>
  <c r="H100" i="4"/>
  <c r="K91" i="4"/>
  <c r="K92" i="4" s="1"/>
  <c r="H64" i="4"/>
  <c r="K30" i="4"/>
  <c r="K31" i="4" s="1"/>
  <c r="K7" i="4"/>
  <c r="K8" i="4" s="1"/>
  <c r="K39" i="6" l="1"/>
  <c r="L39" i="6" s="1"/>
  <c r="M39" i="6" s="1"/>
  <c r="T39" i="6"/>
  <c r="I38" i="6"/>
  <c r="T38" i="6"/>
  <c r="K51" i="4"/>
  <c r="K52" i="4" s="1"/>
  <c r="K70" i="4"/>
  <c r="D12" i="6" s="1"/>
  <c r="T12" i="6" s="1"/>
  <c r="H38" i="6"/>
  <c r="Q38" i="6"/>
  <c r="R38" i="6"/>
  <c r="K38" i="6"/>
  <c r="L38" i="6" s="1"/>
  <c r="M38" i="6" s="1"/>
  <c r="H39" i="6"/>
  <c r="R39" i="6"/>
  <c r="Q39" i="6"/>
  <c r="I39" i="6"/>
  <c r="K68" i="5"/>
  <c r="D49" i="6"/>
  <c r="T49" i="6" s="1"/>
  <c r="K84" i="5"/>
  <c r="K69" i="5"/>
  <c r="K70" i="5" s="1"/>
  <c r="K20" i="4"/>
  <c r="K43" i="5"/>
  <c r="K44" i="5" s="1"/>
  <c r="K118" i="4"/>
  <c r="K106" i="4"/>
  <c r="K93" i="4"/>
  <c r="K32" i="4"/>
  <c r="K9" i="4"/>
  <c r="D14" i="6" l="1"/>
  <c r="K56" i="4"/>
  <c r="K57" i="4"/>
  <c r="K58" i="4" s="1"/>
  <c r="K74" i="4"/>
  <c r="K75" i="4"/>
  <c r="K76" i="4" s="1"/>
  <c r="K14" i="4"/>
  <c r="K15" i="4" s="1"/>
  <c r="K13" i="4"/>
  <c r="R41" i="6"/>
  <c r="H41" i="6"/>
  <c r="D5" i="6"/>
  <c r="K12" i="6"/>
  <c r="D9" i="6"/>
  <c r="D21" i="6"/>
  <c r="D47" i="6"/>
  <c r="D18" i="6"/>
  <c r="D17" i="6"/>
  <c r="D20" i="6"/>
  <c r="K49" i="6"/>
  <c r="L49" i="6" s="1"/>
  <c r="M49" i="6" s="1"/>
  <c r="R49" i="6"/>
  <c r="Q49" i="6"/>
  <c r="K89" i="5"/>
  <c r="K90" i="5" s="1"/>
  <c r="D50" i="6"/>
  <c r="T50" i="6" s="1"/>
  <c r="I49" i="6"/>
  <c r="H49" i="6"/>
  <c r="K88" i="5"/>
  <c r="I11" i="6"/>
  <c r="H11" i="6"/>
  <c r="L11" i="6"/>
  <c r="M11" i="6" s="1"/>
  <c r="O11" i="6" s="1"/>
  <c r="P11" i="6" s="1"/>
  <c r="K24" i="4"/>
  <c r="K25" i="4"/>
  <c r="K26" i="4" s="1"/>
  <c r="K48" i="5"/>
  <c r="K49" i="5"/>
  <c r="K50" i="5" s="1"/>
  <c r="K122" i="4"/>
  <c r="K123" i="4"/>
  <c r="K124" i="4" s="1"/>
  <c r="K110" i="4"/>
  <c r="K111" i="4"/>
  <c r="K112" i="4" s="1"/>
  <c r="K97" i="4"/>
  <c r="K98" i="4"/>
  <c r="K99" i="4" s="1"/>
  <c r="K36" i="4"/>
  <c r="K37" i="4"/>
  <c r="K38" i="4" s="1"/>
  <c r="K9" i="6" l="1"/>
  <c r="L9" i="6" s="1"/>
  <c r="M9" i="6" s="1"/>
  <c r="O9" i="6" s="1"/>
  <c r="P9" i="6" s="1"/>
  <c r="R9" i="6" s="1"/>
  <c r="T9" i="6"/>
  <c r="K5" i="6"/>
  <c r="L5" i="6" s="1"/>
  <c r="M5" i="6" s="1"/>
  <c r="O5" i="6" s="1"/>
  <c r="P5" i="6" s="1"/>
  <c r="R5" i="6" s="1"/>
  <c r="T5" i="6"/>
  <c r="K20" i="6"/>
  <c r="L20" i="6" s="1"/>
  <c r="M20" i="6" s="1"/>
  <c r="O20" i="6" s="1"/>
  <c r="P20" i="6" s="1"/>
  <c r="R20" i="6" s="1"/>
  <c r="T20" i="6"/>
  <c r="K18" i="6"/>
  <c r="L18" i="6" s="1"/>
  <c r="M18" i="6" s="1"/>
  <c r="O18" i="6" s="1"/>
  <c r="P18" i="6" s="1"/>
  <c r="R18" i="6" s="1"/>
  <c r="T18" i="6"/>
  <c r="I47" i="6"/>
  <c r="T47" i="6"/>
  <c r="Q17" i="6"/>
  <c r="T17" i="6"/>
  <c r="K21" i="6"/>
  <c r="L21" i="6" s="1"/>
  <c r="M21" i="6" s="1"/>
  <c r="T21" i="6"/>
  <c r="K14" i="6"/>
  <c r="L14" i="6" s="1"/>
  <c r="M14" i="6" s="1"/>
  <c r="O14" i="6" s="1"/>
  <c r="P14" i="6" s="1"/>
  <c r="Q14" i="6" s="1"/>
  <c r="T14" i="6"/>
  <c r="F12" i="6"/>
  <c r="G12" i="6" s="1"/>
  <c r="I12" i="6" s="1"/>
  <c r="H20" i="6"/>
  <c r="I18" i="6"/>
  <c r="R17" i="6"/>
  <c r="K17" i="6"/>
  <c r="L17" i="6" s="1"/>
  <c r="M17" i="6" s="1"/>
  <c r="I9" i="6"/>
  <c r="H5" i="6"/>
  <c r="I5" i="6"/>
  <c r="I14" i="6"/>
  <c r="H18" i="6"/>
  <c r="R47" i="6"/>
  <c r="K47" i="6"/>
  <c r="L47" i="6" s="1"/>
  <c r="M47" i="6" s="1"/>
  <c r="H47" i="6"/>
  <c r="I21" i="6"/>
  <c r="H21" i="6"/>
  <c r="Q47" i="6"/>
  <c r="I20" i="6"/>
  <c r="H14" i="6"/>
  <c r="K50" i="6"/>
  <c r="Q50" i="6"/>
  <c r="R50" i="6"/>
  <c r="Q11" i="6"/>
  <c r="R11" i="6"/>
  <c r="H50" i="6"/>
  <c r="I50" i="6"/>
  <c r="L12" i="6"/>
  <c r="M12" i="6" s="1"/>
  <c r="Q5" i="6" l="1"/>
  <c r="Q9" i="6"/>
  <c r="Q20" i="6"/>
  <c r="Q18" i="6"/>
  <c r="R14" i="6"/>
  <c r="H12" i="6"/>
  <c r="O21" i="6"/>
  <c r="P21" i="6" s="1"/>
  <c r="O12" i="6"/>
  <c r="P12" i="6" s="1"/>
  <c r="L50" i="6"/>
  <c r="M50" i="6" s="1"/>
  <c r="F17" i="6"/>
  <c r="G17" i="6" s="1"/>
  <c r="Q12" i="6" l="1"/>
  <c r="R12" i="6"/>
  <c r="Q21" i="6"/>
  <c r="R21" i="6"/>
  <c r="H17" i="6"/>
  <c r="H22" i="6" s="1"/>
  <c r="I17" i="6"/>
  <c r="R22" i="6" l="1"/>
  <c r="H25" i="5"/>
  <c r="H38" i="5"/>
  <c r="K7" i="5" l="1"/>
  <c r="K28" i="5"/>
  <c r="K29" i="5" l="1"/>
  <c r="K30" i="5" s="1"/>
  <c r="K8" i="5"/>
  <c r="K9" i="5" s="1"/>
  <c r="D48" i="6" l="1"/>
  <c r="D46" i="6"/>
  <c r="K34" i="5"/>
  <c r="K35" i="5"/>
  <c r="K36" i="5" s="1"/>
  <c r="K13" i="5"/>
  <c r="K14" i="5"/>
  <c r="K15" i="5" s="1"/>
  <c r="H46" i="6" l="1"/>
  <c r="T46" i="6"/>
  <c r="R48" i="6"/>
  <c r="T48" i="6"/>
  <c r="Q48" i="6"/>
  <c r="K48" i="6"/>
  <c r="L48" i="6" s="1"/>
  <c r="M48" i="6" s="1"/>
  <c r="I48" i="6"/>
  <c r="H48" i="6"/>
  <c r="Q46" i="6"/>
  <c r="R46" i="6"/>
  <c r="K46" i="6"/>
  <c r="L46" i="6" s="1"/>
  <c r="M46" i="6" s="1"/>
  <c r="I46" i="6"/>
  <c r="R51" i="6" l="1"/>
  <c r="H51" i="6"/>
  <c r="K58" i="17"/>
  <c r="K59" i="17" s="1"/>
  <c r="K60" i="17" s="1"/>
  <c r="H67" i="17"/>
  <c r="H28" i="15"/>
  <c r="K7" i="15"/>
  <c r="K8" i="15" s="1"/>
  <c r="K9" i="15" s="1"/>
  <c r="D113" i="6" s="1"/>
  <c r="T113" i="6" s="1"/>
  <c r="R113" i="6" l="1"/>
  <c r="Q113" i="6"/>
  <c r="D134" i="6"/>
  <c r="K65" i="17"/>
  <c r="K66" i="17" s="1"/>
  <c r="K64" i="17"/>
  <c r="K113" i="6"/>
  <c r="I113" i="6"/>
  <c r="H113" i="6"/>
  <c r="K14" i="15"/>
  <c r="K15" i="15" s="1"/>
  <c r="K13" i="15"/>
  <c r="T134" i="6" l="1"/>
  <c r="Q134" i="6"/>
  <c r="R134" i="6"/>
  <c r="R149" i="6" s="1"/>
  <c r="I134" i="6"/>
  <c r="I149" i="6" s="1"/>
  <c r="K134" i="6"/>
  <c r="L134" i="6" s="1"/>
  <c r="M134" i="6" s="1"/>
  <c r="H134" i="6"/>
  <c r="L113" i="6"/>
  <c r="M113" i="6" s="1"/>
  <c r="H90" i="15"/>
  <c r="K72" i="15"/>
  <c r="K73" i="15" l="1"/>
  <c r="K74" i="15" s="1"/>
  <c r="D111" i="6" s="1"/>
  <c r="T111" i="6" s="1"/>
  <c r="Q111" i="6" l="1"/>
  <c r="R111" i="6"/>
  <c r="R117" i="6" s="1"/>
  <c r="K111" i="6"/>
  <c r="L111" i="6" s="1"/>
  <c r="M111" i="6" s="1"/>
  <c r="I111" i="6"/>
  <c r="H111" i="6"/>
  <c r="H117" i="6" s="1"/>
  <c r="K79" i="15"/>
  <c r="K80" i="15" s="1"/>
  <c r="K78" i="15"/>
  <c r="F19" i="30"/>
  <c r="F20" i="30" l="1"/>
  <c r="I18" i="30"/>
  <c r="I20" i="30" s="1"/>
  <c r="D297" i="6" l="1"/>
  <c r="T297" i="6" s="1"/>
  <c r="I25" i="30"/>
  <c r="I26" i="30" s="1"/>
  <c r="I24" i="30"/>
  <c r="Q297" i="6" l="1"/>
  <c r="R297" i="6"/>
  <c r="D295" i="6"/>
  <c r="T295" i="6" s="1"/>
  <c r="H297" i="6"/>
  <c r="K297" i="6"/>
  <c r="I297" i="6"/>
  <c r="Q295" i="6" l="1"/>
  <c r="Q299" i="6" s="1"/>
  <c r="R295" i="6"/>
  <c r="R299" i="6" s="1"/>
  <c r="L297" i="6"/>
  <c r="M297" i="6" s="1"/>
  <c r="I295" i="6"/>
  <c r="K295" i="6"/>
  <c r="H295" i="6"/>
  <c r="H299" i="6" s="1"/>
  <c r="L295" i="6" l="1"/>
  <c r="M29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author>
  </authors>
  <commentList>
    <comment ref="B13" authorId="0" shapeId="0" xr:uid="{19193280-D492-49A8-9456-F3EAFC769D6F}">
      <text>
        <r>
          <rPr>
            <b/>
            <sz val="9"/>
            <color indexed="81"/>
            <rFont val="Tahoma"/>
            <family val="2"/>
          </rPr>
          <t>OS:</t>
        </r>
        <r>
          <rPr>
            <sz val="9"/>
            <color indexed="81"/>
            <rFont val="Tahoma"/>
            <family val="2"/>
          </rPr>
          <t xml:space="preserve">
Cambiarr precio del gramaje de la proteina</t>
        </r>
      </text>
    </comment>
    <comment ref="B28" authorId="0" shapeId="0" xr:uid="{DFD6EA81-FAAD-4F55-8EA0-B4AFB8B8A8C6}">
      <text>
        <r>
          <rPr>
            <b/>
            <sz val="9"/>
            <color indexed="81"/>
            <rFont val="Tahoma"/>
            <family val="2"/>
          </rPr>
          <t>OS:</t>
        </r>
        <r>
          <rPr>
            <sz val="9"/>
            <color indexed="81"/>
            <rFont val="Tahoma"/>
            <family val="2"/>
          </rPr>
          <t xml:space="preserve">
OPCION PESCADO FRESCO $15MIL</t>
        </r>
      </text>
    </comment>
    <comment ref="B115" authorId="0" shapeId="0" xr:uid="{7F951FE3-573C-4F33-B986-2B92F4FA1EA1}">
      <text>
        <r>
          <rPr>
            <b/>
            <sz val="9"/>
            <color indexed="81"/>
            <rFont val="Tahoma"/>
            <family val="2"/>
          </rPr>
          <t>OS:</t>
        </r>
        <r>
          <rPr>
            <sz val="9"/>
            <color indexed="81"/>
            <rFont val="Tahoma"/>
            <family val="2"/>
          </rPr>
          <t xml:space="preserve">
PONER BOWL DE CARNE DESMECHADA AL MISMO PRECIO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14" authorId="0" shapeId="0" xr:uid="{A22FD6A3-22ED-427F-90C6-7810A612CE44}">
      <text>
        <r>
          <rPr>
            <b/>
            <sz val="9"/>
            <color indexed="81"/>
            <rFont val="Tahoma"/>
            <family val="2"/>
          </rPr>
          <t>User:</t>
        </r>
        <r>
          <rPr>
            <sz val="9"/>
            <color indexed="81"/>
            <rFont val="Tahoma"/>
            <family val="2"/>
          </rPr>
          <t xml:space="preserve">
25 hojas aprox. 312 gr (confirmar peso neto!!)</t>
        </r>
      </text>
    </comment>
  </commentList>
</comments>
</file>

<file path=xl/sharedStrings.xml><?xml version="1.0" encoding="utf-8"?>
<sst xmlns="http://schemas.openxmlformats.org/spreadsheetml/2006/main" count="16265" uniqueCount="1778">
  <si>
    <t>ANALISIS RECETA</t>
  </si>
  <si>
    <t>Ingrediente</t>
  </si>
  <si>
    <t>Und</t>
  </si>
  <si>
    <t>Cant.</t>
  </si>
  <si>
    <t>Costo</t>
  </si>
  <si>
    <t>Total costo</t>
  </si>
  <si>
    <t>COSTO DEL PLATO</t>
  </si>
  <si>
    <t>COSTO</t>
  </si>
  <si>
    <t xml:space="preserve">Cantidad </t>
  </si>
  <si>
    <t>U. Medida.</t>
  </si>
  <si>
    <t xml:space="preserve">INSUMOS </t>
  </si>
  <si>
    <t>UND</t>
  </si>
  <si>
    <t>MARGEN DE ERROR DEL 10%</t>
  </si>
  <si>
    <t>COSTO + MARGEN ERROR</t>
  </si>
  <si>
    <t>VALOR DE VENTA</t>
  </si>
  <si>
    <t>IPOCONSUMO</t>
  </si>
  <si>
    <t>VALOR ANTES DE IPO</t>
  </si>
  <si>
    <t>MARGEN.</t>
  </si>
  <si>
    <t xml:space="preserve">GANANCIA </t>
  </si>
  <si>
    <t>MARGEN PORCENTUAL</t>
  </si>
  <si>
    <t>VENTA</t>
  </si>
  <si>
    <t>%</t>
  </si>
  <si>
    <t>RENTABILIDAD</t>
  </si>
  <si>
    <t>ROTACION</t>
  </si>
  <si>
    <t>RATION</t>
  </si>
  <si>
    <t>CARTA</t>
  </si>
  <si>
    <t>BASE</t>
  </si>
  <si>
    <t>PRECIO SUGERIDO</t>
  </si>
  <si>
    <t xml:space="preserve">CARTA </t>
  </si>
  <si>
    <t>SUGERIDO COSTOS</t>
  </si>
  <si>
    <t>PRECIO N</t>
  </si>
  <si>
    <t xml:space="preserve">% </t>
  </si>
  <si>
    <t>ICO2</t>
  </si>
  <si>
    <t>ICO 8%</t>
  </si>
  <si>
    <t>ICO 8%2</t>
  </si>
  <si>
    <t>Total</t>
  </si>
  <si>
    <t>SUB. ADEREZO PICADILLO</t>
  </si>
  <si>
    <t>SUB. PASTA DE AJO</t>
  </si>
  <si>
    <t>AGUA EPM</t>
  </si>
  <si>
    <t>SUB. MERMELADA DE AJI DULCE</t>
  </si>
  <si>
    <t>SUB. LECHE DE TIGRE</t>
  </si>
  <si>
    <t>SUB. TOMATES CONFITADOS</t>
  </si>
  <si>
    <t>SUB. CHIMICHURRY VERDE</t>
  </si>
  <si>
    <t>G</t>
  </si>
  <si>
    <t>VALOR DE VENTA SUGERIDO</t>
  </si>
  <si>
    <t>BOCADOS DEL ORIENTE</t>
  </si>
  <si>
    <t>PATACONES MAREA</t>
  </si>
  <si>
    <t>ENTRADAS</t>
  </si>
  <si>
    <t>TACO DE POSTA</t>
  </si>
  <si>
    <t>TACO DE CHICHARRON</t>
  </si>
  <si>
    <t>SUB. GUACAMOLE</t>
  </si>
  <si>
    <t>SUB. ACEITE DE ACHIOTE</t>
  </si>
  <si>
    <t>SUB. PASTA DE AJI AMARILLO</t>
  </si>
  <si>
    <t>SUB. AJI DEL DIABLO</t>
  </si>
  <si>
    <t>SUB. MASA DE AREPAS</t>
  </si>
  <si>
    <t>SUB. AREPAS MALANGA</t>
  </si>
  <si>
    <t>PLATANO MADURO</t>
  </si>
  <si>
    <t>SUB. HUEVO BATIDO</t>
  </si>
  <si>
    <t>SUB. SALSA DINAMITA</t>
  </si>
  <si>
    <t>COCTEL CARTAGENERO</t>
  </si>
  <si>
    <t>CEVICHE DE CHICHARRON</t>
  </si>
  <si>
    <t>CEVICHE MIRAFLORES</t>
  </si>
  <si>
    <t>CEVICHE TRUFADO</t>
  </si>
  <si>
    <t>CEVICHE ARENA BLANCA</t>
  </si>
  <si>
    <t>SUB. PALMITOS</t>
  </si>
  <si>
    <t>PULPO PARRILLADO</t>
  </si>
  <si>
    <t>LANGOSTINOS ARREBATADOS</t>
  </si>
  <si>
    <t>g</t>
  </si>
  <si>
    <t xml:space="preserve"> ENSALADA MEDITERRANEA</t>
  </si>
  <si>
    <t>ENSALADA DEL TROPICO</t>
  </si>
  <si>
    <t>ARROZ VEGETARIANO</t>
  </si>
  <si>
    <t>ATUN MASAI</t>
  </si>
  <si>
    <t>PULPO DE LA CASA</t>
  </si>
  <si>
    <t>TENTACION DEL TROPICO</t>
  </si>
  <si>
    <t>LOMO PRIMAVERA</t>
  </si>
  <si>
    <t>LOMO MUCURA</t>
  </si>
  <si>
    <t>COSTILLAS ARREBATADAS</t>
  </si>
  <si>
    <t xml:space="preserve"> COSTILLAS AHUMADAS</t>
  </si>
  <si>
    <t>LOMO MALANGA</t>
  </si>
  <si>
    <t>AREPA DE LA CASA</t>
  </si>
  <si>
    <t xml:space="preserve"> FETUCCINI MAR Y TIERRA</t>
  </si>
  <si>
    <t xml:space="preserve"> LOMO MAR Y TIERRA</t>
  </si>
  <si>
    <t>MILOJA DE MALANGA</t>
  </si>
  <si>
    <t>TRILOGIA DE BROWNIE PELENQUE</t>
  </si>
  <si>
    <t>COCO AREBATADO</t>
  </si>
  <si>
    <t>AZUCAR MANUELITA  BOLSA X 5LB</t>
  </si>
  <si>
    <t>COCO RALLADO NRO1 IPRODESA XK CD21</t>
  </si>
  <si>
    <t>HARINA PAN BLANCA X 1KG</t>
  </si>
  <si>
    <t>MOSTAZA FRUCO GAL X 4015G</t>
  </si>
  <si>
    <t>SAL REFISAL X 1000G</t>
  </si>
  <si>
    <t>SALSA DE TOMATE FRUCO GX 4350G</t>
  </si>
  <si>
    <t>VINAGRE BLANCO FRUCO X 3060ML</t>
  </si>
  <si>
    <t>ACEITE MESTRE OLEO X 3000CC</t>
  </si>
  <si>
    <t>FETUHINI MONTICELLO X 500G</t>
  </si>
  <si>
    <t>DURAZNO EN MITADDISPRONATX 820G DREN 470G</t>
  </si>
  <si>
    <t>GINGER BEER SIN LICOR JUNIPER X 200ML</t>
  </si>
  <si>
    <t>COCONUT JUNIPER X 207 MIL</t>
  </si>
  <si>
    <t>FAMITEX COCINA SALMON X 10U 74322</t>
  </si>
  <si>
    <t xml:space="preserve">ARROZ ARBOREO COLAVITA X 1 KG </t>
  </si>
  <si>
    <t>COBERTURA MON BLANCAX 2,5 GR</t>
  </si>
  <si>
    <t>NACHO TRIANGULAR MAXABOX X 1000 GR</t>
  </si>
  <si>
    <t>WHIP TOPPING X 1 KL</t>
  </si>
  <si>
    <t>RON MALIBU / 750CC 20 VOL C12</t>
  </si>
  <si>
    <t>COM PAN BAGUETTE CONGELADO X 400G PT MB</t>
  </si>
  <si>
    <t>PULPA MANGO 1000 GR</t>
  </si>
  <si>
    <t>PULPA MANGO BICHE 1200GR</t>
  </si>
  <si>
    <t xml:space="preserve">CREMA DE LECHE  X 9700G </t>
  </si>
  <si>
    <t>QUESO CREMA GRANEL X 4K</t>
  </si>
  <si>
    <t>ARMONIA TARTUFATA X 500</t>
  </si>
  <si>
    <t>VINO ROSALEDA SAUV BLANC 750 ML</t>
  </si>
  <si>
    <t>VINO LAMBRUSCO ROSAD PICCINI REGNO 750 ML</t>
  </si>
  <si>
    <t>CERVEZA CLUB COL NEGRARETORNABLE 330CC</t>
  </si>
  <si>
    <t>CERVEZA AGUILA RETORNABLE 330CC</t>
  </si>
  <si>
    <t>CERVEZA CORONA NRB SIXPACK X 330ML</t>
  </si>
  <si>
    <t xml:space="preserve">MEJILLON NEGRO 454GR </t>
  </si>
  <si>
    <t>PULPO MEXICANO 2-4</t>
  </si>
  <si>
    <t>L. TRIPLE SEC TEICHENNE 1000ML</t>
  </si>
  <si>
    <t>BULLDOG GIN 750ML</t>
  </si>
  <si>
    <t>SUB. MAYONESA DE MARACUYA</t>
  </si>
  <si>
    <t>SUB. ARROZ COCIDO</t>
  </si>
  <si>
    <t>SUB. SALSA DE CILANTRO</t>
  </si>
  <si>
    <t>SUB. SALSA PARRILLERA</t>
  </si>
  <si>
    <t>SUB. CHIMICHURRY ROJO</t>
  </si>
  <si>
    <t>SUB. FALSA LECHE DE TIGRE</t>
  </si>
  <si>
    <t>SUB. LECHE DE COCO</t>
  </si>
  <si>
    <t>SUB. AIRE DE MARACUYA</t>
  </si>
  <si>
    <t>SUB.  SALSA TARTARA</t>
  </si>
  <si>
    <t>SUB. CHIPS DE PLATANO</t>
  </si>
  <si>
    <t>SUB. REDUCCION BALSAMICA</t>
  </si>
  <si>
    <t>SUB. MAYONESA DE LA CASA</t>
  </si>
  <si>
    <t>SUB. MAYO BALSAMICA</t>
  </si>
  <si>
    <t>SUB. BBQ DE MANGO</t>
  </si>
  <si>
    <t>SUB. HOGAO</t>
  </si>
  <si>
    <t>SUB. MELCOCHA</t>
  </si>
  <si>
    <t>SUB. ALMIBAR</t>
  </si>
  <si>
    <t>SUB. PASTA DE CILANTRO</t>
  </si>
  <si>
    <t>SUB. ACEVICHADA</t>
  </si>
  <si>
    <t>SUB. PURE DE PAPA</t>
  </si>
  <si>
    <t>SUB. PASTA DE PIMENTON</t>
  </si>
  <si>
    <t>SUB. FRUTOS DEL BOSQUE</t>
  </si>
  <si>
    <t>SUB. PESTO</t>
  </si>
  <si>
    <t>SUB. PUERRO CROCANTE</t>
  </si>
  <si>
    <t>SUB. CHIPS DE CAMOTE</t>
  </si>
  <si>
    <t>SUB. CEBOLLAS ENCURTIDAS</t>
  </si>
  <si>
    <t>SUB. ARROZ ARBOREO</t>
  </si>
  <si>
    <t>SUB. PASTA ROCOTO</t>
  </si>
  <si>
    <t>SUB. REDUCCION DE COROZO</t>
  </si>
  <si>
    <t>SUB. MAYO HIERBABUENA</t>
  </si>
  <si>
    <t>SUB. MIEL MOSTAZA</t>
  </si>
  <si>
    <t>SUB. FETUCCINI</t>
  </si>
  <si>
    <t>SUB. BROWNIE DE CHOCOLATE</t>
  </si>
  <si>
    <t>SUB. BROWNIE DE RED VELVET</t>
  </si>
  <si>
    <t>SUB. CHEESE CAKE</t>
  </si>
  <si>
    <t>SUB. PICO DE GALLO</t>
  </si>
  <si>
    <t>SUB. BBQ DE GUAYABA</t>
  </si>
  <si>
    <t>SUB. POSTA</t>
  </si>
  <si>
    <t>SUB. WAFLE DE PAN DE YUCA</t>
  </si>
  <si>
    <t>SUB. SALSA DE FRUTOS AMARILLOS</t>
  </si>
  <si>
    <t>SUB. BROWNIE DE CHOCOLATE BLANCO</t>
  </si>
  <si>
    <t>SUB. CREMA PASTELERO</t>
  </si>
  <si>
    <t>SUB. REMOJE</t>
  </si>
  <si>
    <t>SUB. MERENGUE</t>
  </si>
  <si>
    <t>SUB. CHIPS DE YUCA</t>
  </si>
  <si>
    <t>SUB. SORBETE DE NATILLA</t>
  </si>
  <si>
    <t>SUB. REDUCCION DE MARACUYA</t>
  </si>
  <si>
    <t>SUB. CROQUETAS DE JAIBA</t>
  </si>
  <si>
    <t>SUB. MIX DE CEBOLLA</t>
  </si>
  <si>
    <t>SUB. ALBONDIGAS DE LENTEJAS</t>
  </si>
  <si>
    <t>SUB. ZUMO DE LIMON</t>
  </si>
  <si>
    <t>SUB. PATACON</t>
  </si>
  <si>
    <t>ACEITE TRUFADO</t>
  </si>
  <si>
    <t xml:space="preserve"> RISSOTO CARBONERO</t>
  </si>
  <si>
    <t>LANGOSTINOS</t>
  </si>
  <si>
    <t>ABSOLUT 700 ML</t>
  </si>
  <si>
    <t>ACEITE DE AJONJOLI KADOYA X 1.62LT</t>
  </si>
  <si>
    <t>ACQUA PANNA VIDRIO 505 ML</t>
  </si>
  <si>
    <t>AGUA S. PELLEGRINO VIDRIO 505ML</t>
  </si>
  <si>
    <t>AGUA TONICA TRADICIONAL JUNIPER X200ML</t>
  </si>
  <si>
    <t>AHUMADO/SALSA HUMO ASTEK X 3850ML</t>
  </si>
  <si>
    <t>ALMENDRA ENTERA X 500 GR</t>
  </si>
  <si>
    <t>AZUCAR SOBRES MANUELITA BOLSA X200S X 5G</t>
  </si>
  <si>
    <t>BAILEYS ORIGINAL 1,0L</t>
  </si>
  <si>
    <t>BBQ BOLSA 5000G BARY CJ</t>
  </si>
  <si>
    <t>BOLSA DE HIELO IGLU 18 KG</t>
  </si>
  <si>
    <t>BUCHANANS DELUXE AGED 12 YEARS 0.375L</t>
  </si>
  <si>
    <t>BULLEIT BOURBON 0,75L</t>
  </si>
  <si>
    <t>CANELA ASTILLAS SAN VALENTIN X500G</t>
  </si>
  <si>
    <t>CEBOLLA MORADA LIMPIA</t>
  </si>
  <si>
    <t>CEREZA MARRASCHINO ALFAFRASX 1000G DREN 580G</t>
  </si>
  <si>
    <t>CERVEZA AGUILA LIGTH RETORNABLE 330CC</t>
  </si>
  <si>
    <t>CERVEZA CLUB COL ROJA RETORNABLE 330 CC</t>
  </si>
  <si>
    <t>CERVEZA STELLA ARTOIS SIXPACK NR 330 MEX</t>
  </si>
  <si>
    <t>CIDRA DE ROSAS JUNIPER X 207ML</t>
  </si>
  <si>
    <t>CINZANO TO SPRITZ 750</t>
  </si>
  <si>
    <t>COBERTURA MON NEGRA X 2,5KL LUKER-CAJAX4-5%</t>
  </si>
  <si>
    <t>COCA COLA 1,5 LT PET</t>
  </si>
  <si>
    <t>COCA COLA S/AZ 10 OZ</t>
  </si>
  <si>
    <t>COLOMBIANA PET 1.5 LX 12 P.E</t>
  </si>
  <si>
    <t xml:space="preserve">COLORANTE GEL AMARILLO X 60 ML </t>
  </si>
  <si>
    <t>COMINO MOLIDO X 500GR</t>
  </si>
  <si>
    <t xml:space="preserve">CREMA AVELLANAS CORDILLERA X1K </t>
  </si>
  <si>
    <t>CUAJADA COLANTA X 500G</t>
  </si>
  <si>
    <t>ESENCIA COCO MUND HEVO X 500C.C</t>
  </si>
  <si>
    <t>ESPUMOSO BARON DE ROTHERG BRUT 750</t>
  </si>
  <si>
    <t>GINEBRA HENDRICKS 750CC</t>
  </si>
  <si>
    <t>HEINIKEN BARRIL 8 LTS PET</t>
  </si>
  <si>
    <t>JUNIPER LEMONGRASS X 207ML</t>
  </si>
  <si>
    <t>LECHE CONDENSADA LA LECHERA BOLSA X 4,5K</t>
  </si>
  <si>
    <t xml:space="preserve">MANANTIAL CON GAS VIDRIO 300ML </t>
  </si>
  <si>
    <t xml:space="preserve">MANANTIAL SIN GAS 500ML </t>
  </si>
  <si>
    <t>MASMELO FIRESIDE X 1000GR</t>
  </si>
  <si>
    <t>MEZCAL 400 CONEJOS JOVEN SPADIN 750 ML</t>
  </si>
  <si>
    <t xml:space="preserve">MIEL DE ABEJA PURA S/ VALENTINX 480G </t>
  </si>
  <si>
    <t xml:space="preserve">MIEL MAPLE BARY X 480G </t>
  </si>
  <si>
    <t>MIGA DE PAN PANKO BLANCO X 20 KILOS</t>
  </si>
  <si>
    <t>MULTIGRANOLA TONING X1000 GR</t>
  </si>
  <si>
    <t>NATUMALTA PET 1500 X6</t>
  </si>
  <si>
    <t>NAVARRO COL PRIV BLEND 0.75L</t>
  </si>
  <si>
    <t>OCHUVA CON CAPACHO</t>
  </si>
  <si>
    <t>OREGANO X 500GR</t>
  </si>
  <si>
    <t>PAPA CRIOLLA BALIN O CHIRIYA</t>
  </si>
  <si>
    <t xml:space="preserve">POLVO PARA HORNEAR CAROLOSEN X 1000GR </t>
  </si>
  <si>
    <t>SALSA DE HUMO INNOVAL X 1000</t>
  </si>
  <si>
    <t>SALSA EN POLVO TAJIN CLASICO X 142G</t>
  </si>
  <si>
    <t>SANTA EMA CHARDONAY S.T RVA 2022/750ML</t>
  </si>
  <si>
    <t>SANTA EMA ST SUAVIGNON BLANC X 750 RVA 2020</t>
  </si>
  <si>
    <t>SCHEEPPES SODA10 OZ</t>
  </si>
  <si>
    <t>SPRING ROLL WEI CHUAN X 25 WRAPS</t>
  </si>
  <si>
    <t>SPRITE 400 ML</t>
  </si>
  <si>
    <t>SUERO ATOYABUEY BONGA DEL SINU 5000</t>
  </si>
  <si>
    <t>TANQUERAY LONDON DRY GIN 0.70L</t>
  </si>
  <si>
    <t>TANQUERAY NO. TEN GIN .</t>
  </si>
  <si>
    <t>TINTA DE CALAMAR SQUID INK X 500 GR</t>
  </si>
  <si>
    <t>TOGARASHI HACHI 300 GR</t>
  </si>
  <si>
    <t>VINO COUS. MACUL DON LUIS SUV BLA 750</t>
  </si>
  <si>
    <t xml:space="preserve">VINO ENATE CHARDONAY 750 ML </t>
  </si>
  <si>
    <t xml:space="preserve">VINO LAS MORAS BLANCO CHARDONAY 750ML </t>
  </si>
  <si>
    <t>VINO LAS MORAS TINTO MALBEC 750 ML</t>
  </si>
  <si>
    <t>VINO PICCINI LAMBRUS TTO REGNO DOC 750 ML</t>
  </si>
  <si>
    <t>VINO ROSALEDA ROSE 750ML</t>
  </si>
  <si>
    <t>VINO ROSALEDA TINTO MERLOT 750ML</t>
  </si>
  <si>
    <t>VINO TINTO CAVIC TETRAPACK X 1LT</t>
  </si>
  <si>
    <t>VINO TINTO MALBECM. LAS MORAS 375ML</t>
  </si>
  <si>
    <t>VINO TRAPICHE FINO MALBEC 750ML</t>
  </si>
  <si>
    <t>VINO TRAPICHE MERLOT VARIETAL 750L</t>
  </si>
  <si>
    <t xml:space="preserve">YOGUR FRESA BOLSA X 900G </t>
  </si>
  <si>
    <t>LIMONADA NATURAL</t>
  </si>
  <si>
    <t xml:space="preserve"> LIMONADA DE COCO</t>
  </si>
  <si>
    <t>JUGO FRUTOS ROJOS</t>
  </si>
  <si>
    <t>JUGO DE MANGO</t>
  </si>
  <si>
    <t>SODA DE LYCHEES</t>
  </si>
  <si>
    <t>BORA BORA</t>
  </si>
  <si>
    <t>ONZ</t>
  </si>
  <si>
    <t xml:space="preserve">MARGARITA DE MANGO BICHE </t>
  </si>
  <si>
    <t>APEROL SPRITZ</t>
  </si>
  <si>
    <t>MONKEY DRINKS</t>
  </si>
  <si>
    <t>TANQUERAY LONDON</t>
  </si>
  <si>
    <t>2</t>
  </si>
  <si>
    <t>COCA COLA ZERO</t>
  </si>
  <si>
    <t>SPRITE</t>
  </si>
  <si>
    <t xml:space="preserve">SODA </t>
  </si>
  <si>
    <t xml:space="preserve">SODA MICHELADA </t>
  </si>
  <si>
    <t xml:space="preserve">AGUA CON GAS </t>
  </si>
  <si>
    <t>AGUA SIN GAS</t>
  </si>
  <si>
    <t>AGUA PANNA</t>
  </si>
  <si>
    <t>AGUA S PELLEGRINO</t>
  </si>
  <si>
    <t>SANTA EMA CHARDONAY</t>
  </si>
  <si>
    <t>CAUSIÑO MACUL DON LUIS SAUVIGNON BLANC</t>
  </si>
  <si>
    <t>FINCA LAS MORAS RESERVA CHARDONAY</t>
  </si>
  <si>
    <t>FINCA LAS MORAS CHARDONAY</t>
  </si>
  <si>
    <t>ENATE 234 CHARDONAY D.O SOMONTANO</t>
  </si>
  <si>
    <t>SANTA EMA RESERVAS MEDIA CHARDONAY</t>
  </si>
  <si>
    <t>MONTES ALPHA CHARDONAY</t>
  </si>
  <si>
    <t>CHAN DE ROSAS</t>
  </si>
  <si>
    <t>RON ZACAPA 23 AÑOS</t>
  </si>
  <si>
    <t>TRAGO RON ZACAPA 23 AÑOS</t>
  </si>
  <si>
    <t>RON MEDELLIN 8 AÑOS</t>
  </si>
  <si>
    <t>RON ZACAPA AMBAR 12 AÑOS</t>
  </si>
  <si>
    <t>TRAGO RON ZACAPA AMBAR 12 AÑOS</t>
  </si>
  <si>
    <t>TRAGO RON MEDELLIN 8 AÑOS</t>
  </si>
  <si>
    <t>HUEVOS AA</t>
  </si>
  <si>
    <t>SUB. VINAGRETA FRESCA</t>
  </si>
  <si>
    <t>SUB. SALSA AGRIDULCE</t>
  </si>
  <si>
    <t>SUB. PANCAKE VAINILLA</t>
  </si>
  <si>
    <t>SANDUCHE DE CHICHARRON</t>
  </si>
  <si>
    <t>MONTADITO DE COSTILLA AL CABALLO</t>
  </si>
  <si>
    <t>CACEROLA DE HUEVOS ESTRELLADOS</t>
  </si>
  <si>
    <t>WAFLE PAN DE YUCA Y HUEVO POCHE</t>
  </si>
  <si>
    <t>BOWL DE CEREAL</t>
  </si>
  <si>
    <t>NAPOLEON DE PANCAKES</t>
  </si>
  <si>
    <t>WAFLE PAN DE YUCA Y HUEVO ESCOSES</t>
  </si>
  <si>
    <t>MONTADITO DE POSTA</t>
  </si>
  <si>
    <t>PESCADO ENCOCADO</t>
  </si>
  <si>
    <t>PESCA AL AJILLO</t>
  </si>
  <si>
    <t>AREPA MALANGA</t>
  </si>
  <si>
    <t>MARGARITA TRADICIONAL</t>
  </si>
  <si>
    <t>MOSCOW MULE</t>
  </si>
  <si>
    <t>COROZO MULE</t>
  </si>
  <si>
    <t>CONEJO CAZADOR</t>
  </si>
  <si>
    <t>BUCHANANS DELUXE AGED 12 YEARS 0.750L</t>
  </si>
  <si>
    <t>BUCHANANS MASTER 0,75L</t>
  </si>
  <si>
    <t>ARROZ  CASTELLANO X 1KG</t>
  </si>
  <si>
    <t>COLCAFE GRANULADO CLASICO X500 GR</t>
  </si>
  <si>
    <t>ALMIDON CORRIENTE X 1000GR</t>
  </si>
  <si>
    <t>RON SAILOR JERRY  700ML</t>
  </si>
  <si>
    <t>SALSA INGLESA ADEREZOS PET X 1070 G</t>
  </si>
  <si>
    <t>CAVA DON ROMAN ROSE</t>
  </si>
  <si>
    <t>SPLENDA X 700U X 1G</t>
  </si>
  <si>
    <t>QUESO MOZZARELLA BLOQUE X 2,5K</t>
  </si>
  <si>
    <t xml:space="preserve">PAN TAJADO ART. BRIOCHE 700GR </t>
  </si>
  <si>
    <t>RESERVA DE DON JULIO BLANCO 0,70L</t>
  </si>
  <si>
    <t>COCA COLA 10 OZ VIDRIO</t>
  </si>
  <si>
    <t>HARINA DE TRIGO HAZ DE OROS BOLSA X550g</t>
  </si>
  <si>
    <t>ACEITE VEGETAL X 20LT</t>
  </si>
  <si>
    <t>SUB. VINAGRETA DE MANGO</t>
  </si>
  <si>
    <t>SUB. CHICHARRON</t>
  </si>
  <si>
    <t>DESCRIPCION</t>
  </si>
  <si>
    <t>GRATINADO DE JAIBA</t>
  </si>
  <si>
    <t>GRATINADO DE SETAS</t>
  </si>
  <si>
    <t>Columna2</t>
  </si>
  <si>
    <t xml:space="preserve"> LANGOSTINOS EN COCO Y CURRY</t>
  </si>
  <si>
    <t>MEZCLUM X 500G</t>
  </si>
  <si>
    <t>CEVICHES</t>
  </si>
  <si>
    <t>ENSALADAS</t>
  </si>
  <si>
    <t>ARROCES</t>
  </si>
  <si>
    <t xml:space="preserve"> ARROZ CALDOSO</t>
  </si>
  <si>
    <t>ARROZ DEL CARIBE</t>
  </si>
  <si>
    <t>FUERTES MAR</t>
  </si>
  <si>
    <t>CEVICHE PARRILLERO</t>
  </si>
  <si>
    <t>FUERTES TIERRA</t>
  </si>
  <si>
    <t>FUERTES MAR Y TIERRA</t>
  </si>
  <si>
    <t>POSTRES</t>
  </si>
  <si>
    <t>BRUCH</t>
  </si>
  <si>
    <t>SUB. COSTILLA</t>
  </si>
  <si>
    <t>SUB. ROLL SPRING ROLLS</t>
  </si>
  <si>
    <t>SUB. FRESA DE ALMIBAR</t>
  </si>
  <si>
    <t xml:space="preserve">COLORANTE GEL ROJO X 60 ML </t>
  </si>
  <si>
    <t>SUB. FRUTOS AMARILLO</t>
  </si>
  <si>
    <t>SUB. BATIDO DE AREQUIPE</t>
  </si>
  <si>
    <t>SUB. PURE DE MADURO</t>
  </si>
  <si>
    <t>SUB. SOBREBARRIGA</t>
  </si>
  <si>
    <t>PICADA DE MAR</t>
  </si>
  <si>
    <t>TACO DE MAR</t>
  </si>
  <si>
    <t>TACO MIXTO</t>
  </si>
  <si>
    <t>NECTAR DE PERA X 1000 ML</t>
  </si>
  <si>
    <t xml:space="preserve">PAN DE CEBOLLA </t>
  </si>
  <si>
    <t>SANGRIAS</t>
  </si>
  <si>
    <t xml:space="preserve">RON VIEJO DE CALDAS 3 AÑOS </t>
  </si>
  <si>
    <t xml:space="preserve">TRAGO RON VIEJO DE CALDAS 3 AÑOS </t>
  </si>
  <si>
    <t xml:space="preserve">RON SAILOR JERRY  </t>
  </si>
  <si>
    <t xml:space="preserve">TRAGO RON MALIBU </t>
  </si>
  <si>
    <t>RON</t>
  </si>
  <si>
    <t>TRAGO RON MEDELLIN 3 AÑOS</t>
  </si>
  <si>
    <t>MEDIA RON MEDELLIN 8 AÑOS</t>
  </si>
  <si>
    <t>MEDIA RON MEDELLIN 3 AÑOS</t>
  </si>
  <si>
    <t xml:space="preserve">TRAGO RON SAILOR JERRY  </t>
  </si>
  <si>
    <t>TEQUILA</t>
  </si>
  <si>
    <t>DON JULIO AÑEJO</t>
  </si>
  <si>
    <t>TRAGO DON JULIO AÑEJO</t>
  </si>
  <si>
    <t>RESERVA DE DON JULIO BLANCO</t>
  </si>
  <si>
    <t>TRAGO RESERVA DE DON JULIO BLANCO</t>
  </si>
  <si>
    <t>DON JULIO 70</t>
  </si>
  <si>
    <t>TRAGO DON JULIO 70</t>
  </si>
  <si>
    <t>TRAGO DON JULIOS REPOSADO</t>
  </si>
  <si>
    <t>TEQUILA 1800 AÑEJO</t>
  </si>
  <si>
    <t>TRAGO TEQUILA 1800 AÑEJO</t>
  </si>
  <si>
    <t>TEQUILA 1800 REPOSADO</t>
  </si>
  <si>
    <t>TRAGO TEQUILA 1800 REPOSADO</t>
  </si>
  <si>
    <t>DOBLE MAESTRO DIAMANTE</t>
  </si>
  <si>
    <t>TRAGO DOBLE MAESTRO DIAMANTE</t>
  </si>
  <si>
    <t>VODKA SMIRNOFF</t>
  </si>
  <si>
    <t>TRAGO VODKA SMIRNOFF</t>
  </si>
  <si>
    <t>MARGEN DE ERROR DEL 0%</t>
  </si>
  <si>
    <t>VODKA ABSOLUT</t>
  </si>
  <si>
    <t>TRAGO VODKA ABSOLUT</t>
  </si>
  <si>
    <t>VODKA</t>
  </si>
  <si>
    <t>WISKHY</t>
  </si>
  <si>
    <t>BUCHANANS 12 AÑOS</t>
  </si>
  <si>
    <t>TRAGO BUCHANANS 12 AÑOS</t>
  </si>
  <si>
    <t>MEDIA BUCHANANS 12 AÑOS</t>
  </si>
  <si>
    <t>BUCHANANS MASTER</t>
  </si>
  <si>
    <t>TRAGO BUCHANANS MASTER</t>
  </si>
  <si>
    <t>BUCHANANS 18 AÑOS</t>
  </si>
  <si>
    <t>TRAGO BUCHANANS 18 AÑOS</t>
  </si>
  <si>
    <t xml:space="preserve">TRAGO OLD PARR </t>
  </si>
  <si>
    <t>JOHNNIE WALKER BLACK LABEL</t>
  </si>
  <si>
    <t>TRAGO JOHNNIE WALKER BLACK LABEL</t>
  </si>
  <si>
    <t xml:space="preserve">BULLEIT BOURBON </t>
  </si>
  <si>
    <t xml:space="preserve">TRAGO BULLEIT BOURBON </t>
  </si>
  <si>
    <t>THE SINGLETON MALT</t>
  </si>
  <si>
    <t>TRAGO THE SINGLETON MALT</t>
  </si>
  <si>
    <t>MALTAS</t>
  </si>
  <si>
    <t>GINEBRA</t>
  </si>
  <si>
    <t>TRAGO TANQUERAY NO. TEN GIN .</t>
  </si>
  <si>
    <t>TRAGO TANQUERAY LONDON</t>
  </si>
  <si>
    <t>GINEBRA HENDRICKS</t>
  </si>
  <si>
    <t>BULLDOG GIN</t>
  </si>
  <si>
    <t>SELVA</t>
  </si>
  <si>
    <t>TRAGO SELVA</t>
  </si>
  <si>
    <t>TRAGO GINEBRA HENDRICKS</t>
  </si>
  <si>
    <t>TRAGO BULLDOG GIN</t>
  </si>
  <si>
    <t>AGUARDIENTE</t>
  </si>
  <si>
    <t>MEDIA AGUARDIENTE ROJO</t>
  </si>
  <si>
    <t>TRAGO  AGUARDIENTE ROJO</t>
  </si>
  <si>
    <t>MEDIA AGUARDIENTE AZUL</t>
  </si>
  <si>
    <t>TRAGO AGUARDIENTE AZUL</t>
  </si>
  <si>
    <t>MEDIA AGUARDIENTE VERDE</t>
  </si>
  <si>
    <t>MEZCAL</t>
  </si>
  <si>
    <t xml:space="preserve"> 400 CONEJOS </t>
  </si>
  <si>
    <t xml:space="preserve">TRAGO 400 CONEJOS </t>
  </si>
  <si>
    <t>CERVEZA CLUB COL DORADA RETORNABLE 330CC</t>
  </si>
  <si>
    <t>CLUB COLOMBIA DORADA</t>
  </si>
  <si>
    <t>CLUB COLOMBIA ROJA</t>
  </si>
  <si>
    <t>CLUB COLOMBIA NEGRA</t>
  </si>
  <si>
    <t>AGUILA</t>
  </si>
  <si>
    <t>AGUILA LIGHT</t>
  </si>
  <si>
    <t>CORONA</t>
  </si>
  <si>
    <t xml:space="preserve">CERVEZA </t>
  </si>
  <si>
    <t>FINCA LAS MORAS BLACK LABEL MALBEC</t>
  </si>
  <si>
    <t>FINCA LAS MORAS CABERNET SAUUVIGNON</t>
  </si>
  <si>
    <t>ENATEE CABERNET MERLOT D.O SOMONTANO</t>
  </si>
  <si>
    <t>RIOJA DE BORDON RESERVA TEMPRANILLO GARNACHA D.O.C</t>
  </si>
  <si>
    <t>NAVARRO CORREAS BLEND</t>
  </si>
  <si>
    <t>SANTA CAROLINA CARMENERE</t>
  </si>
  <si>
    <t>TRAPICHE CABERNET SAUVINGNON</t>
  </si>
  <si>
    <t>TRAPICHE MERLOT</t>
  </si>
  <si>
    <t>TRAPICHE RESERVA MALBEC</t>
  </si>
  <si>
    <t>TRAPICHE RESERVA SYRAH</t>
  </si>
  <si>
    <t>SANTA EMA BARRIEL  RESERVA 60/40</t>
  </si>
  <si>
    <t>FINCA LAS MORAS MALBEC</t>
  </si>
  <si>
    <t>MONTES CHERUP</t>
  </si>
  <si>
    <t>VINO ROSADO</t>
  </si>
  <si>
    <t>CHAPAÑAS Y ESPUMOSOSO</t>
  </si>
  <si>
    <t>NAVARRO COREAS EXTRA BRUT</t>
  </si>
  <si>
    <t>NAVARRO COREAS EXTRA BRUT ROSE</t>
  </si>
  <si>
    <t>LAMBRUSCO CLETO CHIARLI ROSE</t>
  </si>
  <si>
    <t>VINO PICCINI LAMBRUSCI TINTO REGNO DOC</t>
  </si>
  <si>
    <t>VINO PICCINI LAMBRUSCO ROSADO REGNO</t>
  </si>
  <si>
    <t>SPARKLING ANGEL</t>
  </si>
  <si>
    <t>REFAJO</t>
  </si>
  <si>
    <t>GINGER BEER</t>
  </si>
  <si>
    <t>COCONUT</t>
  </si>
  <si>
    <t>JUNIPER TONIC</t>
  </si>
  <si>
    <t>MEZCLADORES</t>
  </si>
  <si>
    <t>MOJITO CUBANO</t>
  </si>
  <si>
    <t>SODAS</t>
  </si>
  <si>
    <t>BEBIDAS</t>
  </si>
  <si>
    <t>MOCKTAILS</t>
  </si>
  <si>
    <t>JUGOS</t>
  </si>
  <si>
    <t>LYCHEE SAN VALENTIN 567G DREN 225G</t>
  </si>
  <si>
    <t>AJINOMOTO X KILO</t>
  </si>
  <si>
    <t>QUESO ALPINA PARMESANO RAYADO 2.5 L</t>
  </si>
  <si>
    <t xml:space="preserve">Palmitos crocantes rellenos de salsa dinamita, acompañados de salsa melcocha. </t>
  </si>
  <si>
    <t>Queso costeño frito acompañado de mermelada de ají.</t>
  </si>
  <si>
    <t>Crocantes anillos de calamar, camarones, palmito y pescado blanco en panko con chips de plátano con topping de cebolla acevichada y salsa de la casa, perfecto para compartir</t>
  </si>
  <si>
    <t>Patacones de camarones y mango sobre suero costeño.</t>
  </si>
  <si>
    <t>Taco de mar y taco de tierra a elección.</t>
  </si>
  <si>
    <t>Tortilla de maíz, mézclum con aceite de trufa, camarones apanados y pescado tempurizado con vinagreta mediterránea y salsa tártara.</t>
  </si>
  <si>
    <t>Tortilla de maíz, base de guacamole, posta cartagenera con toping de piñas caramelizadas con ron de coco y chicharrón crocante con pico de gallo.</t>
  </si>
  <si>
    <t>Cubos crocantes de chicharrón acompañados con ensalada a la criolla y papas nativas en chimichurri acevichadas al cilantro.</t>
  </si>
  <si>
    <t>Croqueta cremosa de carne de cangrejo al estilo español</t>
  </si>
  <si>
    <t>Cóctel de camarón en salsa rosada, vino blanco y piña en trozos, acompañado de patacones crocantes, brotes frescos y masago.</t>
  </si>
  <si>
    <t>Cubos de pesca blanca en una cremosa leche de tigre en salsa de trufa. Acompañado de camarones crocantes y un topping de puerro crocante.</t>
  </si>
  <si>
    <t>Ceviche mixto de pescado blanco y calamar marinado en leche de tigre, ají peruano, acompañado de una base de vegetales al fresco, trozos de aguacate y papas nativas.</t>
  </si>
  <si>
    <t>Ceviche de calamar y camarón en leche de tigre, papas criollas crocantes, trozos de aguacate y queso parmesano.</t>
  </si>
  <si>
    <t>Arroz con mariscos en pasta de pimentón ahumado, vegetales y chips crocantes de plátano, acompañado de leche de tigre.</t>
  </si>
  <si>
    <t>Arroz salteado con pescado y variedad de vegetales, trozos de mazorca parrillada y chimichurri mixto. </t>
  </si>
  <si>
    <t>Arroz cremoso de queso parmesano, con solomito y camarón con un topin de puerro crocante.</t>
  </si>
  <si>
    <t>Camarones salteados en base de pimientos y pescado coronado con ceviche.</t>
  </si>
  <si>
    <t>Langostinos crocantes albardados con tocino, sobre arroz de ají amarillo y reducción de balsámico.</t>
  </si>
  <si>
    <t>Langostinos al coco y curry servido sobre puré de papas, tomates perla y queso parmesano.</t>
  </si>
  <si>
    <t>Langosta a la parrilla con mariscos salteados y vegetales al wok, acompañado de mazorca dulce, mix de cebollas, papa nativa y salsa rocoto.</t>
  </si>
  <si>
    <t>Cazuela al estilo Malanga, mariscos saltados en bísquet, acompañados de arroz con coco y crocantes de plátano.</t>
  </si>
  <si>
    <t>Salteado de mariscos sobre pescado a la plancha en salsa balsámica a la parmesana, acompañado de ensalada al fresco y puré rústico de papa.</t>
  </si>
  <si>
    <t>Filete de salmón a la plancha bañado en salsa agridulce,acompañado de ensalada fresca, con aguacate y puré de papas.</t>
  </si>
  <si>
    <t>Salmón sellado a la plancha en salsa parrillera, con arroz acevichado al cilantro, vegetales salteados y maíz dulce.</t>
  </si>
  <si>
    <t>Pulpo, pescado y calamar a la parrilla sobre una plancha, acompañado de mix de cebolla acevichada y carimañolas.</t>
  </si>
  <si>
    <t>Pescado crocante sobre su esqueleto bañado con camarones y una salsa de jugos de tomate, acompañado de arroz con coco y patacones crocantes en suero y un toque de salsa de café.</t>
  </si>
  <si>
    <t>Pesca de mar en salsa de la casa y camarones, acompañada de arroz con coco y patacones con suero costeño.</t>
  </si>
  <si>
    <t>Atún maguro importado encostrado en alverja y ajonjolí sobre un arroz meloso de Bailey.</t>
  </si>
  <si>
    <t>Pulpo parrillado sobre pure trufado y chimichurry.</t>
  </si>
  <si>
    <t>Pesca del día encocada acompañada de arroz de coco y bastones de plátano.</t>
  </si>
  <si>
    <t>Filete de salmón, sobre un arroz arbóreo de coco en tinta de calamar, acompañado de langostino crocante bañado en suero de la casa, parmesano y chimichurri mixto.</t>
  </si>
  <si>
    <t>Lomo sellado, sobre puré cremoso de plátano, chips de yuca y salsa de pimientas.</t>
  </si>
  <si>
    <t>Posta al estilo cartagenero acompañada de patacones y arroz con coco. / Cartagena-style posta accompanied by patacones and coconut rice.</t>
  </si>
  <si>
    <t>Lomo enrollado con tocineta ahumada, bañado con salsa de café, acompañado de ensalada fresca y puré de papa a la parmesana.</t>
  </si>
  <si>
    <t>Solomito sobre plátano maduro sellado a la plancha, coronado con tomates, cebollas asadas y huevo frito al gusto, acompañado de zanahoria crocante y salsa de queso.</t>
  </si>
  <si>
    <t>Costillas bañadas en salsa bbq de guayaba, ahumadas, acompañas de tomates parrillados, papas a la francesa y/o puré de papa.</t>
  </si>
  <si>
    <t>Costillas bañadas en salsa bbq o miel mostaza, flameadas con ron, acompañadas de tomates parrillados, puré de la casa o papas a la francesa.</t>
  </si>
  <si>
    <t>Solomito sellado en soya, bañado en salsa de mariscos al rocoto, acompañado de papas criollas crocantes, maicitos y ensalada al fresco</t>
  </si>
  <si>
    <t>Arepa rellena con sobrebarriga y plátano maduro bañada en salsa de queso al vino blanco y camarones.</t>
  </si>
  <si>
    <t>Pasta fetuccini salteada con solomito,camarones en tres quesos y un topping de kanikama.</t>
  </si>
  <si>
    <t>Solomito con camarones en salsa de queso acompañado con vegetales salteados y puré de la casa coronado con langostino.</t>
  </si>
  <si>
    <t>Mezclum de lechugas, variedad de tomates, cebolla encurtida, aceitunas y queso parmesano en escamas con aderezo mayo-balsámico.</t>
  </si>
  <si>
    <t>Mezclum de lechugas, queso costeño, piña, tomates despelucados, coco deshidratado con aderezo mayo-hierbabuena.</t>
  </si>
  <si>
    <t>MENU INFANTIL</t>
  </si>
  <si>
    <t>Proteína a la selección (Pollo, carne o pescado), acompañada de papas a la francesa.</t>
  </si>
  <si>
    <t>Cremoso batido de arequipe y frutos tropicales, acompañado de merengues con frutos secos.</t>
  </si>
  <si>
    <t>Tres brownies artesanales de chocolate blanco, chocolate oscuro y red velvet acompañado de helado de vainilla y salsa de frutos rojos.</t>
  </si>
  <si>
    <t>Tejas crocantes rellenas de crema pastelera, arequipe, banano y fresas.</t>
  </si>
  <si>
    <t>Biscochuelo húmedo, cheese cake de coco con un topping de gelato de vainilla y ralladura de limón.</t>
  </si>
  <si>
    <t>Pan artesanal de masa madre, costilla de cerdo ahumada, duraznos glaseados, crocantes de puerro caramelizado y huevo frito.</t>
  </si>
  <si>
    <t>Servidos con totopos, fundido de rancho, posta de res desmechada, aguacate, tomates asados, huevos fritos de codorniz, salsa de pimitos asados, maíz rostizado, cebolla crispy y queso rallado.</t>
  </si>
  <si>
    <t>Con huevos poché o huevo escocés, chicharrón, aguacate y salsa de quesos.</t>
  </si>
  <si>
    <t>Torre de Pancakes de vainilla, acompañados de miel de maple, crema y fruta.</t>
  </si>
  <si>
    <t>Servido sobre tostón de pan artesanal de masa madre, salsa cartagenera, queso y topping de mézclum tempurizado. </t>
  </si>
  <si>
    <t>Con fruta, cereal y yogurt.</t>
  </si>
  <si>
    <t>Clásicas tostadas francesas rellenas de fresa y mango.</t>
  </si>
  <si>
    <t>Pan de masa madre y tres opciones de huevo para escoger (Poché, frito o revuelto) tocineta y aguacate.</t>
  </si>
  <si>
    <t>Sándwich en pan baguette con chicharrón al estilo peruano, cebolla acevichada, camote y mayonesa de rocoto.</t>
  </si>
  <si>
    <t>En pan baguette roast beef de solomito, queso , salsa pesto, mozarella, tomates y ensalada freca.</t>
  </si>
  <si>
    <t>Con huevo en cacerola, guacamole, hogao, queso costeño y tierra de chorizo.</t>
  </si>
  <si>
    <t>Coctel tropical a base zumo de sandia, reducción de corozo, tónica juniper y limón</t>
  </si>
  <si>
    <t>Cóctel tropical a base de Juniper de coconut, maracuyá y ginger beer.</t>
  </si>
  <si>
    <t>Refrescante cóctel a base de rose-cider y limón</t>
  </si>
  <si>
    <t>Jarra $75.000 Refajo de la casa a base de cerveza, pisco, ginger beer, rodajas de naranja.</t>
  </si>
  <si>
    <t>Sangría a base de vino rosado, ginebra, ron Malibú, fresas, sandia, hierbabuena y lychees.</t>
  </si>
  <si>
    <t>Sangría a base de vino tinto y reducción de corozo, ron dorado, flor de Jamaica, manzana verde y roja, uvas y canela.</t>
  </si>
  <si>
    <t>Sangría a base de vino blanco, pisco, frutos amarillos (durazno, naranja, uchuva y carambolo)./</t>
  </si>
  <si>
    <t>Sangría lambrusco rosado, juniper de rosas, ginebra y ron malibú.</t>
  </si>
  <si>
    <t>Coctel refrescante a base de vodka smirnoff, ginger beer, limon y hierba buena.</t>
  </si>
  <si>
    <t>Coctel tradicional cubano a base de ron blanco bacardí, hierbabuena, limón y soda.</t>
  </si>
  <si>
    <t>Refrescante mojito a base de ron blanco, ron malibu y juniper coconut</t>
  </si>
  <si>
    <t>Margarita tradicional a base de tequila sierra y limón.</t>
  </si>
  <si>
    <t>Cóctel artesanal a base de corozo costeño, pisco y uchuva</t>
  </si>
  <si>
    <t>Coctel margarita a base de tequila sierra, mango biche y acompañado de paleta.</t>
  </si>
  <si>
    <t>Sofisticada lager de origen belga con más de 600 años de tradición. Caracterizada por un sutil amargor perfectamente servida en su exclusivo cáliz de cristal.</t>
  </si>
  <si>
    <t>Cerveza mexicana reconocida mundialmente como un ícono del relax y refrescante presentada en su exclusiva botella transparente siempre coronada con limón.</t>
  </si>
  <si>
    <t>Timbal de pescado sobre arroz con camarones y vegetales salteados, parmesano, crocantes de plátano y suero de la casa.</t>
  </si>
  <si>
    <t>EXPRESO</t>
  </si>
  <si>
    <t>AROMATICA HIERBABUENA</t>
  </si>
  <si>
    <t xml:space="preserve">CAPUCCINO </t>
  </si>
  <si>
    <t>AMERICANO</t>
  </si>
  <si>
    <t>MARGEN DE ERROR DEL 5%</t>
  </si>
  <si>
    <t>CAFES</t>
  </si>
  <si>
    <t>AROMATICAS</t>
  </si>
  <si>
    <t>Arroz salteado al wok con mix de vegetales en salsa soya acompañado con croquetas de alverja.</t>
  </si>
  <si>
    <t>Champiñones portobello, orellanas y paris en salsa de queso fundido al vino blanco, acompañado de pan baguette.</t>
  </si>
  <si>
    <t>Carne de cangrejo gratinada en salsa de la casa acompañada de pan baguette.</t>
  </si>
  <si>
    <t>Pulpo salteado con vegetales, papas criollas crocantes y suero costeño.</t>
  </si>
  <si>
    <t>Langostinos crocantes en salsa de queso al rocoto, con puré de papa a la parmesana </t>
  </si>
  <si>
    <t>Trozos crocantes de chicharrón bañados en salsa de rocoto, mix de cebollas, tomate cherry rojo, chips de plátano.</t>
  </si>
  <si>
    <t>Arroz cremoso con solomito, frutas y vegetales en salsa de balsámico y queso.</t>
  </si>
  <si>
    <t>Spring rolls rellenos de crema avellana con banano, acompañado de helado de vainilla, frutos rojos y maracuyá</t>
  </si>
  <si>
    <t>Laminas crocantes de buñuelo acompañadas de arequipe, helado de natilla y salsa de frutos rojos y amarillos.</t>
  </si>
  <si>
    <t>LOMO EN SALSA DE COROZO</t>
  </si>
  <si>
    <t>PANCAKE SALADO Y SALSA DE QUESO</t>
  </si>
  <si>
    <t xml:space="preserve">PANCAKE SALADO Y MIEL DE MAPLE </t>
  </si>
  <si>
    <t>CHOCOLATE</t>
  </si>
  <si>
    <t>MIMOSAS</t>
  </si>
  <si>
    <t>ODISEA DEL TROPICO</t>
  </si>
  <si>
    <t>NUQUI DEL PACIFICO</t>
  </si>
  <si>
    <t>Apilados de vainilla con queso mozzarella, huevo, tocineta crocante,flor de aguacate y salsa a elecciòn miel de maple o salsa de quesos.</t>
  </si>
  <si>
    <t>Champiñones portobello, orellanas y paris en salsa de queso fundido al vino blanco, acompañado de pan baguette de masa madre.</t>
  </si>
  <si>
    <t>Mimosas a base de vino blanco Lambrusco.</t>
  </si>
  <si>
    <t>MIMOSAS COROZO Y COCO</t>
  </si>
  <si>
    <t>CAPUCCINO CON BAILEYS</t>
  </si>
  <si>
    <t>MILO CALIENTE</t>
  </si>
  <si>
    <t>MILO FRIO</t>
  </si>
  <si>
    <t>MIMOSAS DE MARACUYA Y COCO</t>
  </si>
  <si>
    <t>Cambiar foto</t>
  </si>
  <si>
    <t>OLD FASHIONED</t>
  </si>
  <si>
    <t>NEGRONI</t>
  </si>
  <si>
    <t>VINO BLANCO</t>
  </si>
  <si>
    <t>COPA LAS MORAS CHARDONAY</t>
  </si>
  <si>
    <t>COPA</t>
  </si>
  <si>
    <t>COPA FINCA LAS MORAS MALBEC</t>
  </si>
  <si>
    <t>GIN &amp; TONIC SELVA</t>
  </si>
  <si>
    <t>JUNIPER TORONJA X207ML</t>
  </si>
  <si>
    <t>ISLOTE MALANGA</t>
  </si>
  <si>
    <t>CAMPARI 750</t>
  </si>
  <si>
    <t>Solomito en salsa cremosa de soya, sobre una base de arroz con tocineta , champiñón y topping de zanahoria crocante. </t>
  </si>
  <si>
    <t>SUB. SAL TROPICAL</t>
  </si>
  <si>
    <t xml:space="preserve">MEDIA  LAS MORAS MALBEC </t>
  </si>
  <si>
    <t>GINEBRA PINK GORDONS 700 ml</t>
  </si>
  <si>
    <t>GIN GORDONS PINK</t>
  </si>
  <si>
    <t>GIN GORDONS CLASICA</t>
  </si>
  <si>
    <t>GORGONA</t>
  </si>
  <si>
    <t>SUB. SIROPE DE LULO</t>
  </si>
  <si>
    <t>PENICILINA</t>
  </si>
  <si>
    <t>SUB. ALMIBAR DE JENGIBRE</t>
  </si>
  <si>
    <t>SUB. SIROPE DE MIEL DE ABEJAS</t>
  </si>
  <si>
    <t>AMARETTO DISARONNO X 750</t>
  </si>
  <si>
    <t>COCTELES TRADICIONALES</t>
  </si>
  <si>
    <t>COCTELES MALANGA</t>
  </si>
  <si>
    <t>JUNIPER TORONJA</t>
  </si>
  <si>
    <t>ELDER FLOWER</t>
  </si>
  <si>
    <t>SUB. PALETA DE MANGO BICHE</t>
  </si>
  <si>
    <t>MICHELADA TULUM</t>
  </si>
  <si>
    <t>CLAMATO COCTEL DE TOMATE*946</t>
  </si>
  <si>
    <t>TABASCO PEPPER SAUCE*150ML</t>
  </si>
  <si>
    <t>SUB. ALMIBAR DE MARACUYA</t>
  </si>
  <si>
    <t>NACHOS MARINEROS</t>
  </si>
  <si>
    <t>PESCA MALANGA</t>
  </si>
  <si>
    <t>LOS ARREBATOS DEL CHEF</t>
  </si>
  <si>
    <t>POLVO DE BIZCOCHO MAMA INES 250 GRAMOS</t>
  </si>
  <si>
    <t>TORTILLA DE MAIZ X 20UND</t>
  </si>
  <si>
    <t>SUB. ADOBO</t>
  </si>
  <si>
    <t xml:space="preserve"> GLENMORANGIE 12 AÑOS</t>
  </si>
  <si>
    <t xml:space="preserve"> GLENMORANGIE 10 AÑOS</t>
  </si>
  <si>
    <t xml:space="preserve"> GLENMORANGIE 14 AÑOS</t>
  </si>
  <si>
    <t>RISOTTO Y PESCA BLANCA TROPICAL</t>
  </si>
  <si>
    <t>FILETE DE ROBALO*200G</t>
  </si>
  <si>
    <t>SUB. GALLETA DE MANTEQUILLA</t>
  </si>
  <si>
    <t>ALBAHACA X KILO</t>
  </si>
  <si>
    <t>oz</t>
  </si>
  <si>
    <t>LIMON TAHITI *KILO BAR</t>
  </si>
  <si>
    <t xml:space="preserve">SUB. SALSA BUFALO SUAVE </t>
  </si>
  <si>
    <t>GRAMOS</t>
  </si>
  <si>
    <t>SUB. SALSA 911</t>
  </si>
  <si>
    <t>CAMOTE X KILO</t>
  </si>
  <si>
    <t xml:space="preserve">AL-55 BASE EMPAQUE EN BOPS NEGRO </t>
  </si>
  <si>
    <t>UNIDADES</t>
  </si>
  <si>
    <t>LECHUGA ROMANA *250G</t>
  </si>
  <si>
    <t>BOLSA PARA BASURA NEGRA 46*46 PQT*10UND</t>
  </si>
  <si>
    <t>ONZA</t>
  </si>
  <si>
    <t>PAPA NEVADA X KILO</t>
  </si>
  <si>
    <t>BUCHANANS 18 AÃ‘OS 750ML</t>
  </si>
  <si>
    <t>MENTAS *50UND COLOMBINA</t>
  </si>
  <si>
    <t>MAYONESA FRUCO GALON X3770G</t>
  </si>
  <si>
    <t>FILETE DE TILAPIA FRESCA LO</t>
  </si>
  <si>
    <t>CHICHARRON UND*300G</t>
  </si>
  <si>
    <t xml:space="preserve">FILETE DE SALMON X 180GN </t>
  </si>
  <si>
    <t>MONTES ALPHA CHARDONNAY 750ML</t>
  </si>
  <si>
    <t>QUESO COSTEÃ‘O BLOQUE 2,5K</t>
  </si>
  <si>
    <t>TUBOS DE CALAMAR X KILO</t>
  </si>
  <si>
    <t>POSTA DE RES UND X</t>
  </si>
  <si>
    <t>PLATANO VERDE X KILO</t>
  </si>
  <si>
    <t>SUB. ALITAS ADOBADA</t>
  </si>
  <si>
    <t>WHISKY OLD PARR 12 AÃ‘OS 750 ML</t>
  </si>
  <si>
    <t>TOALLA DE MANO EN Z-200246</t>
  </si>
  <si>
    <t>MANTEQUILLA FRESCA BATIDA X KILO</t>
  </si>
  <si>
    <t>GUANTES DE NITRIO TALLA L</t>
  </si>
  <si>
    <t>CHAMPIÃ‘ON X KILO</t>
  </si>
  <si>
    <t>SALSA DE SOYA X 2O LITROS</t>
  </si>
  <si>
    <t>LIMPION INDUSTRIAL FAMILIA 74167 *1 UND</t>
  </si>
  <si>
    <t>PH JUMBO BCO TH 4ROLLOSx95MT 71197-71198</t>
  </si>
  <si>
    <t>PULPA DE COCO PAQUETE X10UND</t>
  </si>
  <si>
    <t>RON ZACAPA AMBAR 12 AÃ‘OS 750ML</t>
  </si>
  <si>
    <t>PAPA DELGADA 9X9 2KG 5300</t>
  </si>
  <si>
    <t>COCO X KILO</t>
  </si>
  <si>
    <t>NITRÃ“GENO LÃQUIDO</t>
  </si>
  <si>
    <t xml:space="preserve">BOLSA VERDE PARA LA BASURA </t>
  </si>
  <si>
    <t>RON ZACAPA 23 AÃ‘OS 75OML</t>
  </si>
  <si>
    <t>RON MEDELLIN 3 AÃ‘OS 750ML</t>
  </si>
  <si>
    <t>TILAPIA ROJA X UND</t>
  </si>
  <si>
    <t>VINO BLANCO CAVIC TETRAPACK X 1LT</t>
  </si>
  <si>
    <t>YUCA X KILO</t>
  </si>
  <si>
    <t>AREQUIPE ALPINA INSTITUCIONAL 5KG</t>
  </si>
  <si>
    <t xml:space="preserve">VINO LAS MORAS TINTO CABERNET SAUV 750 ML </t>
  </si>
  <si>
    <t>BOLSA DE BLANCA BASURA JUMBO+50 UND</t>
  </si>
  <si>
    <t>PISCO BARSOL QUEBRANTA 4000L</t>
  </si>
  <si>
    <t xml:space="preserve">LAVA PLUS *20L </t>
  </si>
  <si>
    <t>HIPOCLORITO DE SODIO 15%*20L</t>
  </si>
  <si>
    <t>VINAGRE BALSAMICO LA CURAÃ‘A X 1000 ML</t>
  </si>
  <si>
    <t>THE SINGLETON MALT 700ML</t>
  </si>
  <si>
    <t>PULPA DE FRUTOS DE ARANDANOS*10UND</t>
  </si>
  <si>
    <t>AJI AMARILLO X KILO</t>
  </si>
  <si>
    <t>AGUARDIENTE ANTIOQUEÃ‘O ROJO 375ML</t>
  </si>
  <si>
    <t>SUB. COSTILLAS HOT WINGS</t>
  </si>
  <si>
    <t>GORDON DRY GIN 750 L50</t>
  </si>
  <si>
    <t>GOTAS AMARGAS BITTER ANGOSTURA*150G</t>
  </si>
  <si>
    <t>SOBRE BARRIGA X KILO</t>
  </si>
  <si>
    <t xml:space="preserve">ESPONJA DE ALAMBRE LIDER </t>
  </si>
  <si>
    <t>GINEBRA SELVA X700ML</t>
  </si>
  <si>
    <t>RON VIEJO DE CALDAS 3 AÃ‘OS 750 ML</t>
  </si>
  <si>
    <t>FILETE DE POLLO X 120GR</t>
  </si>
  <si>
    <t>FILETE DE DORADO X 200GR</t>
  </si>
  <si>
    <t>JOHNNIE WALKER BLACK LABEL 700ML</t>
  </si>
  <si>
    <t>CEBOLLA PUERRO X KILO</t>
  </si>
  <si>
    <t>COROZO COSTEÃ‘O X KILO</t>
  </si>
  <si>
    <t>JABON LAVA LOZA MANTYS</t>
  </si>
  <si>
    <t>MANGO TOMMY*KILO BAR</t>
  </si>
  <si>
    <t>MARACUYA X KILO</t>
  </si>
  <si>
    <t>TOMATE CHONTO X KILO</t>
  </si>
  <si>
    <t>SALSA DE CHOCOLATE HERSHEYS X1360GR</t>
  </si>
  <si>
    <t>MANGAS REPOSTERAS #18</t>
  </si>
  <si>
    <t>MANGO TOMMY X KILO</t>
  </si>
  <si>
    <t>MAZORCA SIN CAPACHO X KILO</t>
  </si>
  <si>
    <t>COSTILLA X UND 500GR</t>
  </si>
  <si>
    <t>MORA X KILO</t>
  </si>
  <si>
    <t>GUANTES DE NITRIO TALLA M</t>
  </si>
  <si>
    <t>CREMA DE COCO ROLAND X 960 GR</t>
  </si>
  <si>
    <t>AGUACATE CHOCKETTE X KILO</t>
  </si>
  <si>
    <t>ATUN POR 130 GRAMOS</t>
  </si>
  <si>
    <t>SUB. BUÃ‘UELO</t>
  </si>
  <si>
    <t>AGUARDIENTE ANTIOQUEÃ‘O VERDE 375ML</t>
  </si>
  <si>
    <t>CEBOLLA BLANCA LIMPIA X KILO</t>
  </si>
  <si>
    <t>COM PAN BAGUETTE CONGELADO X 400G PARA SANDUCHE</t>
  </si>
  <si>
    <t>ARVEJA DESGRANADA X KILO</t>
  </si>
  <si>
    <t>CINZANO VERMUTH ROSSO 750ML</t>
  </si>
  <si>
    <t>DESENGRASANTE SANIPLUS LM BRISA MARINA X4L</t>
  </si>
  <si>
    <t xml:space="preserve">MAIZ EN GRANO MCCAIN X 1KG </t>
  </si>
  <si>
    <t>SUB. TIERRA DE ARVERJA</t>
  </si>
  <si>
    <t>AGUARDIENTE ANTIOQUEÃ‘O AZUL 375ML</t>
  </si>
  <si>
    <t>CEBOLLA RAMA LIMPIA X KILO</t>
  </si>
  <si>
    <t>UVA CHILENA X KILO</t>
  </si>
  <si>
    <t>JABON ESPUMA SUAVx1000CC80530</t>
  </si>
  <si>
    <t>SUB. BBQ HOT</t>
  </si>
  <si>
    <t>HUESO DE PESCADO MAR X KILO</t>
  </si>
  <si>
    <t xml:space="preserve">FABULOSO SANIPLUS LMCANELA X GARRAFA </t>
  </si>
  <si>
    <t>DESINFECTANTE ORGANICO SANIPLUS DM 100E*4L</t>
  </si>
  <si>
    <t>RON MEDELIN 8 AÃ‘OS 375 ML</t>
  </si>
  <si>
    <t>LAS MORAS RESERVA CHARDONAY 750ML</t>
  </si>
  <si>
    <t>SANDIA X KILO</t>
  </si>
  <si>
    <t>CERVEZA NEGRA COCINA</t>
  </si>
  <si>
    <t>DELANTAL POLOETILENO BLANCO X20u</t>
  </si>
  <si>
    <t>ELDER FLOWER TONICA JUNIPER X207ML</t>
  </si>
  <si>
    <t>TOMATE CHERRY X KILO</t>
  </si>
  <si>
    <t>NARANJA VALENCIAX KILO</t>
  </si>
  <si>
    <t>ZANAHORIA TRONCO X KILO</t>
  </si>
  <si>
    <t>FRESA JUMBO I X KILO</t>
  </si>
  <si>
    <t>TOCINETA PREMIUM X KILO</t>
  </si>
  <si>
    <t>SELLO PLUS DE 16 ONZAS TAPA ALTA DARNEL</t>
  </si>
  <si>
    <t>MANDARINA X KILO</t>
  </si>
  <si>
    <t>ESPONJILLA LA MAQUINA INSTITUC GRIS x 1U</t>
  </si>
  <si>
    <t>PALMITO KANIKAMA PREMIUM X 30UND</t>
  </si>
  <si>
    <t>LULO X KILO</t>
  </si>
  <si>
    <t>BOLSA PARA PORCIONAR 6*8 100UND</t>
  </si>
  <si>
    <t>PANELA REG. SAN VALENTIN EMPACAR X PAR</t>
  </si>
  <si>
    <t>TE HATSU AMARILLO 400X6</t>
  </si>
  <si>
    <t>FLOR DE JAMAICA X KILO</t>
  </si>
  <si>
    <t>BANDEJA UVA ISABELLA X KILO</t>
  </si>
  <si>
    <t>TE HATSU BLANCO 400ML X6</t>
  </si>
  <si>
    <t>LECHE UHT ENTERA BOLSA X 1000ML</t>
  </si>
  <si>
    <t>BANANO X KILO</t>
  </si>
  <si>
    <t>AJI ROCOTO X KILO</t>
  </si>
  <si>
    <t>LECHUGA CRESPA *500G</t>
  </si>
  <si>
    <t>BROCOLI X KILO</t>
  </si>
  <si>
    <t>CASCARA DE LANGOSTINO X KILO</t>
  </si>
  <si>
    <t>CILANTRO LIMPIO X KILO</t>
  </si>
  <si>
    <t>CREMA DE WHISKY BLACK JACK 750 CC</t>
  </si>
  <si>
    <t>MANZANA VERDE BAR</t>
  </si>
  <si>
    <t>CARAMBOLO BANDEJA X500G</t>
  </si>
  <si>
    <t>ARANDANOS CAJA X 125GRA</t>
  </si>
  <si>
    <t>ESPONJA DOBLE USO LAMINADA 3M VERDE</t>
  </si>
  <si>
    <t>APIO X KILO</t>
  </si>
  <si>
    <t>CHORIZO DE CERDO * UND</t>
  </si>
  <si>
    <t>PALILLO REDONDO DIENTES FESTIVAL*120UND</t>
  </si>
  <si>
    <t>SUB. SALSA BBQ DULCE</t>
  </si>
  <si>
    <t>ALCOHOL ETILICO 96%*20L</t>
  </si>
  <si>
    <t>TORONJA X KILO</t>
  </si>
  <si>
    <t>JALAPEÃ‘O X KILO</t>
  </si>
  <si>
    <t>ZUKINI AMARILLO X KILO</t>
  </si>
  <si>
    <t>COGOLLO EUROPEO *250</t>
  </si>
  <si>
    <t>TOMATE PERLA X KILO</t>
  </si>
  <si>
    <t>TOMILLO X KILO</t>
  </si>
  <si>
    <t>ZUKINI VERDE X KILO</t>
  </si>
  <si>
    <t>ROMERO X KILO</t>
  </si>
  <si>
    <t>AZUCAR MICROPULVERIZADA X 500G</t>
  </si>
  <si>
    <t>SUB. ADEREZO CESAR</t>
  </si>
  <si>
    <t>HIERBABUENA * KILO BAR</t>
  </si>
  <si>
    <t>SUB. SALSA CHILI DULCE</t>
  </si>
  <si>
    <t>SRIRACHA HOT CHILLI SAUCE x 482ML</t>
  </si>
  <si>
    <t>PEPINO COHOMBROX KILO</t>
  </si>
  <si>
    <t>TÃ‰ DE FRUTOS ROJOS</t>
  </si>
  <si>
    <t>DOBLE MAESTRO DIAMANTE 750ML</t>
  </si>
  <si>
    <t>COPA SOUFFLÃ‰ 1,5OZ SIN TAPAÂ </t>
  </si>
  <si>
    <t xml:space="preserve">BOTONES DE ROSAS </t>
  </si>
  <si>
    <t>MILO *300g</t>
  </si>
  <si>
    <t xml:space="preserve">QUESO ALPINA AZUL BLQ 8 LBS APROX </t>
  </si>
  <si>
    <t>AJI CHILE X KILO</t>
  </si>
  <si>
    <t>TAPA COPA SOUFFLÃ‰ 1,5OZ SIN BASE</t>
  </si>
  <si>
    <t>RON PARCE 12 AÃ‘OS 750ML</t>
  </si>
  <si>
    <t>SUB. PASTA DE CILANTRO (ROCOTO)</t>
  </si>
  <si>
    <t>SUB. BASE DE MAYO ACEVICHADA (ROCOTO)</t>
  </si>
  <si>
    <t>TEQUILA 1800 AÃ‘EJO 700ML</t>
  </si>
  <si>
    <t>DON JULIO AÃ‘EJO X700ML</t>
  </si>
  <si>
    <t>SUB. CAUSA AJI AMARILLO</t>
  </si>
  <si>
    <t>MONTES CHERUP 750ML</t>
  </si>
  <si>
    <t>RON PARCE 8 AÃ‘OS 750ML</t>
  </si>
  <si>
    <t>SUB. PURE DE PAPA (ROCOTO)</t>
  </si>
  <si>
    <t>SUB. AROS DE CEBOLLA</t>
  </si>
  <si>
    <t>TANQUERAY NO. TEN GIN 750ML</t>
  </si>
  <si>
    <t>TEQUILA 1800 REPOSADO 700ML</t>
  </si>
  <si>
    <t>TRAPICHE RESERVA MALBEC 750ML</t>
  </si>
  <si>
    <t>RON PARCE BROTHERS BLEND 750ML</t>
  </si>
  <si>
    <t>PURE DE PAPA KNORR X800G</t>
  </si>
  <si>
    <t>CAVA DON ROMAN ROSE 750ML</t>
  </si>
  <si>
    <t>SUB. ADEREZO DE CEBOLLA</t>
  </si>
  <si>
    <t>GORRO MALLA NEGRA 53CM*20u</t>
  </si>
  <si>
    <t>NAVARRO COREAS EXTRA BRUT 750ML</t>
  </si>
  <si>
    <t>TEQUILA HERRADURA AÃ‘EJO 750ML</t>
  </si>
  <si>
    <t>CANELA EN POLVO BADIA X454G</t>
  </si>
  <si>
    <t>GUANTE PLASTICO PQ 100 CLAY CJ100</t>
  </si>
  <si>
    <t xml:space="preserve">SUB. HUANCAINA  </t>
  </si>
  <si>
    <t>SANTA CAROLINA CARMENERE 75O ML</t>
  </si>
  <si>
    <t>CURRY BADIA X454G</t>
  </si>
  <si>
    <t>CROSADO SOUL 750ML</t>
  </si>
  <si>
    <t>MANZANA ROJA X KILO</t>
  </si>
  <si>
    <t>SUB. CHALACA</t>
  </si>
  <si>
    <t>FINCA LAS MORAS BLACK LABEL MALBEC 750ML</t>
  </si>
  <si>
    <t>SANTA EMA BARRIEL RESERVA 60/40 750ML</t>
  </si>
  <si>
    <t>CABEZA DE TILAPIA NEGRA X KILO</t>
  </si>
  <si>
    <t>RON MEDELLIN 3 AÃ‘OS 375 ML</t>
  </si>
  <si>
    <t>ANÃS EN GRANO</t>
  </si>
  <si>
    <t>SPARKLING ANGEL 750ML</t>
  </si>
  <si>
    <t>PALMITO DE CANGREJO x500GR</t>
  </si>
  <si>
    <t>LIMON MANDARINO X KILO</t>
  </si>
  <si>
    <t>FRESA JUMBO * KILO BAR</t>
  </si>
  <si>
    <t>SUGG SYRUP LYCHE VIDRIOX750ML</t>
  </si>
  <si>
    <t>SUB. TORONJA DESHIDRATADA</t>
  </si>
  <si>
    <t>SUB. SIROPE DE BANANO</t>
  </si>
  <si>
    <t>SUB. SALMUERA</t>
  </si>
  <si>
    <t>SUB. ESPUMA DE FEIJOA</t>
  </si>
  <si>
    <t>CHAMPIÃ‘ON ORELLANA X KILO</t>
  </si>
  <si>
    <t>ACHIOTE EN GRANO*1000</t>
  </si>
  <si>
    <t>SUB. SAL DE FLOR DE JAMAICA</t>
  </si>
  <si>
    <t>SUB. MANGO DESHIDRATADO</t>
  </si>
  <si>
    <t>SUB. SALSA BBQ DE LA CASA</t>
  </si>
  <si>
    <t>SUB. LULO DESHIDRATADO</t>
  </si>
  <si>
    <t>MAIZ TIERNO METOO VACUMX 340G DRE 285G</t>
  </si>
  <si>
    <t xml:space="preserve">MANZANA ROJA BAR </t>
  </si>
  <si>
    <t>SUB. HOJUELA</t>
  </si>
  <si>
    <t>GUAYABA X KILO</t>
  </si>
  <si>
    <t>SUB. SALSA DE CAFE</t>
  </si>
  <si>
    <t>SUB. COCO DESHIDRATADO</t>
  </si>
  <si>
    <t>PIMENTON X KILO</t>
  </si>
  <si>
    <t>PEREJIL CRESPO X KILO</t>
  </si>
  <si>
    <t>ESENCIA DE VAINILLA X500C.C</t>
  </si>
  <si>
    <t>CHAMPIÃ‘ON PORTOBELLO X KILO</t>
  </si>
  <si>
    <t>SUB. SALSA LEMON</t>
  </si>
  <si>
    <t>SUB. BIZCOCHUELO</t>
  </si>
  <si>
    <t xml:space="preserve">COLA DE LANGOSTA UND 130G </t>
  </si>
  <si>
    <t>AJO LIMPIO X KILO</t>
  </si>
  <si>
    <t>APEROL X 750ML</t>
  </si>
  <si>
    <t>SUB. CARIMAÃ‘OLA</t>
  </si>
  <si>
    <t>FLORES COMESTIBLES (PENSAMIENTOS)</t>
  </si>
  <si>
    <t>AJI DULCE X KILO</t>
  </si>
  <si>
    <t>SUB. PULPO MEXICANO</t>
  </si>
  <si>
    <t>SUB. DECORACION CHOCOLATE</t>
  </si>
  <si>
    <t>LANGOSTINOS CRUDO 16/20 X UNIDAD</t>
  </si>
  <si>
    <t>PIÃ‘A ORO MIEL X KILO</t>
  </si>
  <si>
    <t>BROTES DE RABANO 50</t>
  </si>
  <si>
    <t>CAFE VENETO SELECT PEPA X 2,5 KG</t>
  </si>
  <si>
    <t>LIMON TAHITI X KILO</t>
  </si>
  <si>
    <t>SUB. FETUCINE MENU INFANTIL</t>
  </si>
  <si>
    <t>CAMARON CRUDO 41-50 0% PORCIONX 7UND PAQUETE POR 10 PORCIONES</t>
  </si>
  <si>
    <t>SUB. TUBOS DE CALAMAR X 80G</t>
  </si>
  <si>
    <t>SUB. DEDOS DE MOZARELLA</t>
  </si>
  <si>
    <t>PIMIENTA NEGRA MOLIDA BADIA 453GR</t>
  </si>
  <si>
    <t>SUB. SALSA DE PIMIENTOS</t>
  </si>
  <si>
    <t>SUB. CHAMPIÃ‘ON DESHIDRATADO</t>
  </si>
  <si>
    <t>PAPA CAPIRA COROZO *1KL</t>
  </si>
  <si>
    <t>SUB. PIÃ‘A DESHIDRATADA</t>
  </si>
  <si>
    <t>SUB. SALSA DE FRUTOS ROJOS (HOTWINGS)</t>
  </si>
  <si>
    <t>SUB. SALSA DE QUESO AZUL</t>
  </si>
  <si>
    <t>uds</t>
  </si>
  <si>
    <t>SUB. TIERRA BROWNIE</t>
  </si>
  <si>
    <t>BOWL DEL CARIBE CON CAMARONES</t>
  </si>
  <si>
    <t>BOWL DEL CARIBE CON SOBRE BARRIGA</t>
  </si>
  <si>
    <t>AGRAZ *1000</t>
  </si>
  <si>
    <t>VNO CHAN DE ROSAS CUVEE ALBARIÑO 750ML</t>
  </si>
  <si>
    <t>TRAPICHE CABERNET SAUVINGNON X 750ML</t>
  </si>
  <si>
    <t>TRAPICHE RESERVA SYRAH 750ML</t>
  </si>
  <si>
    <t>LAMBRUSCO CLETO CHIARLI ROSE 750ML</t>
  </si>
  <si>
    <t>DON JULIO REPOSADO</t>
  </si>
  <si>
    <t>ArtÃ­culo</t>
  </si>
  <si>
    <t>CAZUELA DEL MANGLE</t>
  </si>
  <si>
    <t>SALMON AGRIDULCE</t>
  </si>
  <si>
    <t>PESCA CARTAGENERA</t>
  </si>
  <si>
    <t>POSTA CARIBEÃ‘A</t>
  </si>
  <si>
    <t>ARROZ HOLANDÃ‰S</t>
  </si>
  <si>
    <t>SALMÃ“N DE LA COLINA</t>
  </si>
  <si>
    <t>FRUTOS DEL MAR</t>
  </si>
  <si>
    <t xml:space="preserve"> LOMO AL CAFÃ‰</t>
  </si>
  <si>
    <t>TIMBAL DE PESCADO</t>
  </si>
  <si>
    <t>CHICHARRONES CARIBEÃ‘OS</t>
  </si>
  <si>
    <t>PESCA DEL ARRECIFE</t>
  </si>
  <si>
    <t>DEDOS DE QUESO COSTEÃ‘O</t>
  </si>
  <si>
    <t>CROQUETAS CREMOSA DE JAIBA</t>
  </si>
  <si>
    <t>MENU INFANTIL DE POLLO</t>
  </si>
  <si>
    <t>SPRING ROLLS MALANGA</t>
  </si>
  <si>
    <t>WHITE LADY CARIBEÃ‘A</t>
  </si>
  <si>
    <t>MILHOJA DE BUÃ‘UELO</t>
  </si>
  <si>
    <t>TACO TIERRA</t>
  </si>
  <si>
    <t>MENU INFANTIL DE SOLOMITO</t>
  </si>
  <si>
    <t>MENU INFANTIL DE PESCADO</t>
  </si>
  <si>
    <t>AROMATICA DE FRUTOS ROJOS</t>
  </si>
  <si>
    <t>TOSTADAS FRANCESAS</t>
  </si>
  <si>
    <t>AMARETTO SPRITZ</t>
  </si>
  <si>
    <t>TACO DE PESCADO</t>
  </si>
  <si>
    <t>TACO DE CAMARONES</t>
  </si>
  <si>
    <t>(en blanco)</t>
  </si>
  <si>
    <t>VINO TINTO</t>
  </si>
  <si>
    <t>SUB. COROZO CREAM</t>
  </si>
  <si>
    <t>PETALOS DE ROSAS</t>
  </si>
  <si>
    <t>SUB. LIMON DESHIDRATADO</t>
  </si>
  <si>
    <t>AJONJOLI BLANCO TOSTADO *500G</t>
  </si>
  <si>
    <t>GUANTES DE NITRIO TALLA S</t>
  </si>
  <si>
    <t>SUB. POLLO ACEVICHADO</t>
  </si>
  <si>
    <t>SUB. ALMIBAR DE PIÃ‘A</t>
  </si>
  <si>
    <t>Unidades Netas</t>
  </si>
  <si>
    <t>% Merma</t>
  </si>
  <si>
    <t>Unidades</t>
  </si>
  <si>
    <t>Unidad Medida</t>
  </si>
  <si>
    <t>SANDUCHE DE ROAST BEEF</t>
  </si>
  <si>
    <t>SUB. MERENGUE FLOR DE JAMAICA</t>
  </si>
  <si>
    <t>SUB. CREMA DE COROZO</t>
  </si>
  <si>
    <t>Pesca en mantequilla de romero con arroz arbóreo de rocoto y coco, vejetales salteados acompañado de chips de yuca y batata</t>
  </si>
  <si>
    <t>CACHAZA 61 *970ML</t>
  </si>
  <si>
    <t>Coste Componente</t>
  </si>
  <si>
    <t>Coste LÃ­nea</t>
  </si>
  <si>
    <t xml:space="preserve">HUEVOS GRATINADOS </t>
  </si>
  <si>
    <t xml:space="preserve">BENEDICTINO ARREBATADO </t>
  </si>
  <si>
    <t xml:space="preserve">QUESO MONPOSINO </t>
  </si>
  <si>
    <t>JAMON SERRANO</t>
  </si>
  <si>
    <t xml:space="preserve">PAN ARTELLANO CON PARMESANO </t>
  </si>
  <si>
    <t>SANDUCHE DE HUEVO</t>
  </si>
  <si>
    <t>BURRATA MALANGA</t>
  </si>
  <si>
    <t>PAN ARTELLANO CON HARINA</t>
  </si>
  <si>
    <t>CORAL MALANGA</t>
  </si>
  <si>
    <t>Pan artellano, queso costeño frito, huevo y tocineta con mermelada de ají, aguacate y salsa acevichada.</t>
  </si>
  <si>
    <t>Huevos benedictinos al estilo malanga, con queso costeño, Momposino, tocineta y jamón serrano</t>
  </si>
  <si>
    <t>Pan de masa magre, queso costeño; burrata acompañada de tocineta aceite trufado reducción de vinagre balsámico.</t>
  </si>
  <si>
    <t xml:space="preserve">Trilogía de sándwiches de huevo:  poche, frito y revueltos trufados, con tocineta, queso costeño, aguacate y Momposino. </t>
  </si>
  <si>
    <t>Huevos cremosos gratinados al horno con chorizo y hogao acompañados con pan de masa madre y ensalada de aguacate.</t>
  </si>
  <si>
    <t>SOLOMITO X 180G</t>
  </si>
  <si>
    <t>SUB. FARSA CONTRAMUSLO</t>
  </si>
  <si>
    <t>Farsa de contramuslo con queso y albahaca, acompañada de puré de maduro, salsa de coco y ají amarillo, crocantes de vainilla y ensalada</t>
  </si>
  <si>
    <t>Columna1</t>
  </si>
  <si>
    <t>LYCHEE MARTINI</t>
  </si>
  <si>
    <t>VERMUTH BIANCO*750</t>
  </si>
  <si>
    <t>HIERBA BUENA X 500 KILO</t>
  </si>
  <si>
    <t>VERMUTH DRY MARTINI*750</t>
  </si>
  <si>
    <t xml:space="preserve">DRY MARTINI </t>
  </si>
  <si>
    <t>SUB. PAPA CRIOLLA</t>
  </si>
  <si>
    <t>BOLSA CON AGARRADERA TROQUELADA DE 29X19X32</t>
  </si>
  <si>
    <t>VINO LAS MORAS ROSADO SYRAH 750ML</t>
  </si>
  <si>
    <t>DON JULIO 70 700ML</t>
  </si>
  <si>
    <t>SUMA GRIL *5L REF:AV0077</t>
  </si>
  <si>
    <t>SUMA BLEND X 20 L(Detergente liquido para  lavadodeloza)-Ref:AV00417</t>
  </si>
  <si>
    <t>ULCX20L-REF: AV00274</t>
  </si>
  <si>
    <t>SOLOMITO X 200G</t>
  </si>
  <si>
    <t>UNOX. DET&amp;RINSE ULTRA 1 L</t>
  </si>
  <si>
    <t>TOALLA MICROFIBRA 50*50</t>
  </si>
  <si>
    <t>PELIE VINIPEL 12PULGX1500MTS SM-300-1500</t>
  </si>
  <si>
    <t>OLD PARR AGED 12 YEARS 0.5L</t>
  </si>
  <si>
    <t>ROLLO PAPEL ALUMINIO TUC 300METROS</t>
  </si>
  <si>
    <t>BURRATA DIBUFALA TARRO 6UDS *80GR C/U</t>
  </si>
  <si>
    <t>ROLLO BOLSA 26*40 DE 198K</t>
  </si>
  <si>
    <t>HONDASHI*1KG</t>
  </si>
  <si>
    <t>NAVARRO COREAS BRUT ROSE 750ML</t>
  </si>
  <si>
    <t>PIERNA DE CERDO*120G</t>
  </si>
  <si>
    <t>FINCA LAS MORAS RESERVA CABERNET SYRAH *750ML</t>
  </si>
  <si>
    <t>COCOA NATURAL 16% X KILO</t>
  </si>
  <si>
    <t>ROLLO TERMICO IMPRESORA 70*80 PQT6UND</t>
  </si>
  <si>
    <t>PASTA LA MOLISANA ASPAGUETTI AL NERO SEPPIA*250G</t>
  </si>
  <si>
    <t>GORRO TIPO MONJA VELO 6UND</t>
  </si>
  <si>
    <t>SUGG SYRUP VAINILLA CHOCOANA VIDRIOX750ML</t>
  </si>
  <si>
    <t>DELANTAL GRANDE PROTEX BLANCO</t>
  </si>
  <si>
    <t>ESPONJILLA RULO DE ACERO IN BRIOX12U AUT</t>
  </si>
  <si>
    <t>SYRUP COCO KANALO 1000ML</t>
  </si>
  <si>
    <t>AL-47 TAPA DOMO SEMIOVALADA EN BOPS</t>
  </si>
  <si>
    <t>NUEZ MOSCADAGRA</t>
  </si>
  <si>
    <t>AGUARDIENTE ANTIOQUEÃ‘O AZUL 750ML</t>
  </si>
  <si>
    <t>TE HATSU NEGRO 400ML X6</t>
  </si>
  <si>
    <t>TE HATSU ROJO 400X6</t>
  </si>
  <si>
    <t>PITILLOS DESECHABLES *200 UND</t>
  </si>
  <si>
    <t>TE HATSU LILA 400ML X6</t>
  </si>
  <si>
    <t>GELATINA SIN SABOR X30G</t>
  </si>
  <si>
    <t>RON TROPICO BLANCO 750CC</t>
  </si>
  <si>
    <t>CAPSULAS X 10 UND DISPENSADOR CHNATILL</t>
  </si>
  <si>
    <t>BANDEJA MAIZ DULCE BANDEJA X 1000</t>
  </si>
  <si>
    <t>SYROPE DE FREIJOA*750ML</t>
  </si>
  <si>
    <t>AGUARDIENTE ANTIOQUEÃ‘O ROJO 750ML</t>
  </si>
  <si>
    <t>ACEITE DE OLIVA VIR EXTRA GRAN S ABRIL PX1L</t>
  </si>
  <si>
    <t>PAPEL PARAFINADO BLANCO 100MT</t>
  </si>
  <si>
    <t>ROJO ESCARLATA CAROL TARO X 500G</t>
  </si>
  <si>
    <t>TE HATSU ROSAS  400ML X6</t>
  </si>
  <si>
    <t>DESINFECTANTE BIOBAC *1L</t>
  </si>
  <si>
    <t>ESPONJILLA ACERO INOXIDABLE BRIO</t>
  </si>
  <si>
    <t>DETERGENTE EN POLVO PPT*1KL</t>
  </si>
  <si>
    <t>ESCOBILLON SANITARIO BASE</t>
  </si>
  <si>
    <t>CROUTONES *250G</t>
  </si>
  <si>
    <t>REPOLLO BLANCO * KILO</t>
  </si>
  <si>
    <t>LAUREL X KILO</t>
  </si>
  <si>
    <t>PULPA DE TAMARINDO X KILO</t>
  </si>
  <si>
    <t>CHIMBO DE PERRO (AJI)</t>
  </si>
  <si>
    <t>ROLLO DE ETIQUETAS ADHESIVAS 50*74 MM X 1000UND</t>
  </si>
  <si>
    <t xml:space="preserve"> GLENMORANGIE 12 AÃ‘OS</t>
  </si>
  <si>
    <t>SUB. SPRING ROLLS AJI DEGALLINA</t>
  </si>
  <si>
    <t>BOWLS DE BAMBO*750CC DARNEL</t>
  </si>
  <si>
    <t>SUB. PASTA DE AJI ROCOTO (PC)</t>
  </si>
  <si>
    <t>SUB. LANGOSTINOS CROCANTES (ROCOTO)</t>
  </si>
  <si>
    <t>SALSA DE OSTRAS ASIAFOOD PO 2LT</t>
  </si>
  <si>
    <t>SHIRAKIKU GYOSAS SKIN PQT X 10 OZ</t>
  </si>
  <si>
    <t>PAN PARA HAMBURGUESA</t>
  </si>
  <si>
    <t>SUB. SUSPIRO LIMEÃ‘O</t>
  </si>
  <si>
    <t>STAR ANISE THAI X113GR</t>
  </si>
  <si>
    <t>JOHNNIE WALKER RED LABEL 700ML</t>
  </si>
  <si>
    <t>SALVADO NATURAL TONING X 450GR</t>
  </si>
  <si>
    <t>PISCO BARSOL MOSTOVERDE ITALIA X 750</t>
  </si>
  <si>
    <t>GLENMORANGIE 14 AÃ‘OS</t>
  </si>
  <si>
    <t>SUB. GUACAMOLE (ROCOTO)</t>
  </si>
  <si>
    <t xml:space="preserve">CARDAMOMO ORO X500GR (PELADO) </t>
  </si>
  <si>
    <t>SUB. BASE AJI DE GALLINA</t>
  </si>
  <si>
    <t>VINO SEGU OLLE ROSADO X1000</t>
  </si>
  <si>
    <t>MARACUYA PICANTE * 4L</t>
  </si>
  <si>
    <t>SUB. TEMPURA (ROCOTO)</t>
  </si>
  <si>
    <t>SUB. CAMOTE GLASEADO</t>
  </si>
  <si>
    <t>PAPAYA X KILO</t>
  </si>
  <si>
    <t>VNO CHAN DE ROSAS CUVEE ALBARIÃ‘O 750ML</t>
  </si>
  <si>
    <t>JABON PARA MANOS SANIPLUS*4L</t>
  </si>
  <si>
    <t>ALCAPARRA ALFRESCO X 500GR</t>
  </si>
  <si>
    <t>SAL PARRILLERA REFISALSALSERO X 454G</t>
  </si>
  <si>
    <t>AGUARDIENTE ANTIOQUEÃ‘O VERDE 750ML</t>
  </si>
  <si>
    <t>CERVEZA CUSQUEÃ‘A NEGRA SIX PACK BOTELLAS (310 ML)</t>
  </si>
  <si>
    <t>MAIZ MORADO X KILO</t>
  </si>
  <si>
    <t>MARACUYA DULCE 4L</t>
  </si>
  <si>
    <t>WHISKY ESCOCES GAELIK 700ML</t>
  </si>
  <si>
    <t>BOLSA BLANCA T30*100UND</t>
  </si>
  <si>
    <t>CHEDDAR CAS TAJADAS X 1,25 KG</t>
  </si>
  <si>
    <t>SUB. COSTILLAS (ROCOTO)</t>
  </si>
  <si>
    <t>JENGIBRE X KILO</t>
  </si>
  <si>
    <t>SUB. FRIJOL CANARIO</t>
  </si>
  <si>
    <t xml:space="preserve">AL-121 BASE </t>
  </si>
  <si>
    <t>TE HATSU AZUL 400ML X 6</t>
  </si>
  <si>
    <t xml:space="preserve">CERVEZA TORREALTA </t>
  </si>
  <si>
    <t>SUB. FONDO DE PESCADO</t>
  </si>
  <si>
    <t>BICARBONATO LA GRAN COCINA x500G</t>
  </si>
  <si>
    <t>SUB. SALSA ESCABECHADA</t>
  </si>
  <si>
    <t>FRIJOL CANARIO * KILO</t>
  </si>
  <si>
    <t>PORTA CUBIERTOS DE PAPEL</t>
  </si>
  <si>
    <t>CARNE MOLIDA X KILO</t>
  </si>
  <si>
    <t>SALMON FRESCO 3-4TD</t>
  </si>
  <si>
    <t>LECITINA DE SOYA X500G</t>
  </si>
  <si>
    <t>GLUCOSA 1130 COLORISA X 700GR</t>
  </si>
  <si>
    <t>MANI TRITURADO X500 GR</t>
  </si>
  <si>
    <t>LEMÃ“N LIME BITTER</t>
  </si>
  <si>
    <t>SUB. MEZCLADE TACU TACU</t>
  </si>
  <si>
    <t>SODA COCINA</t>
  </si>
  <si>
    <t>ESPINACA BOGOTANA X KILO</t>
  </si>
  <si>
    <t>PAPRIKA P&amp;I GOURMET FRASCO X 500G</t>
  </si>
  <si>
    <t>BOLSA PARA PORCIONAR 6*9 100UND</t>
  </si>
  <si>
    <t>FLOR DE CAÃ‘A 12 AÃ‘OS 750</t>
  </si>
  <si>
    <t>MAIZ CANCHA</t>
  </si>
  <si>
    <t>CEBOLLIN*KILO</t>
  </si>
  <si>
    <t>SUB. SPRINROLL DE NUTELLA (ROCOTO)</t>
  </si>
  <si>
    <t>BOLSA PLANA FLEXIBLE SIN IMPRESION TRANSPARENTE 20X35 CM 70 MICRAS</t>
  </si>
  <si>
    <t>TAPA VASO 16ONZ DARNEL*50UND</t>
  </si>
  <si>
    <t>PAPEL HIGIENICO FAMILIA 74167*4UND</t>
  </si>
  <si>
    <t>JALAPEÃ‘OS CON QUESOCHEDDAR x 1.13KG 132B</t>
  </si>
  <si>
    <t>BOLSA PARA PORCIONAR 10*14 100UND</t>
  </si>
  <si>
    <t>BOLSA AL VACIO 32*42 DE 65 MICRAS N</t>
  </si>
  <si>
    <t>MANDARINA PAQUETE X 7 UNIDADES</t>
  </si>
  <si>
    <t>LIMPIAVIDRIOS SANIPLUS*4L</t>
  </si>
  <si>
    <t>BOT TANQUERAY RANG 750</t>
  </si>
  <si>
    <t>VINO TINTO LA CELIA RESERVA MALBEC</t>
  </si>
  <si>
    <t>ARVEJA MCCAIN X 1KG 4922</t>
  </si>
  <si>
    <t>GLENMORANGIE 10 AÃ‘OS</t>
  </si>
  <si>
    <t xml:space="preserve">MASAGO X 4.4 LB </t>
  </si>
  <si>
    <t>BOLSA PARA PORCIONAR 15*20 100UND</t>
  </si>
  <si>
    <t>CACAO ORGANICO GRANULADOA</t>
  </si>
  <si>
    <t>SUB. LANGOSTINOS APANADOS (ROCOTO)</t>
  </si>
  <si>
    <t>PISTACHOS SALADOS *706 NUTOS</t>
  </si>
  <si>
    <t>COLORITO MORA X 7ML</t>
  </si>
  <si>
    <t>PUNTA DE ANCA DE RES X KILO</t>
  </si>
  <si>
    <t>SUB. AJI PANCA</t>
  </si>
  <si>
    <t xml:space="preserve">COLORANTE GEL VERDE LIMON  X 60 ML </t>
  </si>
  <si>
    <t>REPOLLO MORADO X KILO</t>
  </si>
  <si>
    <t>SUB. SALSA BUFALO HOT</t>
  </si>
  <si>
    <t>SUB. PASTA DE AJI AMARILLO (ROCOTO)</t>
  </si>
  <si>
    <t>SUB. BASE LECHE DE TIGRE</t>
  </si>
  <si>
    <t>MENTA X KILO</t>
  </si>
  <si>
    <t>CERVEZA HEINIKEN BOT.NR 330 6X4</t>
  </si>
  <si>
    <t>SERV. DE LUJO EXTRAF X50U 72501-72506</t>
  </si>
  <si>
    <t xml:space="preserve">MAYONESA ESP ZAFRAN X 3600G 685-542-102 </t>
  </si>
  <si>
    <t>CAJA 10 LT VAINILLA POP CREM</t>
  </si>
  <si>
    <t>CARNE DE JAIBA CLAWN X KILO</t>
  </si>
  <si>
    <t>MEZCLADORES DE LICOR*100 UND</t>
  </si>
  <si>
    <t>TIRILLA MEDI PH 0.06PPM DAV72577</t>
  </si>
  <si>
    <t>CHOCOLATE  LUKER X500G</t>
  </si>
  <si>
    <t>TE HATSU ROSADO SIX400X6</t>
  </si>
  <si>
    <t>TAPA BANDEJA 28 OZ PET 500X50</t>
  </si>
  <si>
    <t>PEPINILLOS AGRIDULCE ENTE ALFRESCOX500G</t>
  </si>
  <si>
    <t>SUB. QUINUA POP</t>
  </si>
  <si>
    <t>WRAP IMP.2T PPCK37.MW(HOT WINGS) 15X20 GM37.5</t>
  </si>
  <si>
    <t xml:space="preserve">SUB. MAYONESA ACEVICHADA </t>
  </si>
  <si>
    <t>SUB. FRUTOS ROJOS (ROCOTO)</t>
  </si>
  <si>
    <t>UCHUVA CON CAPACHO KILO</t>
  </si>
  <si>
    <t>SUB. TORTILLA DE HUEVO</t>
  </si>
  <si>
    <t xml:space="preserve">SUB. SALSA HOLANDESA </t>
  </si>
  <si>
    <t>SUB. CHEESECAKE HORNEADO</t>
  </si>
  <si>
    <t>NATILLA X300G</t>
  </si>
  <si>
    <t>Columna3</t>
  </si>
  <si>
    <t>Columna4</t>
  </si>
  <si>
    <t>Columna5</t>
  </si>
  <si>
    <t>Columna6</t>
  </si>
  <si>
    <t>Columna7</t>
  </si>
  <si>
    <t>PRECIO FINAL</t>
  </si>
  <si>
    <t>AJONJOLI NEGRO X 500GR</t>
  </si>
  <si>
    <t>CAIPIRIÃ‘A</t>
  </si>
  <si>
    <t>CERVEZA STELLA ARTOIS</t>
  </si>
  <si>
    <t>CHEESECAKE DE COROZO COSTEÃ‘O</t>
  </si>
  <si>
    <t>COCA COLA ORIGINAL</t>
  </si>
  <si>
    <t>SODA DE HIERBABUENA</t>
  </si>
  <si>
    <t>TOSTADA DE HUEVO Y TOCINETA</t>
  </si>
  <si>
    <t>TRAGO RED LABEL</t>
  </si>
  <si>
    <t>BOLSA TRASNP 6*8 ALTA X100UNDJ</t>
  </si>
  <si>
    <t>CUCHILLOS NEGROS DARNEL X100UND</t>
  </si>
  <si>
    <t>LIMPIADOR DE ACERO INOXIDABLE LATA X296ML</t>
  </si>
  <si>
    <t>MAGICO X GALON (LIMPIA JUNTAS)</t>
  </si>
  <si>
    <t>MEZCLADOR DE CAFE MADERA 11CM FESTIVALx500U</t>
  </si>
  <si>
    <t>REMOLACHA X KILO</t>
  </si>
  <si>
    <t>TAPA COPA SOUFFLE (1/2-1)OZ 100U AJOVER</t>
  </si>
  <si>
    <t>TENEDOR DARNEL NEGRO X 100UND</t>
  </si>
  <si>
    <t>SUB. TEMPURA</t>
  </si>
  <si>
    <t>MEDIO LITRO</t>
  </si>
  <si>
    <t>LAS MORAS ROSADO</t>
  </si>
  <si>
    <t>ZARZAMORAS X 250G</t>
  </si>
  <si>
    <t>BLONDA CON LOGO</t>
  </si>
  <si>
    <t>TORTA GENOVESA CUATRO LECHES  6 A 12 PERSONAS</t>
  </si>
  <si>
    <t>LECHE POLVO COLANTA X900G</t>
  </si>
  <si>
    <t xml:space="preserve"> TORTA CUATRO LECHES  4 A 6  PERSONAS</t>
  </si>
  <si>
    <t>TORTA CUATRO LECHES  2   PERSONAS</t>
  </si>
  <si>
    <t>TORTA CUATRO LECHES  12 A 20  PERSONAS</t>
  </si>
  <si>
    <t>TORTA DE BROWNIE MELCOCHUDA 12 A 20 PERSONAS</t>
  </si>
  <si>
    <t>TORTA DE BROWNIE MELCOCHUDA 6 A 12 PERSONAS</t>
  </si>
  <si>
    <t>TORTA DE BROWNIE MELCOCHUDA 4 A 6 PERSONAS</t>
  </si>
  <si>
    <t>TORTA DE BROWNIE MELCOCHUDA 2 PERSONAS</t>
  </si>
  <si>
    <t xml:space="preserve"> TORTA YOGUR Y FRAMBUESA 12 A 20  PERSONAS</t>
  </si>
  <si>
    <t xml:space="preserve">YOGUR NATURAL BOLSA X 900G </t>
  </si>
  <si>
    <t xml:space="preserve"> TORTA YOGUR Y FRAMBUESA 6 A 12 PERSONAS</t>
  </si>
  <si>
    <t>TORTA YOGUR Y FRAMBUESA 4 A 6  PERSONAS</t>
  </si>
  <si>
    <t xml:space="preserve"> TORTA YOGUR Y FRAMBUESA 2  PERSONAS</t>
  </si>
  <si>
    <t>SUB. CHEESE CAKE NEW YORK</t>
  </si>
  <si>
    <t>SUB. CARIMAÃ‘OLA LA FLA</t>
  </si>
  <si>
    <t>SUB. CHEESECAKE HORNEADO FLA</t>
  </si>
  <si>
    <t xml:space="preserve">GUAYABA GIN SPLASH </t>
  </si>
  <si>
    <t>FRESH CITRUS 1.5LT PET (12)NVOIIDAD</t>
  </si>
  <si>
    <t>SUB. NARANJA DESHIDRATADA</t>
  </si>
  <si>
    <t xml:space="preserve">SUB. ALMIBAR DE GUAYABA </t>
  </si>
  <si>
    <t xml:space="preserve">ROSA DEL TROPICO </t>
  </si>
  <si>
    <t xml:space="preserve">SUB. MIEL DE ROCOTO </t>
  </si>
  <si>
    <t xml:space="preserve">MARGARITA SPICY </t>
  </si>
  <si>
    <t>TEQUILA JOSE CUERVO ESPECIAL REPOSADO 990 ML</t>
  </si>
  <si>
    <t>CAJA DE HIELO CUBO IGLU X 18UN</t>
  </si>
  <si>
    <t>TEQUILA PATRON REPOSADO 700</t>
  </si>
  <si>
    <t>TEQUILA PATRON CRISTALINO 700</t>
  </si>
  <si>
    <t>MARGARITA PATRON SILVER</t>
  </si>
  <si>
    <t>PALOMA PATRON SILVER</t>
  </si>
  <si>
    <t xml:space="preserve">SUB. TRIPLE SEC </t>
  </si>
  <si>
    <t>gr</t>
  </si>
  <si>
    <t>ARBOLITO MARGARITA PATRON SILVER</t>
  </si>
  <si>
    <t>TRAGO PATRON SILVER</t>
  </si>
  <si>
    <t>PATRON SILVER</t>
  </si>
  <si>
    <t>PATRON REPOSADO</t>
  </si>
  <si>
    <t>TRAGO PATRON REPOSADO</t>
  </si>
  <si>
    <t>PATRON CRISTALINO</t>
  </si>
  <si>
    <t>TRAGO PATRON CRISTALINO</t>
  </si>
  <si>
    <t>ACEITUNA VERDE DESHUESADA 330GNDO</t>
  </si>
  <si>
    <t>AGUA HATSU X 6UND</t>
  </si>
  <si>
    <t>AJI LIMO X KILO</t>
  </si>
  <si>
    <t>ALGARROBINA</t>
  </si>
  <si>
    <t>APLASTADOR DE CARNE PARA HAMBURGUESA VK</t>
  </si>
  <si>
    <t>AROMATICA *7G</t>
  </si>
  <si>
    <t>BAGUETTE BOLA BRILLO CON CORTE 100GR 9.5- 10CM</t>
  </si>
  <si>
    <t xml:space="preserve">BALDE BLANCO 12LT TASK </t>
  </si>
  <si>
    <t>BASURERO PEDAL ACERINOX12LT TRAMONTINA 94538112</t>
  </si>
  <si>
    <t>BOLSA 1X0 (18X 12cm)</t>
  </si>
  <si>
    <t>BOLSA KRAF NÂ° 1 *100 UN</t>
  </si>
  <si>
    <t>BOLSA KRAF NÂ° 6 X 100UNDEMP093</t>
  </si>
  <si>
    <t>BOLSA KRAF NÂ° 60 *50 UND</t>
  </si>
  <si>
    <t>BOLSA TRASNP 8*12 ALTA X100UND</t>
  </si>
  <si>
    <t>BOLSA ZIPLOC 20X30X100 UND</t>
  </si>
  <si>
    <t>BOWL KRAFT 750ML CON TAPA PET (PQT*50)</t>
  </si>
  <si>
    <t>PAQUETEX25UND</t>
  </si>
  <si>
    <t xml:space="preserve">CHILE ANCHO X KILO </t>
  </si>
  <si>
    <t>CHILE PASILLA X KILO</t>
  </si>
  <si>
    <t>CLAVOS DE OLOR ENTERO SAN VALENTIN x500G</t>
  </si>
  <si>
    <t>COLADOR INCAINOX 10CM INCAMETAL</t>
  </si>
  <si>
    <t xml:space="preserve">COLORANTE GEL MORADO X 60 ML </t>
  </si>
  <si>
    <t>CONTENEDOR 16 ON 25 U DELIFLEX</t>
  </si>
  <si>
    <t>CORTADOR  DE PIZZA</t>
  </si>
  <si>
    <t>COSTEÃ‘ITA RT175ML</t>
  </si>
  <si>
    <t>CREMERA INDI85,7 COREPA C2</t>
  </si>
  <si>
    <t>CURUBA * KILO</t>
  </si>
  <si>
    <t>DON JULIO REPOSADO 700ML</t>
  </si>
  <si>
    <t>ENVASE VIDRIO X 4000 CC R89</t>
  </si>
  <si>
    <t>ESCURRIDOR DE PISO BANDA PQÃ‘O 1.50X52 CM</t>
  </si>
  <si>
    <t>ESPONJA ORO PLATA BRIO NRO 1-008</t>
  </si>
  <si>
    <t>ESTACIÃ“N DE CAFE</t>
  </si>
  <si>
    <t>FILETE DE POLLO X 180GR</t>
  </si>
  <si>
    <t>FINCA LAS MORAS BARREL SELEC MALBEC 750ML</t>
  </si>
  <si>
    <t>FLAMEADOR GRANDE EXTRA FLOPPI</t>
  </si>
  <si>
    <t>FRIJOL CARGAMANTO SU DESPENSA *500</t>
  </si>
  <si>
    <t>GEL ANTIBACTERIAL SOFT CARE DESE H5X950M</t>
  </si>
  <si>
    <t>GULUPA X KILO</t>
  </si>
  <si>
    <t>HARINA DE ALMENDRA X 500</t>
  </si>
  <si>
    <t>HARINA DE TRIGO HAZ DE OROS BOLSA X550g BULTOX12.5</t>
  </si>
  <si>
    <t>HOJA DE BIJAO</t>
  </si>
  <si>
    <t>HOJA DE COCA*300G</t>
  </si>
  <si>
    <t>HUEVO DE CODORNIZ *24UND</t>
  </si>
  <si>
    <t>HUEVOS AAA</t>
  </si>
  <si>
    <t>JABON REY 300G</t>
  </si>
  <si>
    <t>JUGO  X 250 CC VIDRIO R-38 SIN TAPA</t>
  </si>
  <si>
    <t>JUNIPER COFFE SODA CAJA X 24</t>
  </si>
  <si>
    <t>KIT MADERAS AHUMADOR POLYSCIENCE BREVILLE</t>
  </si>
  <si>
    <t>LEVADURA FLEISCHMANN X 500 GR- CAJA X 50-3%</t>
  </si>
  <si>
    <t>LICOR 43*750ML</t>
  </si>
  <si>
    <t>LIMPION IND DESECH HD 2X305M 74079</t>
  </si>
  <si>
    <t>LIMPION INDUSTRIAL H DOBLE X400MT74167</t>
  </si>
  <si>
    <t>MASA PARA BUÃ‘UELOS *1000</t>
  </si>
  <si>
    <t>MAYONESA ALASENA X475G</t>
  </si>
  <si>
    <t>MEZCAL UNIÃ“N EL JOVEN *700ML</t>
  </si>
  <si>
    <t>ND</t>
  </si>
  <si>
    <t xml:space="preserve">ND </t>
  </si>
  <si>
    <t>PALILLOS HAMBURGUESA EL SOL 10CAJASX 125U</t>
  </si>
  <si>
    <t>PANELA PULV ORGANIC BLACKMILL SACHET 5GR 200U</t>
  </si>
  <si>
    <t>PASTA DE TOMATE FRUCO X3000G</t>
  </si>
  <si>
    <t xml:space="preserve">PEPINO EUROPEO X KILO </t>
  </si>
  <si>
    <t>PLATO PANDO 20.3CM RUSTIC ORIÃ“N REACTIV</t>
  </si>
  <si>
    <t>QUESO OAXACA NAT</t>
  </si>
  <si>
    <t>QUESO PARMESSANO EN CUÃ‘A *1K</t>
  </si>
  <si>
    <t xml:space="preserve">RON BACARDI CARTA BLANCA SUPERIOR 980 ML </t>
  </si>
  <si>
    <t>RON MEDELLIN 8 AÃ‘OS 750ML</t>
  </si>
  <si>
    <t xml:space="preserve">SALSA DE TOMATE FRUCO BX102C8G </t>
  </si>
  <si>
    <t>SET DE CUBIERTOS TAMI BCO+SERXUDSCMOT101</t>
  </si>
  <si>
    <t>SMIRNOFF NO.21 RED VODKA 0,7L</t>
  </si>
  <si>
    <t>SODA HATSU X6 UND</t>
  </si>
  <si>
    <t>SOUR CREAM</t>
  </si>
  <si>
    <t>SUB. ALMIBAR DE MANGO BICHE</t>
  </si>
  <si>
    <t>SUB. BASE LECHE DE TIGRE MALANGA</t>
  </si>
  <si>
    <t>SUB. BASE NORTEÃ‘A (CALLAO)</t>
  </si>
  <si>
    <t xml:space="preserve">SUB. CALAMAR CEVICHERIA </t>
  </si>
  <si>
    <t>SUB. CREMA DE QUESO</t>
  </si>
  <si>
    <t>SUB. EMPANADAS DE LOMO SALTADO</t>
  </si>
  <si>
    <t>SUB. EXTRACTO DE GULUPA Y MARACUYÃ</t>
  </si>
  <si>
    <t>SUB. FONDO CLARO DE PESCADO</t>
  </si>
  <si>
    <t>SUB. FONDO DE PESCADO BISQUE</t>
  </si>
  <si>
    <t>SUB. FRESA DESHIDRATADA</t>
  </si>
  <si>
    <t>SUB. FRUTOS ROJOS BAR</t>
  </si>
  <si>
    <t>SUB. MACERADO DE COCA</t>
  </si>
  <si>
    <t>SUB. MACERADO DE MARACUMANGO</t>
  </si>
  <si>
    <t>SUB. MACERADO DE PISCOS HIERBA-LUISA</t>
  </si>
  <si>
    <t xml:space="preserve">SUB. MACERADO DE UCHUVA Y AJI ROCOTO </t>
  </si>
  <si>
    <t xml:space="preserve">SUB. MAYO TRUFADA </t>
  </si>
  <si>
    <t>SUB. MEZCLA NUTELLA</t>
  </si>
  <si>
    <t>SUB. MIX DE VERDURAS</t>
  </si>
  <si>
    <t>SUB. POLLO LIMEÃ‘O</t>
  </si>
  <si>
    <t>SUB. RON DE COCO</t>
  </si>
  <si>
    <t xml:space="preserve">SUB. SALSA CRIOLLA </t>
  </si>
  <si>
    <t>SUB. SALSA DE FRUTOS ROJOS MALANGA</t>
  </si>
  <si>
    <t>SUB. SIROPE DE FRUTOS ROJOS</t>
  </si>
  <si>
    <t>SUB. SIROPE FLOR DE JAMAICA</t>
  </si>
  <si>
    <t>SUB. TAMARINDO-LULO Y JALAPEÃ‘O</t>
  </si>
  <si>
    <t>SUB. TORTA DE CHOCOLATE</t>
  </si>
  <si>
    <t xml:space="preserve">SUB. VINAGRETA ENSALADA </t>
  </si>
  <si>
    <t>TALLER BANDEJA 35.9X21.7CM RUSTIC AZUL ENVEJEC</t>
  </si>
  <si>
    <t>TAPA BASE (8-16) OZ MULTI 25U</t>
  </si>
  <si>
    <t xml:space="preserve">TEQUILA PATRON SILVER 700 </t>
  </si>
  <si>
    <t>TIRILLA MEDI QUAT TEST 0-400PPM-DAV72432</t>
  </si>
  <si>
    <t>TOMATE RIÃ‘ON POR KILO</t>
  </si>
  <si>
    <t>TOMATES SECOS EN ACEITE 740G</t>
  </si>
  <si>
    <t>TORTILLA DE HARINA  *10UND</t>
  </si>
  <si>
    <t>VASO ECONO TRASNSPARENTE X12ONZ X 50UND</t>
  </si>
  <si>
    <t>VINO TINTO TARAPACÃ MERLOT 750 ML</t>
  </si>
  <si>
    <t xml:space="preserve">VODKA SKYY 750ML </t>
  </si>
  <si>
    <t xml:space="preserve">WYPALL X 80 AZUL 877 X 25 PAÃ‘OS </t>
  </si>
  <si>
    <t>ZARZAMORAS X250G</t>
  </si>
  <si>
    <t xml:space="preserve">SUB. SALSA ATUN </t>
  </si>
  <si>
    <t>Incremento 13%</t>
  </si>
  <si>
    <t>Costo2</t>
  </si>
  <si>
    <t>Cambiar en el Pos</t>
  </si>
  <si>
    <t xml:space="preserve">COSMOPOLITAN </t>
  </si>
  <si>
    <t>JUGO DE ARANDANOS OCEAN SPRAY*96ONZ</t>
  </si>
  <si>
    <t xml:space="preserve"> PISCO SOUR </t>
  </si>
  <si>
    <t>GIN TANQUERAY LONDON</t>
  </si>
  <si>
    <t>GIN HENDRICKS</t>
  </si>
  <si>
    <t>OLD PARR</t>
  </si>
  <si>
    <t xml:space="preserve"> RED LABEL</t>
  </si>
  <si>
    <t>AGUARDIENTE ROJO</t>
  </si>
  <si>
    <t>AGUARDIENTE AZUL</t>
  </si>
  <si>
    <t>AGUARDIENTE VERDE</t>
  </si>
  <si>
    <t>SUB. ALMIBAR MIEL JENGIBRE</t>
  </si>
  <si>
    <t xml:space="preserve">MANGO BICHE </t>
  </si>
  <si>
    <t xml:space="preserve">AROMATICA MIEL Y JENGIBRE </t>
  </si>
  <si>
    <t>GINGER ALE BOTELLA 300ML - SCHWEPPES</t>
  </si>
  <si>
    <t>SANGRIA LAMBRUSCO BLANCA</t>
  </si>
  <si>
    <t>VINO LAMBRUSCO BLANCO PICCINI 750ML</t>
  </si>
  <si>
    <t xml:space="preserve">SUB. ALMIBAR DE PANELA </t>
  </si>
  <si>
    <t xml:space="preserve"> ESPRESSO MARTINI</t>
  </si>
  <si>
    <t>ARROZ PALENQUE</t>
  </si>
  <si>
    <t>LANGOSTINOS TIMBIQUI</t>
  </si>
  <si>
    <t>MEDIA CALDAS 8 AÑOS</t>
  </si>
  <si>
    <t>MEDIA DE RON VIEJO DE CALDAS 3 AÑOS</t>
  </si>
  <si>
    <t>GREY GOOSE ORIGINAL 700ML</t>
  </si>
  <si>
    <t>OZ</t>
  </si>
  <si>
    <t xml:space="preserve">GREY GOOSE </t>
  </si>
  <si>
    <t xml:space="preserve">TRAGO GREY GOOSE </t>
  </si>
  <si>
    <t>TRAGO AGUARDIENTE VERDE</t>
  </si>
  <si>
    <t>MEZCAL UNION</t>
  </si>
  <si>
    <t>TRAGO MEZCAL UNION</t>
  </si>
  <si>
    <t>PALOMA PATRON REPOSADO</t>
  </si>
  <si>
    <t>Eliminar Trapiche Syrah</t>
  </si>
  <si>
    <t>Sacar la Red Label</t>
  </si>
  <si>
    <t>Sacar el Herradura</t>
  </si>
  <si>
    <t>Ron medellin 3 años sale de la carta</t>
  </si>
  <si>
    <t>Sacar el Ron Zacapa</t>
  </si>
  <si>
    <t>ROSADO SOUL</t>
  </si>
  <si>
    <t>ARRIERO</t>
  </si>
  <si>
    <t>AGUARDIENTE ANTIOQUEÃ‘O REAL SIN AZUCAR 24Â° 75OML</t>
  </si>
  <si>
    <t>RON CARBON 750ML</t>
  </si>
  <si>
    <t>SUGG DE CAFE X 750 ML</t>
  </si>
  <si>
    <t>PISCO PUNCHS</t>
  </si>
  <si>
    <t>CHILCANO CLASICO</t>
  </si>
  <si>
    <t>PISCO BARSOL ACHOLADO 750ML</t>
  </si>
  <si>
    <t xml:space="preserve">SUB. GUAYABA AGRIA </t>
  </si>
  <si>
    <t>SUB. MIEL DE ROCOTO</t>
  </si>
  <si>
    <t>z</t>
  </si>
  <si>
    <t>SUB. MISTELA DE MORA</t>
  </si>
  <si>
    <t>SEDUCCCION</t>
  </si>
  <si>
    <t>Rendimiento</t>
  </si>
  <si>
    <t>MATRIZ DE COSTOS</t>
  </si>
  <si>
    <t>ARROZ DEL TROPICO</t>
  </si>
  <si>
    <t>ARROZ MEDITERRANEO</t>
  </si>
  <si>
    <t>SUB. ALMIBAR DE GULUPA Y MARACUYA</t>
  </si>
  <si>
    <t>TEQUILA JOSE CUERVO SILVER X750 ML</t>
  </si>
  <si>
    <t>SU.B TRIPLE SEC</t>
  </si>
  <si>
    <t>PENICILIN</t>
  </si>
  <si>
    <t xml:space="preserve">PALOMA </t>
  </si>
  <si>
    <t>MARTINI VERMUTH ROSSO 750ML</t>
  </si>
  <si>
    <t>ACEITE DE COCO VEGETAL BIOESSENS X 420ML</t>
  </si>
  <si>
    <t>GOTAS AMARGAS ANGOSTURA COCOA BITTERS 100ML-BOT</t>
  </si>
  <si>
    <t xml:space="preserve">CREMA DE CAFE COLOMA X 750ML </t>
  </si>
  <si>
    <t>SOHO LYCHEE * 750MLLIC124</t>
  </si>
  <si>
    <t>JUGO DE ARANDANOS YUS PET 945 ML</t>
  </si>
  <si>
    <t>SUB. CLARA DE HUEVO</t>
  </si>
  <si>
    <t>SUB. ZUMO DE PIÃ‘A</t>
  </si>
  <si>
    <t>ZUMO DE LIMON</t>
  </si>
  <si>
    <t>MOJITO COCO</t>
  </si>
  <si>
    <t>FRESH CITRUS 1.5LT PET (12)</t>
  </si>
  <si>
    <t xml:space="preserve">SUB. MORA DESHIDRATDA </t>
  </si>
  <si>
    <t>SUB. CORDIAL DE ALBAHACA</t>
  </si>
  <si>
    <t>SUB. BANANO DESHIDRATADO</t>
  </si>
  <si>
    <t>MEMBER'S SELECTION NÃ‰CTAR DE AGAVE ORGÃNICO 1.25 KG / 44 OZ</t>
  </si>
  <si>
    <t>LAMBRUSCO ROSADA</t>
  </si>
  <si>
    <t>TINTO DE COROZO</t>
  </si>
  <si>
    <t>COPA ROSADA CARIBE</t>
  </si>
  <si>
    <t xml:space="preserve">LAMBRUSCO TINTO </t>
  </si>
  <si>
    <t>ROSADA DEL CARIBE</t>
  </si>
  <si>
    <t>COPA TINTO DE COROZO</t>
  </si>
  <si>
    <t>SANGRÍA BLANCA</t>
  </si>
  <si>
    <t>COPA BLANCA</t>
  </si>
  <si>
    <t>SUB. ALMIBAR FLOR DE JAMAICA</t>
  </si>
  <si>
    <t>VENICE</t>
  </si>
  <si>
    <t>TROPICAL</t>
  </si>
  <si>
    <t xml:space="preserve">ROSAS Y LYCHES </t>
  </si>
  <si>
    <t>FEIJOA</t>
  </si>
  <si>
    <t>FRUTOS ROJOS</t>
  </si>
  <si>
    <t>MARACUYA</t>
  </si>
  <si>
    <t>GENJI &amp; HIERBA</t>
  </si>
  <si>
    <t>COPA VINO CALIENTE</t>
  </si>
  <si>
    <t>SUB. TRIPLE SEC</t>
  </si>
  <si>
    <t>COPA TINTO DE VERANO</t>
  </si>
  <si>
    <t>ACIDO CITRICO *500 GRS</t>
  </si>
  <si>
    <t>ACIDO MÃLICO *500 GRS</t>
  </si>
  <si>
    <t>ACIDO ASCORBICO *500 GRS</t>
  </si>
  <si>
    <t>SUB. MARACUYA &amp; GULUPA</t>
  </si>
  <si>
    <t>MIEL DE AGAVE X 1250G</t>
  </si>
  <si>
    <t>SUB. ZUMO DE PIÑA</t>
  </si>
  <si>
    <t>GUAYABA AGRIA KILO</t>
  </si>
  <si>
    <t>VODKA KARLOVA 1000ML</t>
  </si>
  <si>
    <t>PIMIENTA ROSADA EN GRANO X250G</t>
  </si>
  <si>
    <t>SUB. ALMIBAR DE PIÑA</t>
  </si>
  <si>
    <t>SUB. ALMIBAR DE LULO</t>
  </si>
  <si>
    <t>SUB. ALMIBAR DE BANANO</t>
  </si>
  <si>
    <t>BOCADILLO DE GUAYABA X150G</t>
  </si>
  <si>
    <t>SUB. BUÑUELO</t>
  </si>
  <si>
    <t>ALMIDON EXTRA ROSQUILLERO X 1000GR</t>
  </si>
  <si>
    <t>SUB. CARIMAÑOLA</t>
  </si>
  <si>
    <t>SUB. CHAMPIÑON DESHIDRATADO</t>
  </si>
  <si>
    <t>TOMATE DE ARBOL X KILO</t>
  </si>
  <si>
    <t>BICARBONATO LA GRAN COCINA x500GORD117</t>
  </si>
  <si>
    <t>1. Llevar a fritura profunda (160 grados) los palmitos previamente apanados.</t>
  </si>
  <si>
    <t>2. Cortar cada palmito en forma diagonal.</t>
  </si>
  <si>
    <t>Emplatado</t>
  </si>
  <si>
    <t xml:space="preserve">1. Cortar el queso costeño en bastones de 2,5 cm x 7,5 cm. </t>
  </si>
  <si>
    <t>2. Llevar a fritura profunda (160 grados) hasta que doren.</t>
  </si>
  <si>
    <t xml:space="preserve">1. Formar una torre con los quesos. </t>
  </si>
  <si>
    <t xml:space="preserve">2. Verter en una salsera la mermelada de ají </t>
  </si>
  <si>
    <t>3. Decoramos con brotes y flores.</t>
  </si>
  <si>
    <t>Preparacion</t>
  </si>
  <si>
    <t xml:space="preserve">1. Llevar a un wok la jaiba y agregar los ingredientes como la leche de coco, la pasta rocoto, pasta de ají amarillo, coco deshidratado, sal y fondo. Acentuar sabores y dejar espesar. </t>
  </si>
  <si>
    <t>2. Untar al pan la mantequilla y llevar al horno por un minuto.</t>
  </si>
  <si>
    <t>3. Verter la preparación del wok, a una cacerola y esparcir el perejil finamente picado, el queso mozarela y el queso parmesano ambos rayados.</t>
  </si>
  <si>
    <t>1. Ubicar la cacerola sobre un plato panda.</t>
  </si>
  <si>
    <t>2. Ubicar los panes.</t>
  </si>
  <si>
    <t>3. Decorar con brotes.</t>
  </si>
  <si>
    <t>1. Cortar en láminas las setas, es decir, el champiñón, la orellana y el portobello y reservar para el siguiente paso.</t>
  </si>
  <si>
    <t>2. Llevar a un wok las setas ya laminadas (champiñón, orellana y portobello) y agregar la cebolla blanca picada en brunoise, crema de leche y la sal.   Acentuar sabores y dejar espesar.</t>
  </si>
  <si>
    <t>3. Untar al pan la mantequilla y llevar al horno por un minuto.</t>
  </si>
  <si>
    <t>4. Verter la preparación del wok, a una cacerola y esparcir el perejil finamente picado, el queso mozarela y el queso parmesano ambos rayados.</t>
  </si>
  <si>
    <r>
      <t>Preparac</t>
    </r>
    <r>
      <rPr>
        <b/>
        <sz val="12"/>
        <color theme="1"/>
        <rFont val="Calibri"/>
        <family val="2"/>
        <scheme val="minor"/>
      </rPr>
      <t>ion</t>
    </r>
  </si>
  <si>
    <t xml:space="preserve">5. Llevar la cacerola a gratinar en el horno por un periodo de 3 minutos. </t>
  </si>
  <si>
    <t>1. Ubicar la cacerola sobre un plato Pando</t>
  </si>
  <si>
    <t>1. En un Bowl marinar todas las proteínas (Tilapia y Palmitos picados en Julianas; añadir los calamares y camarones) con soya, sal y pimienta.  Realizar el proceso de apanado (Primero Harina de Trigo, luego huevo y finalizamos pasando por panco)</t>
  </si>
  <si>
    <t>2. Llevar a fritura profunda a 160 grados centígrados hasta que dore.</t>
  </si>
  <si>
    <t>1. En un plato pando, realizar lagrimales con melcocha y suero.  Entre las dos salsas 6 lagrimales.</t>
  </si>
  <si>
    <t>2. Sobre los lagrimales, ubicar las proteínas previamente preparadas en forma piramidal</t>
  </si>
  <si>
    <t>3. Coronamos con cebolla encurtida y chips de plátano.</t>
  </si>
  <si>
    <t>4. Ubicar los cascos de Limón y la salsa tártara, en la salsera.</t>
  </si>
  <si>
    <t>1. Llevar a fritura profunda los patacones (160 Grados)</t>
  </si>
  <si>
    <t>1. Realizar 4 lagrimales con suero costeño y entre estos ubicar los patacones</t>
  </si>
  <si>
    <t>2. Sobre cada patacón agregar la mezcla del Bowl y esparcir paprika.</t>
  </si>
  <si>
    <t>1. Llevar a fritura profunda las croquetas de jaiba previamente apanadas  ( 160 grados centígrados)</t>
  </si>
  <si>
    <t>2. Verter la parrillera en una salsera.</t>
  </si>
  <si>
    <t>1. Sobre un plato realizamos una cama con el mézclum, sobre esta ubicamos las croquetas de jaiba.</t>
  </si>
  <si>
    <t>2. Decoramos con brotes y flores comestibles</t>
  </si>
  <si>
    <t>1. Hidratar la tortilla y llevarla al horno, Tempurizar el pescado y llevarlos a fritura profunda</t>
  </si>
  <si>
    <t xml:space="preserve">1. Ubicar la tortilla en una taquera, agregar guacamole, rellenarla con el pescado, agregar tártara, cebolla encurtida y decorar con brotes </t>
  </si>
  <si>
    <t>1. Llevar al horno los chicharrones previamente cocinados y las papas criollas a fritura profunda.</t>
  </si>
  <si>
    <t>2. En un bol mezclar la zanahoria, cebolla, tomate, cilantro en plus y la vinagreta.</t>
  </si>
  <si>
    <t>1. Realizar un espejo uniforme con la salsa de cilantro, suero costeño y aceite achiotado.</t>
  </si>
  <si>
    <t>2. Poner el tocino en forma lineal, las criollas regadas en el plato y la ensalada en un costado en forma de pirámide</t>
  </si>
  <si>
    <t>3. Decorar con brotes y flores comestibles.</t>
  </si>
  <si>
    <t>1. Disponer de todos los vegetales previamente picados en un bol. </t>
  </si>
  <si>
    <t>2. Precalentar dos woks, en uno sellamos el pulpo y en el otro los vegetales. </t>
  </si>
  <si>
    <t>1. Ponemos los vegetales en el centro de la parrilla, encima de estos el pulpo sellado y marinado con los chimichurris.</t>
  </si>
  <si>
    <t>2. Ponemos las criollas alrededor de los vegetales y le ponemos un punto de suero al lado de cada una. </t>
  </si>
  <si>
    <t>SUB. PIÑA DESHIDRATADA</t>
  </si>
  <si>
    <t xml:space="preserve">SUB. VINAGRETA LIMON MANDARINO </t>
  </si>
  <si>
    <t>SOPA DE CANGREJO</t>
  </si>
  <si>
    <t xml:space="preserve">MUELAS DE CANGREJO X UND </t>
  </si>
  <si>
    <t>PATACONES MEDIANOS VERDE X UND</t>
  </si>
  <si>
    <t>GAMBAS</t>
  </si>
  <si>
    <t xml:space="preserve">GAMBAS </t>
  </si>
  <si>
    <t>SUB. VINAGRETA LIMON MANDARINO</t>
  </si>
  <si>
    <t>CORAZON DE LAVA</t>
  </si>
  <si>
    <t>SUBLIME</t>
  </si>
  <si>
    <t>1. Realizar lagrimales en línea recta, dividiendo el plato en dos.</t>
  </si>
  <si>
    <t xml:space="preserve">2. Hacer un espejo con la tierra de arveja en la mitad del plato. </t>
  </si>
  <si>
    <t xml:space="preserve">3. Sobre el espejo de arveja ubicar los palmitos en forma de zigzag. </t>
  </si>
  <si>
    <t>4. Coronamos con la salsa dinamita, decoramos con brotes y flores comestibles.</t>
  </si>
  <si>
    <t>1.Apanar los langostinos pasandolos por harina, huevo, queso costeño rallado y llevar a fritura profunda.</t>
  </si>
  <si>
    <t>2.Hidratar el pure de platano y agregarle queso mozzarella</t>
  </si>
  <si>
    <t>3.Para la salsa llevar a un wok o sartén crema de leche, queso azul, pasta de ajo, parmesano, salsa soya y cocinar hasta llegar a punto de napa.</t>
  </si>
  <si>
    <t>1. Apanar los langostinos y llevarlos a fritura profunda.</t>
  </si>
  <si>
    <t>2. Llevar a una manga pastelera el puré de papa (boquilla rizada).</t>
  </si>
  <si>
    <t xml:space="preserve">3. Para la salsa llevamos en un wok la crema de leche, parmesano, pasta de rocoto, sal (punto de napa)  </t>
  </si>
  <si>
    <t>1. En una parrilla redonda y caliente poner el puré de papa con la ayuda de la manga pastelera.</t>
  </si>
  <si>
    <t>2. En los costados del puré colocar la salsa hecha en el wok.</t>
  </si>
  <si>
    <t>3. Sobre la salsa le agregamos la acevichada realizando líneas con la ayuda de un tetero.</t>
  </si>
  <si>
    <t xml:space="preserve">Decoramos con mézclum, chimichurri y esparcimos ajonjolí.      </t>
  </si>
  <si>
    <t>1. Salteamos los langostinos previamente sazonados, aparte sofreímos la cebolla, agregamos el curry, crema de coco y la crema de leche para la salsa.</t>
  </si>
  <si>
    <t>2. Calentamos el puré y agregamos tomate perla y queso parmesano</t>
  </si>
  <si>
    <t xml:space="preserve">1. En el centro del plato colocamos el puré. </t>
  </si>
  <si>
    <t xml:space="preserve">2. Coronamos con los cuatro langostinos </t>
  </si>
  <si>
    <t xml:space="preserve">3. Servimos la salsa aparte </t>
  </si>
  <si>
    <t>4. La tierra de lentejas va alrededor del puré, los tomates perla y las flores comestibles</t>
  </si>
  <si>
    <t>4. Llevar la cacerola a gratinar en el horno por un periodo de 3 minutos.</t>
  </si>
  <si>
    <t xml:space="preserve">3. Cortar el limón en cascos.  Reservar para el emplatado. </t>
  </si>
  <si>
    <t xml:space="preserve">5. Esparcir cilantro en plus en todo el plato. </t>
  </si>
  <si>
    <t>2. En un Bowl agregar los camarones, cilantro, mango, aguacate y vinagreta, mezclar</t>
  </si>
  <si>
    <t xml:space="preserve">3. Decorar con brotes </t>
  </si>
  <si>
    <t>1. Cortar el pescado en láminas de 2 Milímetros y agregar sobre todo el plato</t>
  </si>
  <si>
    <t>2. En un bowl agregar Ajino moto, Limón y mayonesa de la casa, incorporamos y bañamos el pescado con esta salsa, despelucar tomates y montar aire</t>
  </si>
  <si>
    <t xml:space="preserve">3. Freír la tocineta y triturar </t>
  </si>
  <si>
    <t>1. Esparcir Parmesano y tocineta, ubicar el aire en tres partes del plato</t>
  </si>
  <si>
    <t>2. Decorar con brotes y flores comestibles</t>
  </si>
  <si>
    <t xml:space="preserve">En un costado se ubica la salsera. </t>
  </si>
  <si>
    <t xml:space="preserve">3. Rebanar el tocino de 1cm aproximadamente. </t>
  </si>
  <si>
    <t xml:space="preserve">3. acentuar sabores, fritar papas criollas. </t>
  </si>
  <si>
    <t xml:space="preserve">3. Por último, rociamos el ajonjolí. </t>
  </si>
  <si>
    <t>1. Blanquear los camarones, fritas y patacones.</t>
  </si>
  <si>
    <t>2. En un bowl incorporar la cebolla, cilantro en plus, camarones blanqueados, sriracha, salsa de tomate, limón, sal y mayonesa.</t>
  </si>
  <si>
    <t xml:space="preserve">Cortar la piña en cubos. </t>
  </si>
  <si>
    <t>1. En una copa poner parte de la piña picada, en un palillo hacer un pincho con el resto de la piña.</t>
  </si>
  <si>
    <t>2. En la copa verter la mezcla obtenida en el bowl</t>
  </si>
  <si>
    <t>3. Clavar el pincho de piña, decorar con mézclum, y masago.</t>
  </si>
  <si>
    <t>1. Fritar el tocino</t>
  </si>
  <si>
    <t>2. Despelucar los tomates</t>
  </si>
  <si>
    <t>3. En un bol mezclamos cebolla, cilantro en plus, acevichada y el tocino ya previamente frito.</t>
  </si>
  <si>
    <t>1. En una copa verter la mezcla obtenida en el bowl</t>
  </si>
  <si>
    <t xml:space="preserve">2. Decorar con tomates despelucados, mézclum y chips de plátano </t>
  </si>
  <si>
    <t>1. Apanar los camarones "harina, huevo, panko" fritar.</t>
  </si>
  <si>
    <t>2. Cortar la tilapia en cubos, agregar a un bol y desdoblar con Limón, de golpe incorporamos la cebolla, cilantro, maicitos, pasta de trufa, sal, pimienta, mezclar todo.</t>
  </si>
  <si>
    <t>1. En un plato hondo montar el ceviche en forma de pirámide.</t>
  </si>
  <si>
    <t>2. Ubicar los camarones rodeando el ceviche.</t>
  </si>
  <si>
    <t>3. Esparcir ajonjolí y coronar con puerro crocante.</t>
  </si>
  <si>
    <t>1. Blanquear camarón y anillos de calamar.</t>
  </si>
  <si>
    <t>2. En un bol incorporar el camarón y calamar blanqueados, zanahoria, tomate, cilantro en plus, mayo peruana, Limón, mezclar todo.</t>
  </si>
  <si>
    <t>3. Fritar papas criollas.</t>
  </si>
  <si>
    <t xml:space="preserve">cortar aguacate en cubos. </t>
  </si>
  <si>
    <t>1. En un plato hondo poner la mezcla obtenida en el bol haciendo nunca pirámide.</t>
  </si>
  <si>
    <t>2. Esparcir queso parmesano, distribuir los cubos de aguacate.</t>
  </si>
  <si>
    <t xml:space="preserve">3. Poner las criollas en el costado formando una pirámide pequeña. </t>
  </si>
  <si>
    <t>4. Finalizamos con topphing de puerro crocante.</t>
  </si>
  <si>
    <t>1. Con la ayuda de un cuchillo verdulero sacar los cascos de naranja, despelucar tomate cherry, mezclar la mayonesa y reducción de balsámico "maya balsámico".</t>
  </si>
  <si>
    <t>2. Para las escamas de parmesano sacarlas con el pelador de este modo quedarán delgadas.</t>
  </si>
  <si>
    <t>3. Mezclar las lechugas con la mayonesa.</t>
  </si>
  <si>
    <t>4. Emplatar.  </t>
  </si>
  <si>
    <t>1. En un plato hondo montar las lechugas, esparcir cebolla encurtida.</t>
  </si>
  <si>
    <t>2. Ubicar el resto de los ingredientes sobre las lechugas sin que pierda altura</t>
  </si>
  <si>
    <t>1. En un wok salteamos los mariscos, seguido agregamos los vegetales reservando el cilantro para el final.</t>
  </si>
  <si>
    <t>2. Incorporar la pasta de pimentón, salsa soya, arroz y parmesano (Reservamos 5 gr de queso parmesano).</t>
  </si>
  <si>
    <t xml:space="preserve">3. Esparcir cilantro en plus. </t>
  </si>
  <si>
    <t>1. En una parrilla rectangular tibia poner el arroz en forma de pirámide, dándole altura al plato.</t>
  </si>
  <si>
    <t>2. Esparcimos queso parmesano.</t>
  </si>
  <si>
    <t xml:space="preserve">3. Clavar 2 chips de plátano, decorar con mézclum y en una salsera poner la leche de tigre y luego en una esquina de la parrilla. </t>
  </si>
  <si>
    <t xml:space="preserve">1. En un wok sellar el solomito previamente porcionado en julianas. </t>
  </si>
  <si>
    <t xml:space="preserve">2. Agregar champiñón, cebolla, fresa, uchuva y todos los líquidos (crema de leche, almíbar, vinagre balsámico.) </t>
  </si>
  <si>
    <t>3. Incorporar el arroz, el queso parmesano y por úúltimo el cilantro.</t>
  </si>
  <si>
    <t>4. Mezclar el kanikama desmechado con el pepino en espiral y vinagreta.</t>
  </si>
  <si>
    <t>1. En una parrilla rectangular tibia poner el arroz en forma de pirámide dándole altura al plato.</t>
  </si>
  <si>
    <t>2. Esparcir queso parmesano.</t>
  </si>
  <si>
    <t xml:space="preserve">3. Finalizar con topping de kanikama y pepino. </t>
  </si>
  <si>
    <t>1. Cortar la tilapia en dados de 2x2 cm (reservar 50 gr., pasarlos por harina de trigo y llevarlos a fritura).</t>
  </si>
  <si>
    <t>2. En un wok sellar el pescado, seguido agregar los vegetales, togarashi y salsa de soya.</t>
  </si>
  <si>
    <t>3. Incorporamos el arroz y mezclamos con una espátula cuidando que la tilapia no se destroce.</t>
  </si>
  <si>
    <t xml:space="preserve">4. Asar las mazorcas (reservamos 5 gr de queso parmesano). </t>
  </si>
  <si>
    <t>3. Poner las mazorcas en la parte trasera de la parrilla.</t>
  </si>
  <si>
    <t>4. Finalizar con los pescaditos fritos y encima de estos los chimichurris</t>
  </si>
  <si>
    <t>1. En un wok salteamos los camarones y la mitad del pescado previamente cortado en julianas.</t>
  </si>
  <si>
    <t>2. Agregamos todos los líquidos menos el limón.</t>
  </si>
  <si>
    <t>3. Con el resto de la tilapia hacer un ceviche.</t>
  </si>
  <si>
    <t>3. Finalizamos con topping de puerro crocante.</t>
  </si>
  <si>
    <t xml:space="preserve">1. Verter en una cazuela de barro la preparación obtenido en el wok, sobre esta ubicamos el ceviche centrado. </t>
  </si>
  <si>
    <t xml:space="preserve">2. Esparcimos ajonjolí y aceite trufado. </t>
  </si>
  <si>
    <t>3. Finalizamos con brotes.</t>
  </si>
  <si>
    <t>1. En un wok salteamos todos los vegetales y el arroz.</t>
  </si>
  <si>
    <t>2. Agregar pasta de ají amarillo, acentuar sabores.</t>
  </si>
  <si>
    <t>3. Llevar a fritura las albóndigas de lentejas.</t>
  </si>
  <si>
    <t>2. Esparcimos queso parmesano. </t>
  </si>
  <si>
    <t>3. Distribuir las albóndigas de lentejas sobre el arroz, decorar con brotes.</t>
  </si>
  <si>
    <t>1. Saltear todos los mariscos con el ají dulce, agregar todos los líquidos (Crema de leche, fondo, vino blanco, leche de coco) y el queso parmesano. </t>
  </si>
  <si>
    <t>2. Dejar espesar, fritas patacones. </t>
  </si>
  <si>
    <t>3. Acentuar Sabores</t>
  </si>
  <si>
    <t>1. En un plato hondo poner todos los sólidos, verter el líquido en una jarra (menaje).</t>
  </si>
  <si>
    <t>2. Poner un plato pando como base y encima de este los patacones arroz de coco y el plato hondo con los sólidos de la cazuela.</t>
  </si>
  <si>
    <t>1. Asar el salmón.</t>
  </si>
  <si>
    <t>2. En un bol agregar el mézclum, zanahoria, tomate cherry, maicitos y vinagreta.</t>
  </si>
  <si>
    <t xml:space="preserve">3. Llevar el puré a la manga pastelera (boquilla rizada). </t>
  </si>
  <si>
    <t>1. En un costado poner el filete de salmón, bañándolo con la salsa agridulce; esparcimos ajonjolí sobre este.</t>
  </si>
  <si>
    <t>2. Con la ayuda de la manga pastelera poner el pure.</t>
  </si>
  <si>
    <t xml:space="preserve">3. Después de ubicar la ensalada, incorporamos salsa parrillera en forma de zic zac y finalizamos con topping de puerro crocante.  </t>
  </si>
  <si>
    <t>1. En un wok salteamos la cebolla juliana, el brócoli y la mitad del aíi dulce; agregamos pasta de cilantro, sal, crema de leche, mitad del parmesano y el arroz; mezclamos todo por último verter el limón (El limón va al final para evitar que amargue la preparación).</t>
  </si>
  <si>
    <t>2. Pasar la zanahoria por la tempura y llevar a fritura.</t>
  </si>
  <si>
    <t>3. Cortar el tomate chonto en cascos y saltearlos con la cebolla en cascos, el restante de ají dulce, los maicitos y la salsa ostión (Sin sal, estos vegetales llevan la soya de ostras y acá está lo salado "salsa ostión").</t>
  </si>
  <si>
    <t>1. Realizar una línea en el centro del plato con el queso parmesano rallado.</t>
  </si>
  <si>
    <t>2. En un costado ubicamos el arroz cremoso y el el otro lado colocarnos los vegetales</t>
  </si>
  <si>
    <t>3. Reposamos el salmón sobre el arroz.</t>
  </si>
  <si>
    <t>4. Y en forma de zic zac, coronamos con los vegetales temporizados.</t>
  </si>
  <si>
    <t>1. Enrollar la tilapia en forma cilíndrica y clavarle palillos de dientes para ayudar que no se desarme la forma de timbal, agregar sal y pimienta, luego llevar a fritura.</t>
  </si>
  <si>
    <t>2. Saltear el arroz con la salsa soya, las cebollas en juliana, la cebolla junca juliana, los maicitos y ají dulce.</t>
  </si>
  <si>
    <t xml:space="preserve">3. Por aparte saltear el resto de los vegetales y los camarones.     </t>
  </si>
  <si>
    <t>1. Ubicar el arroz en el centro del plato, en forma de pirámide, esparcir los vegetales y camarones salteados en el queso parmesano rallado.</t>
  </si>
  <si>
    <t>2. Disponer del timbal de tilapia y ubicarlo sobre el arroz y los vegetales, en el centro de este clavamos un chip de plátano largo.</t>
  </si>
  <si>
    <t xml:space="preserve">3. Con el suero ponerlo en forma de triángulo con la ayuda de un tetero. </t>
  </si>
  <si>
    <t>1. Fileteamos el pescado, cortamos en julianas los filetes y se pasan por harina para freír con el esqueleto (doblar el esqueleto para lograr una forma curva)</t>
  </si>
  <si>
    <t>2. Saltear los camarones con pasta de ajo, vino blanco, fondo y sal</t>
  </si>
  <si>
    <t>3. Llevar los patacones por agua de ajo y luego a fritura profunda.</t>
  </si>
  <si>
    <t>4. Disponer del arroz de coco.</t>
  </si>
  <si>
    <t>1. En una parrilla redonda ubicar el pescado y sobre este las julianas del filete.</t>
  </si>
  <si>
    <t>2. en el espacio restante poner el arroz de coco y los patacones.</t>
  </si>
  <si>
    <t>3. sobre los patacones hacer una línea de salsa de café y otra de suero.</t>
  </si>
  <si>
    <t>4. Bañar el pescado con la salsa de camarones, decorar con brotes.</t>
  </si>
  <si>
    <t>1. Sellamos el pescado en el sartén, salteamos los camarones a parte con vino, limón y mantequilla.</t>
  </si>
  <si>
    <t>2. Preparamos el arroz con coco a parte y los patacones. (sumergir los patacones en agua de ajo antes de llevarlos a fritura profunda)</t>
  </si>
  <si>
    <t>3. Rebanar el limón.</t>
  </si>
  <si>
    <t>1. Servir el arroz de coco, los patacones; sobre estos últimos poner tres puntos de suero costeño</t>
  </si>
  <si>
    <t>2. Ubicar el pescado y bañarlo con la salsa de camarones.</t>
  </si>
  <si>
    <t>3. Decorar con brotes, rodajas de limón y tomate perla.</t>
  </si>
  <si>
    <t>1. Sellar el atún y encontrarlo en la tierra de arveja, rebanarlo.</t>
  </si>
  <si>
    <t>2. Preparar el arroz con la crema de leche, crema de whisky, parmesano y acentuar el sabor.</t>
  </si>
  <si>
    <t>3. Disponer del puerro crocante y la reducción de balsámico.</t>
  </si>
  <si>
    <t>1. Con la ayuda de un tetero realizar círculos de reducción balsámica de forma abstracta.</t>
  </si>
  <si>
    <t>2. Sobre los círculos ubicar el arroz en forma de quenelle, seguido de este el atún rebanado.</t>
  </si>
  <si>
    <t>3. Agregar chimichurri verde, coronar con puerro crocante.</t>
  </si>
  <si>
    <t>4. Decorar con brotes, tomates cherry y flores comestibles.</t>
  </si>
  <si>
    <t>1. Asar el pescado previamente cortado, agregar cocó deshidratado, crema de leche, esencia de coco, leche de coco, parmesano y finalmente la pasta de ají amarillo.</t>
  </si>
  <si>
    <t>2. Cortar el patacón en bastones, sumergirlo en agua de ajo y llevarlo a fritura profunda.</t>
  </si>
  <si>
    <t>1. Realizar un espejo con parte de la salsa, sobre esta poner los cubos de pescado decorándolos con brotes, flores comestibles y rebanadas de ají amarillo.</t>
  </si>
  <si>
    <t>2. Poner el arroz de coco al lado del pescado y sobre este los bastones de patacón.</t>
  </si>
  <si>
    <t>1. Llevar a un wok el almíbar, la leche de coco, el coco deshidratado, la tinta de calamar y la crema de leche; dejar reducir un poco.</t>
  </si>
  <si>
    <t>2. Incorporar el arroz cocido con el queso parmesano (Reservar 5 gr de queso parmesano para emplatar) y mezclar. </t>
  </si>
  <si>
    <t xml:space="preserve">3. Asar el salmón (En corte mariposa).   </t>
  </si>
  <si>
    <t>1. Poner en el centro del plato el arroz cremoso.</t>
  </si>
  <si>
    <t>3. Ubicar el salmón sobre el arroz y encima de este el langostino apanado.</t>
  </si>
  <si>
    <t>4. Sobre el salmón realizar dos líneas con los chimichurris, una por cada chimichurri</t>
  </si>
  <si>
    <t xml:space="preserve">5. Agregar suero en forma de zic zac.    </t>
  </si>
  <si>
    <t>1. Parrilla el Pulpo</t>
  </si>
  <si>
    <t>2. Mezclar el pure de papa con la pasta de trufa y queso parmesano.</t>
  </si>
  <si>
    <t>1. Realizar dos lagrimales sobre el plato, que se crucen.</t>
  </si>
  <si>
    <t>2. Ubicar el puré en forma de quenelle y sobre este el pulpo previamente parrillada</t>
  </si>
  <si>
    <t>3. Bañar el pulpo con chimichurri verde y pesto.</t>
  </si>
  <si>
    <t>4. Decorar con brotes y tomate cherry.</t>
  </si>
  <si>
    <t>5. Ahumar</t>
  </si>
  <si>
    <t>1. Verter el arroz de coco en la cazuela de acero, aplanar y llevar a fuego hasta que forme una costra.</t>
  </si>
  <si>
    <t>2. Asar la tilapia, hacer la salsa al ajillo con los camarones, champiñón, pasta de ajo, desglasar con vino, agregar la mantequilla y crema de leche.</t>
  </si>
  <si>
    <t>1. Ubicar la tilapia sobre el arroz de coco previamente calentado en la cazuela.</t>
  </si>
  <si>
    <t>2. Bañar la tilapia con la salsa al ajillo y camarones, esparcir queso Parmesano.</t>
  </si>
  <si>
    <t>3. Decorar con brotes y tomate perla.</t>
  </si>
  <si>
    <t>1. Asar la tilapia.</t>
  </si>
  <si>
    <t>2. En un wok saltear los mariscos y vegetales, agregar pasta de ajo, crema de leche, almíbar, sal y balsámico; dejamos reducir un poco.</t>
  </si>
  <si>
    <t>3. En un bol mezclamos los tomates cherry, zanahoria, vinagreta y las hojas de mezclum.</t>
  </si>
  <si>
    <t>4. Llevar el pure a la manga pastelera (boquilla rizada)</t>
  </si>
  <si>
    <t>1. Ubicar la tilapia en un costado del plato y bañarla con la salsa de mariscos hecha en el wok.</t>
  </si>
  <si>
    <t xml:space="preserve">2. Sobre los lagrimales, ubicar las proteínas previamente preparadas en forma piramidal </t>
  </si>
  <si>
    <t>1. En un wok calentar la posta y la salsa previamente cocinada. </t>
  </si>
  <si>
    <t>2. Fritar patacones, realizar proceso de arroz de coco. </t>
  </si>
  <si>
    <t>3. Emplatar.</t>
  </si>
  <si>
    <t>1. En un plato pando, ubicar la posta y bañarla con su respectiva salsa. </t>
  </si>
  <si>
    <t>2. Montar arroz y patacones (poner suero costeño sobre los patacones "puntos") </t>
  </si>
  <si>
    <t>3. Esparcir cilantro en plus y decorar con tomates perla.</t>
  </si>
  <si>
    <t>1. Partir la porción de solomito en dos, albardar cada medallón, (clavar un palillo de dientes para evitar que se caiga la tocineta cuando lo asemos.</t>
  </si>
  <si>
    <t>2. Esparcir sal marina y asar según el termino requerido.</t>
  </si>
  <si>
    <t>3. Llevar el pure a la manga pastelera.</t>
  </si>
  <si>
    <t>4. En un bowl mezclar la ensalada y verter la vinagreta.</t>
  </si>
  <si>
    <t>5. Calentar salsa café.</t>
  </si>
  <si>
    <t>1. Con la ayuda de un tetero realizar círculos de salsa de café.</t>
  </si>
  <si>
    <t>2. Ubicar la ensalada, el pure lo pondremos realizando un espiral con la ayuda de la manga.</t>
  </si>
  <si>
    <t>3. Los medallones de solomito ven entre la ensalada y el pure, agregar salsa de café sobre este.</t>
  </si>
  <si>
    <t>1. Abrir la carne y asarla, asar mazorcas y vegetales.   </t>
  </si>
  <si>
    <t>2. Freir huevo y plátano   </t>
  </si>
  <si>
    <t>3. En un wok verter la crema de leche, pasta de ajo, parmesano soya, sal y la fécula de maíz previamente disuelta en un 15 ml de agua.</t>
  </si>
  <si>
    <t>4. Aplastar el plátano frito.   </t>
  </si>
  <si>
    <t>5. Emplatar.  </t>
  </si>
  <si>
    <t>1. En una parrilla redonda caliente centrar el plátano aplastado, sobre este la carne y seguido las rodajas de tomate y arroz de cebolla asados.</t>
  </si>
  <si>
    <t>2. En uno de los costados verter la salsa de queso y en el otro las mazorcas asadas.</t>
  </si>
  <si>
    <t>3. Ubicar el huevo sobre los vegetales asados y coronar con topping de puerro crocante.</t>
  </si>
  <si>
    <t>1. En un wok sellar la tocineta, agregar champiñón, arroz, crema de leche, parmesano y sal; mezclar todo.</t>
  </si>
  <si>
    <t>2. Asar el solomito y acentuarlo con sal marina.</t>
  </si>
  <si>
    <t>3. Llevar los ingredientes de la salsa a fuego, cocinar hasta punto de napa.</t>
  </si>
  <si>
    <t>1. Con la salsa de maracuyá tapizar un lagrimal acompañado de puntos a lo largo de la misma, reforzar los puntos con la salsa parrillera</t>
  </si>
  <si>
    <t>2. Ubicar el arroz, sobre este el solomito, bañar el solomito con la salsa y coronar con topping de puerro crocante.</t>
  </si>
  <si>
    <t>1. Asar el lomo</t>
  </si>
  <si>
    <t>2. En un wok llevar el arroz, almíbar, crema de leche, reducción de corozo, pasta de rocoto, queso parmesano hasta que tener el punto de cremosidad.</t>
  </si>
  <si>
    <t>3. Realizar la ensalada con la cebolla morada.</t>
  </si>
  <si>
    <t>1. Realizar líneas abstractas con reducción de balsámico, aceite achotado y salsa de cilantro.</t>
  </si>
  <si>
    <t>2. Ubicar el arroz en el centro del plato y sobre este reposar el solomito previamente asado.</t>
  </si>
  <si>
    <t>3. Coronamos con la ensalada y decoramos con brotes.</t>
  </si>
  <si>
    <t>1. Realizar decoración en forma de lagrimales.</t>
  </si>
  <si>
    <t>2. Poner el puré en tres partes y sobre este el lomo previamente cortado y asado.</t>
  </si>
  <si>
    <t>3. ubicar los chips de yuca y la ensalada.</t>
  </si>
  <si>
    <t>1. Calentamos las costillas en el horno hasta que doren un poco, (estas deben estar previamente cocidas).</t>
  </si>
  <si>
    <t>2. Cortar el tomate en cascos y saltear, agregar chimichurris y retirar del fuego. (fritar las papas francesas o casco "opcional").</t>
  </si>
  <si>
    <t>3. Llevar el puré a una manga pastelera con una boquilla rizada</t>
  </si>
  <si>
    <t>1. Ubicar la costilla, cascos de tomate, por aparte con la ayuda de la manga pastelera el puré (si las costillas van con papas, acompañarlas de salsa de tomate</t>
  </si>
  <si>
    <t>2. Verter el triplec en la salsera y darle 10 segundos en el micro.</t>
  </si>
  <si>
    <t>2. Cortar el tomate en cascos y saltearlo, agregar chimichurris y retirar del fuego. (fritar las papas francesas o casco "opcional").</t>
  </si>
  <si>
    <t>3. Llevar el pure a una manga pastelera con una boquilla rizada</t>
  </si>
  <si>
    <t>1. Ubicar la costilla, cascos de tomate, por aparte con la ayuda de la manga pastelera el pure (o las papas opcionales).</t>
  </si>
  <si>
    <t>2. Ahumar</t>
  </si>
  <si>
    <t>1. Asar el solomito y acentuarlo con sal marina.</t>
  </si>
  <si>
    <t>2. En un wok saltear los vegetales incorporándose, sal </t>
  </si>
  <si>
    <t>3. Verter en un sartén la crema de leche, soya, parmesano, sal,  togarashi, sriracha, dejar reducir hasta punto de  napa.</t>
  </si>
  <si>
    <t>4. Emplatar.</t>
  </si>
  <si>
    <t>1. Hidratar la harina pan con agua tibia y amasar.</t>
  </si>
  <si>
    <t>2. Fritar plátano maduro.</t>
  </si>
  <si>
    <t>3. Dividir la masa en dos, con la ayuda de la pataconera estripar, sobre esto poner el maduro frito y estripado, la carne desmechada, con la otra mitad de la masa usar como tapa.</t>
  </si>
  <si>
    <t>4. Saltear los camarones y vegetales, agregar pasta de ajo, crema de leche, soya, parmesano; reducir hasta punto de napa.</t>
  </si>
  <si>
    <t xml:space="preserve">5. Gratinar el queso mozzarella, fritar arepa rellena.   </t>
  </si>
  <si>
    <t>1. En una parrilla redonda verter la salsa con los camarones de forma de espejo, sobre este ubicar la arepa.</t>
  </si>
  <si>
    <t>2. Cubrir arepa con la mozzarella gratinado, coronar con puerro crocante, alrededor poner puntos de suero costeño.</t>
  </si>
  <si>
    <t>3. Esparcir cilantro en plus.</t>
  </si>
  <si>
    <t>1. Saltear los mariscos y vegetales, agregar pasta de ajo y seguido a esto incorporamos los líquidos (crema de leche, soya, vino blanco).</t>
  </si>
  <si>
    <t>2. Agregar el parmesano (reservar 5 gr de parmesano para emplatar), pasta cocida. </t>
  </si>
  <si>
    <t>3. Desmechar el kanikama, agregarle vinagreta.</t>
  </si>
  <si>
    <t xml:space="preserve">4. Emplatar. </t>
  </si>
  <si>
    <t>1. En un plato hondo servimos las pastas en forma de pirámide. </t>
  </si>
  <si>
    <t>2. Esparcimos queso parmesano y terminamos con topping de kanikama y vinagreta.</t>
  </si>
  <si>
    <t>1. llevar los rollos a fritura               </t>
  </si>
  <si>
    <t>2. Cortar las fresas en casco    </t>
  </si>
  <si>
    <t>3. Cortar en diagonal los rollos   </t>
  </si>
  <si>
    <t>1. Con la tierra de brownie dividir el plato en dos, ubicar los helados sobre esta.   </t>
  </si>
  <si>
    <t xml:space="preserve">2. Ubicar los rollitos entre las bolas de helado, decorar con azúcar glas cubriendo solo la mitad del plato, decorar con hierbabuena y puntos de salsa </t>
  </si>
  <si>
    <t>1. Cortar la fresa en abanico.</t>
  </si>
  <si>
    <t>1. Con la ayuda de una manga pastelera ubicar un punto de crema en el centro del plato, sobre este una hojuela, cubrir con arequipe y banano laminado, seguido de esto otra hojuela, cubrir esta con crema pastelera la fresa en almíbar, poner otra hojuela como tapa. </t>
  </si>
  <si>
    <t>2. Con la ayuda de una manga pastelera y una boquilla rizada, realizar puntos sobre la milhoja</t>
  </si>
  <si>
    <t>3. Esparcir azúcar gla</t>
  </si>
  <si>
    <t>4. Ubicar la fresa en el centro de la milhoja al igual que la hierba buena</t>
  </si>
  <si>
    <t xml:space="preserve">1. Llevar los brownies al microondas por 30 seg   </t>
  </si>
  <si>
    <t>1. Realizar círculos con las salsas de frutos rojos y amarillos</t>
  </si>
  <si>
    <t>2. Esparcir tierra de brownie sobre el plato</t>
  </si>
  <si>
    <t>3. Ubicar los brownies en forma lineal, ubicar una bola de helado sobre cada uno, clavar las decoraciones de chocolate y hierbabuena.</t>
  </si>
  <si>
    <t>2. Rallar corteza de limón</t>
  </si>
  <si>
    <t>1. Remojamos el bizcochuelo con la mezcla de coco</t>
  </si>
  <si>
    <t>1. En la totuma colocamos el bizcocho remojado, cubrimos con el cheesecake, colocamos una bola de helado.</t>
  </si>
  <si>
    <t>2.Decoramos con rayadura de Limón, flores comestibles.</t>
  </si>
  <si>
    <t>1. Después de tener los buñuelos fritos y estripados, realizar circunferencias con los frutos rojos y amarillos</t>
  </si>
  <si>
    <t>2. en el centro ubicar los buñuelos y poner entre capas el arequipe, finalizar con la fresa, helado de natilla y azúcar glas.</t>
  </si>
  <si>
    <t>1. Llevar el chicharrón al horno, pasar el camote por la mandolina para lograr unas rebanadas finas que llevaremos a fritura profunda hasta que estén crocantes</t>
  </si>
  <si>
    <t>2. Cortar el pan en forma horizontal y llevarlo al horno por 1 minuto, rebanar el chicharrón después de horneado</t>
  </si>
  <si>
    <t>3. Mezclar la cebolla en juliana, ají dulce, ajinomoto, limón</t>
  </si>
  <si>
    <t>4. Laminar el aguacate.</t>
  </si>
  <si>
    <t>1. Poner una capa sobre el pan de chips de camote, sobre estos el chicharrón y la mezcla de la cebolla en julianas y terminamos con la tapa de pan.</t>
  </si>
  <si>
    <t xml:space="preserve">2. Cortar el sándwich en forma diagonal, realizar una circunferencia con la salsa acevichada y dentro de esta ubicar el sanduche. </t>
  </si>
  <si>
    <t xml:space="preserve">3. ubicar el aguacate laminado y la ensalada de mezclum </t>
  </si>
  <si>
    <t>4. Decorar con brotes y tomate perla.</t>
  </si>
  <si>
    <t xml:space="preserve">1. Encontrar el solomito con el romero, tomillo, orégano, comino y sellarlo. Una vez sellado rebanar finamente. </t>
  </si>
  <si>
    <t xml:space="preserve">2. Cortar el pan en forma horizontal, y poner el solomillo laminado, cubrirlo con queso mozzarella y parmesano, ubicar los tomates cherry sobre el queso, terminar con la otra tapa de pan y llevar al horno por 2 minutos. </t>
  </si>
  <si>
    <t>3. Incorporar la vinagreta al mézclum.</t>
  </si>
  <si>
    <t>1. Cortar el sándwich en forma diagonal, realizar una circunferencia con la salsa parrillera y dentro de esta ubicar el sanduche.</t>
  </si>
  <si>
    <t>2. Poner puntos de aceite achiotado y pesto de forma abstracta, ubicar la ensalada </t>
  </si>
  <si>
    <t xml:space="preserve">3. Decorar con brotes y tomate perla. </t>
  </si>
  <si>
    <t xml:space="preserve">1. Llevar el pan al horno por un minuto </t>
  </si>
  <si>
    <t>2. En un wok incorporar la costilla previamente desmechada, cebolla junca, cebolla juliana, tomate chonto en juliana, ajo, aceite achiote, cilantro, sal y comino.</t>
  </si>
  <si>
    <t>3. Freir huevo y puerro.</t>
  </si>
  <si>
    <t xml:space="preserve">4. Flamear los duraznos </t>
  </si>
  <si>
    <t>5. Laminar el aguacate</t>
  </si>
  <si>
    <t>1. Realizar círculos con la salsa criolla, un lagrimal con la salsa parrillera acompañado de puntos con esta misma</t>
  </si>
  <si>
    <t>2. Ubicar el pan, sobre este la mezcla obtenida en el wok, el aguacate</t>
  </si>
  <si>
    <t>3. Seguido de esto el huevo, los duraznos y finalizamos con puerro crocante.</t>
  </si>
  <si>
    <t>1. Disponer de la sobrebarriga cocinada y desmechada, llevarla a un wok y saltearla con la salsa criolla.</t>
  </si>
  <si>
    <t xml:space="preserve">2. Gratinar el queso mozzarella </t>
  </si>
  <si>
    <t>3. Freír los huevos en la cacerola juntos</t>
  </si>
  <si>
    <t>4. Cortar Cherry por la mitad, realizar una flor con el aguacate</t>
  </si>
  <si>
    <t>1. En una cacerola de hierro colocar los nachos como base, sobre estos la sobrebarriga cubriendo esta con el mozzarella fundido, esparcir queso costeño rayado.</t>
  </si>
  <si>
    <t>2. Poner los huevos, la flor de aguacate.</t>
  </si>
  <si>
    <t>3. ubicar topping de puerro crocante y mézclum, finalizar esparciendo maíz dulce y los Cherry por mitad.</t>
  </si>
  <si>
    <t>1. Cubrir el huevo con vinipel (sin cáscara</t>
  </si>
  <si>
    <t>3.  con una gota de aceite y sumergirlo en agua caliente sin que llegue a ebullición, "huevos pochados"</t>
  </si>
  <si>
    <t xml:space="preserve">4. Llevar a fritura profunda el tocino (chicharrón) a 160 grados centígrados </t>
  </si>
  <si>
    <t>5. Con el parmesano, crema de leche, soya realizar una salsa hasta punto de napa.</t>
  </si>
  <si>
    <t>6. Calentar el wafle por un minuto en el microondas</t>
  </si>
  <si>
    <t>1. Formar círculos con la salsa de pimientos y ubicar el wafle en el centro, sobre este el huevo el cual se bañará con la salsa realizada anteriormente.</t>
  </si>
  <si>
    <t>2. Ubicar el aguacate y tocino, esparcir ajonjolí negro y finalizar con topping de mézclum</t>
  </si>
  <si>
    <t>3. Decoramos con flores y brotes</t>
  </si>
  <si>
    <t>1. Picar la fruta en media luna, la fresa realizarle corte de abanico.</t>
  </si>
  <si>
    <t>1. En un plato hondo, poner la granola como base, seguido de esto la fruta y decorar con hierba buena.</t>
  </si>
  <si>
    <t>2. Servir por aparte el yogur</t>
  </si>
  <si>
    <t>1. Picar la fresa y el mango en brunoise, en un bol mezclar mango y fresa picados con el queso crema</t>
  </si>
  <si>
    <t>2. Picar una fresa en casco por y reservar para el montaje</t>
  </si>
  <si>
    <t>3. Realizar una tempura de leche, huevo, sal, azúcar y esencia de vainilla</t>
  </si>
  <si>
    <t>4. Untar un pan con le mezcla de queso crema y fruta, poner otro pan de tapa, pasarlos por la tempura, y llevarlos a fritura profunda.</t>
  </si>
  <si>
    <t xml:space="preserve">Después de frita cortar de una esquina a otra, formando 4 triángulos. </t>
  </si>
  <si>
    <t>1. Ubicar los triángulos de tostadas en forma lineal, con ayuda de un colador esparcir el azúcar glas por todo el plato.</t>
  </si>
  <si>
    <t>2. Decoramos con las fresas en casco, arándanos, flores comestibles y hierba buena.</t>
  </si>
  <si>
    <t>3. Verter la miel en una salsera y ponerla como acompañante.</t>
  </si>
  <si>
    <t>1. En la batidora montar la crema whip topping y llevarla a una manga con boquilla rizada.</t>
  </si>
  <si>
    <t>2. En una sartén precalentada mezclar la leche de coco y la miel de maple.</t>
  </si>
  <si>
    <t>1. Con la ayuda de la manga realizar un punto en el centro del plato, sobre este poner uno de os pancakes, seguido de otro punto de crema sobre este, realizar este proceso con los pancakes restantes formando una torre.</t>
  </si>
  <si>
    <t>2. Esparcir tierra de brownie, arándanos y azúcar xxx</t>
  </si>
  <si>
    <t>3. Verter la miel de maple y coco en una salsera.</t>
  </si>
  <si>
    <t>4. Terminar con crema, hierba buena y decoración de chocolate.</t>
  </si>
  <si>
    <t>1. Llevar a fritura profunda la tocineta a 160 grados centígrados</t>
  </si>
  <si>
    <t xml:space="preserve">2. Cocinar los huevos poche y realizar la salsa con crema de leche, soya, parmesano Hasta punto de napa. </t>
  </si>
  <si>
    <t xml:space="preserve">Llevar el pan al horno por un minuto, realizar una flor con el aguacate. </t>
  </si>
  <si>
    <t>1. Ubicar el pan en el centro del plato, sobre este los dos huevos poche.</t>
  </si>
  <si>
    <t xml:space="preserve">2. Bañar los huevos con la salsa de queso, poner la tocineta </t>
  </si>
  <si>
    <t>3. Decorar con brotes, flores comestibles y tomate perla.</t>
  </si>
  <si>
    <t>1. Desmechar la posta y cocinarla en du salsa</t>
  </si>
  <si>
    <t>2. Llevar el pan al horno</t>
  </si>
  <si>
    <t>3. Temporizar el mézclum y llevarlo a fritura</t>
  </si>
  <si>
    <t>4. Despelucar tomates Cherry</t>
  </si>
  <si>
    <t>1. Realizar líneas con las salsas (pesto, aceite achotado y reducción balsámica)</t>
  </si>
  <si>
    <t>2. Hacer un lagrimal con suero costeño seguido de puntos a cada costado del lagrimal.</t>
  </si>
  <si>
    <t>3. Ubicar el pan al lado del lagrimal, sobre este la posta anteriormente desmechada y cocinada, cubrirla con el queso gratinado.</t>
  </si>
  <si>
    <t xml:space="preserve">4. Gratinar queso mozzarella </t>
  </si>
  <si>
    <t xml:space="preserve">4. Decoramos con hojas de cilantro, tomates Cherry despelucados y mézclum temporizada. </t>
  </si>
  <si>
    <t>1. Mezclar harina pan, pasta de ajo, sal, 40 gramos de queso costeño, el queso mozzarella y amasar hasta que este homogéneo. Llevar asar.</t>
  </si>
  <si>
    <t>2. Picar el chorizo y sofreírlo con el hogao.</t>
  </si>
  <si>
    <t>3. Fritas huevo.</t>
  </si>
  <si>
    <t>1. Realizar una circunferencia con el suero costeño, ubicar la arepa en el centro.</t>
  </si>
  <si>
    <t xml:space="preserve">2. Agregar el guacamole sobre la arepa y luego el huevo. </t>
  </si>
  <si>
    <t>3. Coronar con la preparación del chorizo y el hogao.</t>
  </si>
  <si>
    <t>4. Rallar queso costeño sobre el plato y decorar con brotes.</t>
  </si>
  <si>
    <t>5. Llevar la cacerola a gratinar en el horno por un periodo de 3 minutos.</t>
  </si>
  <si>
    <t>1.Llevar a un bol los huevos y la salsa holandesa, leche, batir y bertir en la cacerola, rallar queso encima y  llevar al horno  cocinando  hasta que este esponjoso</t>
  </si>
  <si>
    <t>2. picar el chorizo y saltearlo con el hogao, fritar la tocineta, prepara ensalada de aguacate, cebolla, cilantro, sal, limon. </t>
  </si>
  <si>
    <t>3. untar el pan de mantequilla y meter al horno y emplatar</t>
  </si>
  <si>
    <t>1.Pochar lo huevos, untar el pan de mantequilla y llevar al horno, disponer da la salsa holandesa.</t>
  </si>
  <si>
    <t>1.Partir el pan artellano por la mitad, untar de mantequilla y sellar. laminar el aguacate, fritar el huevo y el queso costeño</t>
  </si>
  <si>
    <t xml:space="preserve">2. disponer de los damas ingredientes y emplatar. </t>
  </si>
  <si>
    <t>1. Untar el pan con mantequilla y llevarlo al horno, </t>
  </si>
  <si>
    <t>2. Emplatar en el siguiente orden: pan, guacamole, burrata, rosear tocineta, queso costeño rayado, reduccion de balsamico, aceite trufado, decoramos con flores y brotes</t>
  </si>
  <si>
    <t>3. no olvidar el lagrimal de queso costeño y los puntos de mayonesa de maracuya</t>
  </si>
  <si>
    <t>1.Partir los panes por la mitad, pochar un huevo, fraitar el uoro y el ultimo lo hacemos en aceite trufado. fritar la tocineta y picarla</t>
  </si>
  <si>
    <t>2.Ensamblar los sanduches salsa acevivhada en las tapas de los panes, huevos, queso momposino.</t>
  </si>
  <si>
    <t>3. Emplatar</t>
  </si>
  <si>
    <t>1.Llevar todos los ingredientes a una olla y cocinar por expansión a fuego bajo durante una hora y media, retirar del fuego y tamizar en un colador fino</t>
  </si>
  <si>
    <t xml:space="preserve">2. Dejar enfriar y reservar en refrigeración </t>
  </si>
  <si>
    <t>1.Desvenar el rocoto, retirarle las semillas y lavar, pelar el jengibre y trocear  junto con el cilantro, apio y pescado, llevar todo a un bol junto con los demás ingredientes y dejar marinar 10 segundos</t>
  </si>
  <si>
    <t xml:space="preserve">2.Llevar todo a la licuadora y procesar por 10 segundos tamizar por un colador fino y reservar en refrigeración </t>
  </si>
  <si>
    <t xml:space="preserve">1. En un bowl, batir el zumo de limón y el ajinomoto, hasta que la mezcla se torne blanca, agregar sal pimienta, para finalizar </t>
  </si>
  <si>
    <r>
      <rPr>
        <b/>
        <sz val="10"/>
        <color theme="1"/>
        <rFont val="Arial"/>
        <family val="2"/>
      </rPr>
      <t>Nota:</t>
    </r>
    <r>
      <rPr>
        <sz val="10"/>
        <color theme="1"/>
        <rFont val="Arial"/>
        <family val="2"/>
      </rPr>
      <t xml:space="preserve"> No agregar sal y pimienta antes de blanquear la mezcla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</si>
</sst>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164" formatCode="_-&quot;$&quot;\ * #,##0_-;\-&quot;$&quot;\ * #,##0_-;_-&quot;$&quot;\ * &quot;-&quot;??_-;_-@_-"/>
    <numFmt numFmtId="165" formatCode="[$-10C0A]#,##0.000;\(#,##0.000\)"/>
    <numFmt numFmtId="166" formatCode="[$-10C0A]#,##0.000;\-#,##0.000"/>
    <numFmt numFmtId="167" formatCode="0.0"/>
    <numFmt numFmtId="168" formatCode="_ &quot;$&quot;\ * #,##0_ ;_ &quot;$&quot;\ * \-#,##0_ ;_ &quot;$&quot;\ * &quot;-&quot;_ ;_ @_ "/>
    <numFmt numFmtId="169" formatCode="_ &quot;$&quot;\ * #,##0.00_ ;_ &quot;$&quot;\ * \-#,##0.00_ ;_ &quot;$&quot;\ * &quot;-&quot;??_ ;_ @_ "/>
    <numFmt numFmtId="170" formatCode="[$-10C0A]#,##0;\(#,##0\)"/>
  </numFmts>
  <fonts count="28" x14ac:knownFonts="1">
    <font>
      <sz val="11"/>
      <color theme="1"/>
      <name val="Calibri"/>
      <family val="2"/>
      <scheme val="minor"/>
    </font>
    <font>
      <sz val="11"/>
      <color theme="1"/>
      <name val="Calibri"/>
      <family val="2"/>
      <scheme val="minor"/>
    </font>
    <font>
      <sz val="11"/>
      <color theme="1"/>
      <name val="Arial"/>
      <family val="2"/>
    </font>
    <font>
      <u/>
      <sz val="11"/>
      <color theme="10"/>
      <name val="Calibri"/>
      <family val="2"/>
      <scheme val="minor"/>
    </font>
    <font>
      <sz val="10"/>
      <color theme="1"/>
      <name val="Arial"/>
      <family val="2"/>
    </font>
    <font>
      <b/>
      <sz val="10"/>
      <color rgb="FF000000"/>
      <name val="Arial"/>
      <family val="2"/>
    </font>
    <font>
      <sz val="10"/>
      <name val="Arial"/>
      <family val="2"/>
    </font>
    <font>
      <b/>
      <sz val="10"/>
      <name val="Arial"/>
      <family val="2"/>
    </font>
    <font>
      <sz val="10"/>
      <color rgb="FF000000"/>
      <name val="Arial"/>
      <family val="2"/>
    </font>
    <font>
      <sz val="11"/>
      <name val="Arial"/>
      <family val="2"/>
    </font>
    <font>
      <b/>
      <sz val="10"/>
      <color theme="0"/>
      <name val="Arial"/>
      <family val="2"/>
    </font>
    <font>
      <b/>
      <sz val="9"/>
      <color indexed="81"/>
      <name val="Tahoma"/>
      <family val="2"/>
    </font>
    <font>
      <sz val="9"/>
      <color indexed="81"/>
      <name val="Tahoma"/>
      <family val="2"/>
    </font>
    <font>
      <sz val="10"/>
      <color theme="0"/>
      <name val="Arial"/>
      <family val="2"/>
    </font>
    <font>
      <sz val="11"/>
      <name val="Calibri"/>
      <family val="2"/>
    </font>
    <font>
      <sz val="10"/>
      <color rgb="FFFF0000"/>
      <name val="Arial"/>
      <family val="2"/>
    </font>
    <font>
      <sz val="8"/>
      <name val="Calibri"/>
      <family val="2"/>
      <scheme val="minor"/>
    </font>
    <font>
      <b/>
      <sz val="12"/>
      <color rgb="FF000000"/>
      <name val="Arial"/>
      <family val="2"/>
    </font>
    <font>
      <b/>
      <sz val="11"/>
      <color rgb="FF000000"/>
      <name val="Arial"/>
      <family val="2"/>
    </font>
    <font>
      <b/>
      <sz val="11"/>
      <name val="Arial"/>
      <family val="2"/>
    </font>
    <font>
      <sz val="11"/>
      <color rgb="FF000000"/>
      <name val="Arial"/>
      <family val="2"/>
    </font>
    <font>
      <sz val="11"/>
      <color theme="0"/>
      <name val="Arial"/>
      <family val="2"/>
    </font>
    <font>
      <b/>
      <sz val="11"/>
      <color theme="0"/>
      <name val="Arial"/>
      <family val="2"/>
    </font>
    <font>
      <sz val="10"/>
      <color rgb="FFFFFFFF"/>
      <name val="Arial"/>
      <family val="2"/>
    </font>
    <font>
      <u/>
      <sz val="10"/>
      <color theme="0"/>
      <name val="Arial"/>
      <family val="2"/>
    </font>
    <font>
      <b/>
      <sz val="10"/>
      <color theme="1"/>
      <name val="Arial"/>
      <family val="2"/>
    </font>
    <font>
      <b/>
      <sz val="11"/>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rgb="FFFF0000"/>
        <bgColor indexed="64"/>
      </patternFill>
    </fill>
    <fill>
      <patternFill patternType="solid">
        <fgColor theme="9"/>
        <bgColor indexed="64"/>
      </patternFill>
    </fill>
    <fill>
      <patternFill patternType="solid">
        <fgColor theme="2" tint="-0.499984740745262"/>
        <bgColor indexed="64"/>
      </patternFill>
    </fill>
    <fill>
      <patternFill patternType="solid">
        <fgColor theme="1"/>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indexed="64"/>
      </patternFill>
    </fill>
  </fills>
  <borders count="38">
    <border>
      <left/>
      <right/>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bottom style="thin">
        <color indexed="64"/>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D3D3D3"/>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top style="medium">
        <color indexed="64"/>
      </top>
      <bottom/>
      <diagonal/>
    </border>
    <border>
      <left style="thin">
        <color rgb="FFD3D3D3"/>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style="medium">
        <color indexed="64"/>
      </left>
      <right/>
      <top style="medium">
        <color indexed="64"/>
      </top>
      <bottom style="thin">
        <color rgb="FFD3D3D3"/>
      </bottom>
      <diagonal/>
    </border>
    <border>
      <left/>
      <right/>
      <top style="medium">
        <color indexed="64"/>
      </top>
      <bottom style="thin">
        <color rgb="FFD3D3D3"/>
      </bottom>
      <diagonal/>
    </border>
    <border>
      <left style="medium">
        <color indexed="64"/>
      </left>
      <right style="thin">
        <color rgb="FFD3D3D3"/>
      </right>
      <top style="thin">
        <color rgb="FFD3D3D3"/>
      </top>
      <bottom style="thin">
        <color rgb="FFD3D3D3"/>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rgb="FFD3D3D3"/>
      </top>
      <bottom/>
      <diagonal/>
    </border>
    <border>
      <left style="medium">
        <color indexed="64"/>
      </left>
      <right/>
      <top style="thin">
        <color indexed="64"/>
      </top>
      <bottom/>
      <diagonal/>
    </border>
    <border>
      <left/>
      <right style="medium">
        <color indexed="64"/>
      </right>
      <top style="thin">
        <color indexed="64"/>
      </top>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168" fontId="6" fillId="0" borderId="0" applyFill="0" applyBorder="0" applyAlignment="0" applyProtection="0"/>
    <xf numFmtId="169" fontId="6" fillId="0" borderId="0" applyFill="0" applyBorder="0" applyAlignment="0" applyProtection="0"/>
    <xf numFmtId="44" fontId="1" fillId="0" borderId="0" applyFont="0" applyFill="0" applyBorder="0" applyAlignment="0" applyProtection="0"/>
  </cellStyleXfs>
  <cellXfs count="407">
    <xf numFmtId="0" fontId="0" fillId="0" borderId="0" xfId="0"/>
    <xf numFmtId="0" fontId="5" fillId="2" borderId="1" xfId="0" applyFont="1" applyFill="1" applyBorder="1" applyAlignment="1">
      <alignment horizontal="center" vertical="top" readingOrder="1"/>
    </xf>
    <xf numFmtId="0" fontId="5" fillId="2" borderId="2" xfId="0" applyFont="1" applyFill="1" applyBorder="1" applyAlignment="1">
      <alignment vertical="top" readingOrder="1"/>
    </xf>
    <xf numFmtId="164" fontId="5" fillId="2" borderId="2" xfId="1" applyNumberFormat="1" applyFont="1" applyFill="1" applyBorder="1" applyAlignment="1">
      <alignment vertical="top" readingOrder="1"/>
    </xf>
    <xf numFmtId="0" fontId="6" fillId="3" borderId="0" xfId="0" applyFont="1" applyFill="1"/>
    <xf numFmtId="0" fontId="5" fillId="4" borderId="4" xfId="0" applyFont="1" applyFill="1" applyBorder="1" applyAlignment="1">
      <alignment horizontal="center" vertical="top" readingOrder="1"/>
    </xf>
    <xf numFmtId="1" fontId="5" fillId="4" borderId="4" xfId="0" applyNumberFormat="1" applyFont="1" applyFill="1" applyBorder="1" applyAlignment="1">
      <alignment horizontal="center" vertical="center" readingOrder="1"/>
    </xf>
    <xf numFmtId="164" fontId="5" fillId="4" borderId="4" xfId="1" applyNumberFormat="1" applyFont="1" applyFill="1" applyBorder="1" applyAlignment="1">
      <alignment horizontal="center" vertical="top" readingOrder="1"/>
    </xf>
    <xf numFmtId="0" fontId="6" fillId="3" borderId="5" xfId="0" applyFont="1" applyFill="1" applyBorder="1"/>
    <xf numFmtId="164" fontId="6" fillId="3" borderId="5" xfId="1" applyNumberFormat="1" applyFont="1" applyFill="1" applyBorder="1" applyAlignment="1"/>
    <xf numFmtId="0" fontId="8" fillId="3" borderId="4" xfId="0" applyFont="1" applyFill="1" applyBorder="1" applyAlignment="1">
      <alignment vertical="top" readingOrder="1"/>
    </xf>
    <xf numFmtId="165" fontId="8" fillId="3" borderId="4" xfId="0" applyNumberFormat="1" applyFont="1" applyFill="1" applyBorder="1" applyAlignment="1">
      <alignment horizontal="center" vertical="center" wrapText="1" readingOrder="1"/>
    </xf>
    <xf numFmtId="1" fontId="8" fillId="2" borderId="4" xfId="0" applyNumberFormat="1" applyFont="1" applyFill="1" applyBorder="1" applyAlignment="1">
      <alignment horizontal="center" vertical="center" wrapText="1" readingOrder="1"/>
    </xf>
    <xf numFmtId="164" fontId="8" fillId="3" borderId="4" xfId="1" applyNumberFormat="1" applyFont="1" applyFill="1" applyBorder="1" applyAlignment="1">
      <alignment vertical="top" wrapText="1" readingOrder="1"/>
    </xf>
    <xf numFmtId="164" fontId="8" fillId="3" borderId="1" xfId="1" applyNumberFormat="1" applyFont="1" applyFill="1" applyBorder="1" applyAlignment="1">
      <alignment vertical="top" wrapText="1" readingOrder="1"/>
    </xf>
    <xf numFmtId="164" fontId="6" fillId="3" borderId="5" xfId="1" applyNumberFormat="1" applyFont="1" applyFill="1" applyBorder="1"/>
    <xf numFmtId="0" fontId="10" fillId="4" borderId="4" xfId="0" applyFont="1" applyFill="1" applyBorder="1" applyAlignment="1">
      <alignment horizontal="center" vertical="top" readingOrder="1"/>
    </xf>
    <xf numFmtId="1" fontId="10" fillId="4" borderId="4" xfId="0" applyNumberFormat="1" applyFont="1" applyFill="1" applyBorder="1" applyAlignment="1">
      <alignment horizontal="center" vertical="center" readingOrder="1"/>
    </xf>
    <xf numFmtId="164" fontId="10" fillId="4" borderId="4" xfId="0" applyNumberFormat="1" applyFont="1" applyFill="1" applyBorder="1" applyAlignment="1">
      <alignment horizontal="center" vertical="top" readingOrder="1"/>
    </xf>
    <xf numFmtId="0" fontId="5" fillId="2" borderId="1" xfId="0" applyFont="1" applyFill="1" applyBorder="1" applyAlignment="1">
      <alignment horizontal="left" vertical="top" readingOrder="1"/>
    </xf>
    <xf numFmtId="0" fontId="13" fillId="5" borderId="5" xfId="0" applyFont="1" applyFill="1" applyBorder="1"/>
    <xf numFmtId="164" fontId="13" fillId="5" borderId="5" xfId="1" applyNumberFormat="1" applyFont="1" applyFill="1" applyBorder="1"/>
    <xf numFmtId="9" fontId="9" fillId="3" borderId="5" xfId="2" applyFont="1" applyFill="1" applyBorder="1"/>
    <xf numFmtId="164" fontId="9" fillId="3" borderId="5" xfId="0" applyNumberFormat="1" applyFont="1" applyFill="1" applyBorder="1"/>
    <xf numFmtId="166" fontId="8" fillId="0" borderId="4" xfId="4" applyNumberFormat="1" applyFont="1" applyBorder="1" applyAlignment="1">
      <alignment vertical="top" readingOrder="1"/>
    </xf>
    <xf numFmtId="2" fontId="9" fillId="3" borderId="5" xfId="0" applyNumberFormat="1" applyFont="1" applyFill="1" applyBorder="1"/>
    <xf numFmtId="164" fontId="6" fillId="3" borderId="0" xfId="1" applyNumberFormat="1" applyFont="1" applyFill="1"/>
    <xf numFmtId="0" fontId="14" fillId="0" borderId="0" xfId="0" applyFont="1"/>
    <xf numFmtId="0" fontId="0" fillId="3" borderId="0" xfId="0" applyFill="1"/>
    <xf numFmtId="9" fontId="0" fillId="0" borderId="0" xfId="2" applyFont="1"/>
    <xf numFmtId="0" fontId="15" fillId="3" borderId="4" xfId="0" applyFont="1" applyFill="1" applyBorder="1" applyAlignment="1">
      <alignment vertical="top" readingOrder="1"/>
    </xf>
    <xf numFmtId="2" fontId="9" fillId="3" borderId="0" xfId="0" applyNumberFormat="1" applyFont="1" applyFill="1"/>
    <xf numFmtId="0" fontId="10" fillId="3" borderId="1" xfId="0" applyFont="1" applyFill="1" applyBorder="1" applyAlignment="1">
      <alignment horizontal="center" vertical="top" readingOrder="1"/>
    </xf>
    <xf numFmtId="1" fontId="10" fillId="3" borderId="2" xfId="0" applyNumberFormat="1" applyFont="1" applyFill="1" applyBorder="1" applyAlignment="1">
      <alignment horizontal="center" vertical="center" readingOrder="1"/>
    </xf>
    <xf numFmtId="164" fontId="10" fillId="3" borderId="2" xfId="0" applyNumberFormat="1" applyFont="1" applyFill="1" applyBorder="1" applyAlignment="1">
      <alignment horizontal="center" vertical="top" readingOrder="1"/>
    </xf>
    <xf numFmtId="0" fontId="14" fillId="3" borderId="0" xfId="0" applyFont="1" applyFill="1"/>
    <xf numFmtId="164" fontId="6" fillId="3" borderId="0" xfId="1" applyNumberFormat="1" applyFont="1" applyFill="1" applyBorder="1"/>
    <xf numFmtId="0" fontId="8" fillId="2" borderId="4" xfId="0" applyFont="1" applyFill="1" applyBorder="1" applyAlignment="1">
      <alignment horizontal="center" vertical="center" wrapText="1" readingOrder="1"/>
    </xf>
    <xf numFmtId="0" fontId="6" fillId="3" borderId="3" xfId="0" applyFont="1" applyFill="1" applyBorder="1"/>
    <xf numFmtId="164" fontId="9" fillId="3" borderId="3" xfId="0" applyNumberFormat="1" applyFont="1" applyFill="1" applyBorder="1"/>
    <xf numFmtId="0" fontId="4" fillId="0" borderId="0" xfId="0" applyFont="1"/>
    <xf numFmtId="9" fontId="6" fillId="3" borderId="5" xfId="2" applyFont="1" applyFill="1" applyBorder="1"/>
    <xf numFmtId="164" fontId="6" fillId="3" borderId="5" xfId="0" applyNumberFormat="1" applyFont="1" applyFill="1" applyBorder="1"/>
    <xf numFmtId="2" fontId="6" fillId="3" borderId="5" xfId="0" applyNumberFormat="1" applyFont="1" applyFill="1" applyBorder="1"/>
    <xf numFmtId="2" fontId="6" fillId="3" borderId="0" xfId="0" applyNumberFormat="1" applyFont="1" applyFill="1"/>
    <xf numFmtId="0" fontId="2" fillId="3" borderId="5" xfId="0" applyFont="1" applyFill="1" applyBorder="1" applyAlignment="1">
      <alignment vertical="center"/>
    </xf>
    <xf numFmtId="167" fontId="8" fillId="2" borderId="4" xfId="0" applyNumberFormat="1" applyFont="1" applyFill="1" applyBorder="1" applyAlignment="1">
      <alignment horizontal="center" vertical="center" wrapText="1" readingOrder="1"/>
    </xf>
    <xf numFmtId="9" fontId="0" fillId="0" borderId="0" xfId="0" applyNumberFormat="1"/>
    <xf numFmtId="164" fontId="6" fillId="3" borderId="0" xfId="1" applyNumberFormat="1" applyFont="1" applyFill="1" applyBorder="1" applyAlignment="1"/>
    <xf numFmtId="164" fontId="8" fillId="3" borderId="0" xfId="1" applyNumberFormat="1" applyFont="1" applyFill="1" applyBorder="1" applyAlignment="1">
      <alignment vertical="top" wrapText="1" readingOrder="1"/>
    </xf>
    <xf numFmtId="0" fontId="4" fillId="3" borderId="0" xfId="0" applyFont="1" applyFill="1"/>
    <xf numFmtId="165" fontId="8" fillId="3" borderId="4" xfId="0" applyNumberFormat="1" applyFont="1" applyFill="1" applyBorder="1" applyAlignment="1">
      <alignment horizontal="left" vertical="center" readingOrder="1"/>
    </xf>
    <xf numFmtId="0" fontId="8" fillId="3" borderId="6" xfId="0" applyFont="1" applyFill="1" applyBorder="1" applyAlignment="1">
      <alignment vertical="top" readingOrder="1"/>
    </xf>
    <xf numFmtId="0" fontId="17" fillId="4" borderId="4" xfId="0" applyFont="1" applyFill="1" applyBorder="1" applyAlignment="1">
      <alignment horizontal="center" vertical="top" readingOrder="1"/>
    </xf>
    <xf numFmtId="1" fontId="17" fillId="4" borderId="4" xfId="0" applyNumberFormat="1" applyFont="1" applyFill="1" applyBorder="1" applyAlignment="1">
      <alignment horizontal="center" vertical="center" readingOrder="1"/>
    </xf>
    <xf numFmtId="164" fontId="17" fillId="4" borderId="4" xfId="1" applyNumberFormat="1" applyFont="1" applyFill="1" applyBorder="1" applyAlignment="1">
      <alignment horizontal="center" vertical="top" readingOrder="1"/>
    </xf>
    <xf numFmtId="2" fontId="8" fillId="2" borderId="4" xfId="0" applyNumberFormat="1" applyFont="1" applyFill="1" applyBorder="1" applyAlignment="1">
      <alignment horizontal="center" vertical="center" wrapText="1" readingOrder="1"/>
    </xf>
    <xf numFmtId="0" fontId="6" fillId="3" borderId="4" xfId="0" applyFont="1" applyFill="1" applyBorder="1" applyAlignment="1">
      <alignment vertical="top" readingOrder="1"/>
    </xf>
    <xf numFmtId="0" fontId="13" fillId="8" borderId="5" xfId="0" applyFont="1" applyFill="1" applyBorder="1" applyAlignment="1">
      <alignment horizontal="center" vertical="center"/>
    </xf>
    <xf numFmtId="164" fontId="13" fillId="8" borderId="5" xfId="1" applyNumberFormat="1" applyFont="1" applyFill="1" applyBorder="1" applyAlignment="1">
      <alignment horizontal="center" vertical="center"/>
    </xf>
    <xf numFmtId="0" fontId="4" fillId="3" borderId="5" xfId="0" applyFont="1" applyFill="1" applyBorder="1" applyAlignment="1">
      <alignment vertical="center"/>
    </xf>
    <xf numFmtId="0" fontId="4" fillId="3" borderId="5" xfId="0" applyFont="1" applyFill="1" applyBorder="1"/>
    <xf numFmtId="164" fontId="4" fillId="3" borderId="5" xfId="1" applyNumberFormat="1" applyFont="1" applyFill="1" applyBorder="1"/>
    <xf numFmtId="0" fontId="15" fillId="3" borderId="5" xfId="0" applyFont="1" applyFill="1" applyBorder="1" applyAlignment="1">
      <alignment vertical="center"/>
    </xf>
    <xf numFmtId="0" fontId="4" fillId="3" borderId="4" xfId="0" applyFont="1" applyFill="1" applyBorder="1"/>
    <xf numFmtId="164" fontId="4" fillId="3" borderId="5" xfId="1" applyNumberFormat="1" applyFont="1" applyFill="1" applyBorder="1" applyAlignment="1">
      <alignment vertical="center"/>
    </xf>
    <xf numFmtId="164" fontId="4" fillId="3" borderId="5" xfId="1" applyNumberFormat="1" applyFont="1" applyFill="1" applyBorder="1" applyAlignment="1">
      <alignment horizontal="right"/>
    </xf>
    <xf numFmtId="0" fontId="4" fillId="3" borderId="6" xfId="0" applyFont="1" applyFill="1" applyBorder="1"/>
    <xf numFmtId="164" fontId="4" fillId="3" borderId="6" xfId="1" applyNumberFormat="1" applyFont="1" applyFill="1" applyBorder="1"/>
    <xf numFmtId="0" fontId="4" fillId="3" borderId="6" xfId="0" applyFont="1" applyFill="1" applyBorder="1" applyAlignment="1">
      <alignment vertical="center"/>
    </xf>
    <xf numFmtId="164" fontId="4" fillId="3" borderId="0" xfId="1" applyNumberFormat="1" applyFont="1" applyFill="1"/>
    <xf numFmtId="0" fontId="10" fillId="4" borderId="4" xfId="0" applyFont="1" applyFill="1" applyBorder="1" applyAlignment="1">
      <alignment horizontal="center" vertical="center" readingOrder="1"/>
    </xf>
    <xf numFmtId="1" fontId="10" fillId="4" borderId="4" xfId="0" applyNumberFormat="1" applyFont="1" applyFill="1" applyBorder="1" applyAlignment="1">
      <alignment horizontal="center" vertical="center" wrapText="1" readingOrder="1"/>
    </xf>
    <xf numFmtId="164" fontId="10" fillId="4" borderId="4" xfId="1" applyNumberFormat="1" applyFont="1" applyFill="1" applyBorder="1" applyAlignment="1">
      <alignment horizontal="center" vertical="center" readingOrder="1"/>
    </xf>
    <xf numFmtId="170" fontId="8" fillId="3" borderId="4" xfId="0" applyNumberFormat="1" applyFont="1" applyFill="1" applyBorder="1" applyAlignment="1">
      <alignment horizontal="center" vertical="center" wrapText="1" readingOrder="1"/>
    </xf>
    <xf numFmtId="164" fontId="5" fillId="2" borderId="0" xfId="1" applyNumberFormat="1" applyFont="1" applyFill="1" applyBorder="1" applyAlignment="1">
      <alignment vertical="top" readingOrder="1"/>
    </xf>
    <xf numFmtId="164" fontId="10" fillId="4" borderId="4" xfId="1" applyNumberFormat="1" applyFont="1" applyFill="1" applyBorder="1" applyAlignment="1">
      <alignment horizontal="center" vertical="top" readingOrder="1"/>
    </xf>
    <xf numFmtId="0" fontId="0" fillId="7" borderId="0" xfId="0" applyFill="1"/>
    <xf numFmtId="0" fontId="7" fillId="2" borderId="3" xfId="0" applyFont="1" applyFill="1" applyBorder="1" applyAlignment="1">
      <alignment horizontal="center"/>
    </xf>
    <xf numFmtId="164" fontId="10" fillId="4" borderId="4" xfId="1" applyNumberFormat="1" applyFont="1" applyFill="1" applyBorder="1" applyAlignment="1">
      <alignment horizontal="center" vertical="center" wrapText="1" readingOrder="1"/>
    </xf>
    <xf numFmtId="0" fontId="0" fillId="0" borderId="17" xfId="0" applyBorder="1"/>
    <xf numFmtId="1" fontId="5" fillId="2" borderId="2" xfId="0" applyNumberFormat="1" applyFont="1" applyFill="1" applyBorder="1" applyAlignment="1">
      <alignment vertical="top" readingOrder="1"/>
    </xf>
    <xf numFmtId="1" fontId="5" fillId="2" borderId="2" xfId="1" applyNumberFormat="1" applyFont="1" applyFill="1" applyBorder="1" applyAlignment="1">
      <alignment vertical="top" readingOrder="1"/>
    </xf>
    <xf numFmtId="1" fontId="0" fillId="0" borderId="0" xfId="0" applyNumberFormat="1"/>
    <xf numFmtId="0" fontId="2" fillId="0" borderId="0" xfId="0" applyFont="1"/>
    <xf numFmtId="0" fontId="9" fillId="0" borderId="0" xfId="0" applyFont="1"/>
    <xf numFmtId="0" fontId="18" fillId="2" borderId="1" xfId="0" applyFont="1" applyFill="1" applyBorder="1" applyAlignment="1">
      <alignment horizontal="center" vertical="top" readingOrder="1"/>
    </xf>
    <xf numFmtId="0" fontId="18" fillId="2" borderId="2" xfId="0" applyFont="1" applyFill="1" applyBorder="1" applyAlignment="1">
      <alignment vertical="top" readingOrder="1"/>
    </xf>
    <xf numFmtId="164" fontId="18" fillId="2" borderId="2" xfId="1" applyNumberFormat="1" applyFont="1" applyFill="1" applyBorder="1" applyAlignment="1">
      <alignment vertical="top" readingOrder="1"/>
    </xf>
    <xf numFmtId="0" fontId="9" fillId="3" borderId="0" xfId="0" applyFont="1" applyFill="1"/>
    <xf numFmtId="0" fontId="18" fillId="4" borderId="4" xfId="0" applyFont="1" applyFill="1" applyBorder="1" applyAlignment="1">
      <alignment horizontal="center" vertical="top" readingOrder="1"/>
    </xf>
    <xf numFmtId="1" fontId="18" fillId="4" borderId="4" xfId="0" applyNumberFormat="1" applyFont="1" applyFill="1" applyBorder="1" applyAlignment="1">
      <alignment horizontal="center" vertical="center" readingOrder="1"/>
    </xf>
    <xf numFmtId="164" fontId="18" fillId="4" borderId="4" xfId="1" applyNumberFormat="1" applyFont="1" applyFill="1" applyBorder="1" applyAlignment="1">
      <alignment horizontal="center" vertical="top" readingOrder="1"/>
    </xf>
    <xf numFmtId="0" fontId="9" fillId="3" borderId="5" xfId="0" applyFont="1" applyFill="1" applyBorder="1"/>
    <xf numFmtId="164" fontId="9" fillId="3" borderId="5" xfId="1" applyNumberFormat="1" applyFont="1" applyFill="1" applyBorder="1" applyAlignment="1"/>
    <xf numFmtId="0" fontId="20" fillId="3" borderId="4" xfId="0" applyFont="1" applyFill="1" applyBorder="1" applyAlignment="1">
      <alignment vertical="top" readingOrder="1"/>
    </xf>
    <xf numFmtId="165" fontId="20" fillId="3" borderId="4" xfId="0" applyNumberFormat="1" applyFont="1" applyFill="1" applyBorder="1" applyAlignment="1">
      <alignment horizontal="center" vertical="center" wrapText="1" readingOrder="1"/>
    </xf>
    <xf numFmtId="0" fontId="20" fillId="2" borderId="4" xfId="0" applyFont="1" applyFill="1" applyBorder="1" applyAlignment="1">
      <alignment horizontal="center" vertical="center" wrapText="1" readingOrder="1"/>
    </xf>
    <xf numFmtId="164" fontId="20" fillId="3" borderId="4" xfId="1" applyNumberFormat="1" applyFont="1" applyFill="1" applyBorder="1" applyAlignment="1">
      <alignment vertical="top" wrapText="1" readingOrder="1"/>
    </xf>
    <xf numFmtId="164" fontId="20" fillId="3" borderId="1" xfId="1" applyNumberFormat="1" applyFont="1" applyFill="1" applyBorder="1" applyAlignment="1">
      <alignment vertical="top" wrapText="1" readingOrder="1"/>
    </xf>
    <xf numFmtId="164" fontId="9" fillId="3" borderId="5" xfId="1" applyNumberFormat="1" applyFont="1" applyFill="1" applyBorder="1"/>
    <xf numFmtId="1" fontId="20" fillId="2" borderId="4" xfId="0" applyNumberFormat="1" applyFont="1" applyFill="1" applyBorder="1" applyAlignment="1">
      <alignment horizontal="center" vertical="center" wrapText="1" readingOrder="1"/>
    </xf>
    <xf numFmtId="0" fontId="21" fillId="5" borderId="5" xfId="0" applyFont="1" applyFill="1" applyBorder="1"/>
    <xf numFmtId="164" fontId="21" fillId="5" borderId="5" xfId="1" applyNumberFormat="1" applyFont="1" applyFill="1" applyBorder="1"/>
    <xf numFmtId="0" fontId="22" fillId="4" borderId="4" xfId="0" applyFont="1" applyFill="1" applyBorder="1" applyAlignment="1">
      <alignment horizontal="center" vertical="top" readingOrder="1"/>
    </xf>
    <xf numFmtId="1" fontId="22" fillId="4" borderId="4" xfId="0" applyNumberFormat="1" applyFont="1" applyFill="1" applyBorder="1" applyAlignment="1">
      <alignment horizontal="center" vertical="center" readingOrder="1"/>
    </xf>
    <xf numFmtId="164" fontId="22" fillId="4" borderId="4" xfId="0" applyNumberFormat="1" applyFont="1" applyFill="1" applyBorder="1" applyAlignment="1">
      <alignment horizontal="center" vertical="top" readingOrder="1"/>
    </xf>
    <xf numFmtId="164" fontId="9" fillId="3" borderId="0" xfId="1" applyNumberFormat="1" applyFont="1" applyFill="1"/>
    <xf numFmtId="2" fontId="20" fillId="2" borderId="4" xfId="0" applyNumberFormat="1" applyFont="1" applyFill="1" applyBorder="1" applyAlignment="1">
      <alignment horizontal="center" vertical="center" wrapText="1" readingOrder="1"/>
    </xf>
    <xf numFmtId="164" fontId="8" fillId="13" borderId="1" xfId="1" applyNumberFormat="1" applyFont="1" applyFill="1" applyBorder="1" applyAlignment="1">
      <alignment vertical="top" wrapText="1" readingOrder="1"/>
    </xf>
    <xf numFmtId="164" fontId="2" fillId="0" borderId="0" xfId="1" applyNumberFormat="1" applyFont="1"/>
    <xf numFmtId="0" fontId="6" fillId="3" borderId="0" xfId="0" applyFont="1" applyFill="1" applyAlignment="1">
      <alignment horizontal="center" vertical="center" wrapText="1"/>
    </xf>
    <xf numFmtId="0" fontId="6" fillId="3" borderId="0" xfId="0" applyFont="1" applyFill="1" applyAlignment="1">
      <alignment horizontal="center"/>
    </xf>
    <xf numFmtId="0" fontId="4" fillId="3" borderId="0" xfId="0" applyFont="1" applyFill="1" applyAlignment="1">
      <alignment horizontal="center" vertical="center" wrapText="1"/>
    </xf>
    <xf numFmtId="0" fontId="23" fillId="3" borderId="0" xfId="0" applyFont="1" applyFill="1" applyAlignment="1">
      <alignment horizontal="center" vertical="center" wrapText="1"/>
    </xf>
    <xf numFmtId="164" fontId="23" fillId="3" borderId="0" xfId="1" applyNumberFormat="1" applyFont="1" applyFill="1" applyBorder="1" applyAlignment="1">
      <alignment horizontal="center" vertical="center"/>
    </xf>
    <xf numFmtId="164" fontId="4" fillId="0" borderId="0" xfId="1" applyNumberFormat="1" applyFont="1"/>
    <xf numFmtId="164" fontId="13" fillId="7" borderId="0" xfId="1" applyNumberFormat="1" applyFont="1" applyFill="1" applyBorder="1" applyAlignment="1">
      <alignment horizontal="center" vertical="center" wrapText="1"/>
    </xf>
    <xf numFmtId="164" fontId="23" fillId="3" borderId="0" xfId="1" applyNumberFormat="1" applyFont="1" applyFill="1" applyBorder="1" applyAlignment="1">
      <alignment vertical="center" wrapText="1"/>
    </xf>
    <xf numFmtId="0" fontId="24" fillId="4" borderId="7" xfId="3" applyFont="1" applyFill="1" applyBorder="1" applyAlignment="1">
      <alignment horizontal="center" vertical="center" wrapText="1"/>
    </xf>
    <xf numFmtId="0" fontId="4" fillId="4" borderId="8" xfId="0" applyFont="1" applyFill="1" applyBorder="1" applyAlignment="1">
      <alignment horizontal="center" vertical="center"/>
    </xf>
    <xf numFmtId="164" fontId="4" fillId="4" borderId="8" xfId="1" applyNumberFormat="1" applyFont="1" applyFill="1" applyBorder="1" applyAlignment="1">
      <alignment vertical="center" wrapText="1"/>
    </xf>
    <xf numFmtId="164" fontId="4" fillId="4" borderId="8" xfId="1" applyNumberFormat="1" applyFont="1" applyFill="1" applyBorder="1" applyAlignment="1">
      <alignment horizontal="center" vertical="center" wrapText="1"/>
    </xf>
    <xf numFmtId="44" fontId="4" fillId="4" borderId="8" xfId="1" applyFont="1" applyFill="1" applyBorder="1" applyAlignment="1">
      <alignment horizontal="center" vertical="center" wrapText="1"/>
    </xf>
    <xf numFmtId="9" fontId="4" fillId="4" borderId="8" xfId="2" applyFont="1" applyFill="1" applyBorder="1" applyAlignment="1">
      <alignment horizontal="center" vertical="center" wrapText="1"/>
    </xf>
    <xf numFmtId="0" fontId="4" fillId="4" borderId="8" xfId="0" applyFont="1" applyFill="1" applyBorder="1" applyAlignment="1">
      <alignment horizontal="center" vertical="center" wrapText="1"/>
    </xf>
    <xf numFmtId="164" fontId="4" fillId="4" borderId="8" xfId="1" applyNumberFormat="1" applyFont="1" applyFill="1" applyBorder="1" applyAlignment="1">
      <alignment horizontal="right" vertical="center" wrapText="1"/>
    </xf>
    <xf numFmtId="9" fontId="4" fillId="4" borderId="8" xfId="2" applyFont="1" applyFill="1" applyBorder="1" applyAlignment="1">
      <alignment horizontal="center" vertical="center"/>
    </xf>
    <xf numFmtId="2" fontId="4" fillId="4" borderId="9" xfId="0" applyNumberFormat="1" applyFont="1" applyFill="1" applyBorder="1" applyAlignment="1">
      <alignment horizontal="center" vertical="center"/>
    </xf>
    <xf numFmtId="0" fontId="4" fillId="3" borderId="10" xfId="0" applyFont="1" applyFill="1" applyBorder="1" applyAlignment="1">
      <alignment horizontal="left" vertical="center"/>
    </xf>
    <xf numFmtId="0" fontId="4" fillId="3" borderId="5" xfId="0" applyFont="1" applyFill="1" applyBorder="1" applyAlignment="1">
      <alignment horizontal="left" vertical="center"/>
    </xf>
    <xf numFmtId="164" fontId="4" fillId="3" borderId="5" xfId="1" applyNumberFormat="1" applyFont="1" applyFill="1" applyBorder="1" applyAlignment="1">
      <alignment vertical="center" wrapText="1"/>
    </xf>
    <xf numFmtId="164" fontId="4" fillId="3" borderId="5" xfId="1" applyNumberFormat="1" applyFont="1" applyFill="1" applyBorder="1" applyAlignment="1">
      <alignment horizontal="center" vertical="center" wrapText="1"/>
    </xf>
    <xf numFmtId="9" fontId="4" fillId="3" borderId="5" xfId="2" applyFont="1" applyFill="1" applyBorder="1" applyAlignment="1">
      <alignment horizontal="center" vertical="center" wrapText="1"/>
    </xf>
    <xf numFmtId="2"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164" fontId="6" fillId="3" borderId="5" xfId="1" applyNumberFormat="1" applyFont="1" applyFill="1" applyBorder="1" applyAlignment="1">
      <alignment vertical="center" wrapText="1"/>
    </xf>
    <xf numFmtId="164" fontId="4" fillId="3" borderId="5" xfId="0" applyNumberFormat="1" applyFont="1" applyFill="1" applyBorder="1" applyAlignment="1">
      <alignment horizontal="center" vertical="center" wrapText="1"/>
    </xf>
    <xf numFmtId="164" fontId="15" fillId="9" borderId="5" xfId="1" applyNumberFormat="1" applyFont="1" applyFill="1" applyBorder="1" applyAlignment="1">
      <alignment horizontal="right" vertical="center" wrapText="1"/>
    </xf>
    <xf numFmtId="164" fontId="4" fillId="11" borderId="5" xfId="1" applyNumberFormat="1" applyFont="1" applyFill="1" applyBorder="1" applyAlignment="1">
      <alignment vertical="center" wrapText="1"/>
    </xf>
    <xf numFmtId="2" fontId="4" fillId="3" borderId="11" xfId="0" applyNumberFormat="1" applyFont="1" applyFill="1" applyBorder="1" applyAlignment="1">
      <alignment horizontal="center" vertical="center"/>
    </xf>
    <xf numFmtId="164" fontId="4" fillId="9" borderId="5" xfId="1" applyNumberFormat="1" applyFont="1" applyFill="1" applyBorder="1" applyAlignment="1">
      <alignment horizontal="right" vertical="center" wrapText="1"/>
    </xf>
    <xf numFmtId="0" fontId="4" fillId="3" borderId="12" xfId="0" applyFont="1" applyFill="1" applyBorder="1" applyAlignment="1">
      <alignment horizontal="left" vertical="center"/>
    </xf>
    <xf numFmtId="0" fontId="4" fillId="3" borderId="6" xfId="0" applyFont="1" applyFill="1" applyBorder="1" applyAlignment="1">
      <alignment horizontal="left" vertical="center"/>
    </xf>
    <xf numFmtId="164" fontId="4" fillId="3" borderId="6" xfId="1" applyNumberFormat="1" applyFont="1" applyFill="1" applyBorder="1" applyAlignment="1">
      <alignment vertical="center" wrapText="1"/>
    </xf>
    <xf numFmtId="164" fontId="4" fillId="3" borderId="6" xfId="1" applyNumberFormat="1" applyFont="1" applyFill="1" applyBorder="1" applyAlignment="1">
      <alignment horizontal="center" vertical="center" wrapText="1"/>
    </xf>
    <xf numFmtId="9" fontId="4" fillId="3" borderId="6" xfId="2" applyFont="1" applyFill="1" applyBorder="1" applyAlignment="1">
      <alignment horizontal="center" vertical="center" wrapText="1"/>
    </xf>
    <xf numFmtId="2" fontId="4" fillId="3" borderId="6"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164" fontId="6" fillId="3" borderId="6" xfId="1" applyNumberFormat="1" applyFont="1" applyFill="1" applyBorder="1" applyAlignment="1">
      <alignment vertical="center" wrapText="1"/>
    </xf>
    <xf numFmtId="164" fontId="4" fillId="3" borderId="6" xfId="0" applyNumberFormat="1" applyFont="1" applyFill="1" applyBorder="1" applyAlignment="1">
      <alignment horizontal="center" vertical="center" wrapText="1"/>
    </xf>
    <xf numFmtId="164" fontId="4" fillId="11" borderId="6" xfId="1" applyNumberFormat="1" applyFont="1" applyFill="1" applyBorder="1" applyAlignment="1">
      <alignment vertical="center" wrapText="1"/>
    </xf>
    <xf numFmtId="2" fontId="4" fillId="3" borderId="13" xfId="0" applyNumberFormat="1" applyFont="1" applyFill="1" applyBorder="1" applyAlignment="1">
      <alignment horizontal="center" vertical="center"/>
    </xf>
    <xf numFmtId="0" fontId="4" fillId="3" borderId="14" xfId="0" applyFont="1" applyFill="1" applyBorder="1" applyAlignment="1">
      <alignment horizontal="left" vertical="center"/>
    </xf>
    <xf numFmtId="0" fontId="4" fillId="0" borderId="15" xfId="0" applyFont="1" applyBorder="1"/>
    <xf numFmtId="0" fontId="4" fillId="3" borderId="15" xfId="0" applyFont="1" applyFill="1" applyBorder="1" applyAlignment="1">
      <alignment vertical="center" wrapText="1"/>
    </xf>
    <xf numFmtId="0" fontId="4" fillId="3" borderId="15" xfId="0" applyFont="1" applyFill="1" applyBorder="1" applyAlignment="1">
      <alignment horizontal="center" vertical="center" wrapText="1"/>
    </xf>
    <xf numFmtId="164" fontId="4" fillId="3" borderId="15" xfId="0" applyNumberFormat="1" applyFont="1" applyFill="1" applyBorder="1" applyAlignment="1">
      <alignment vertical="center" wrapText="1"/>
    </xf>
    <xf numFmtId="9" fontId="4" fillId="3" borderId="15" xfId="0" applyNumberFormat="1" applyFont="1" applyFill="1" applyBorder="1" applyAlignment="1">
      <alignment horizontal="center" vertical="center" wrapText="1"/>
    </xf>
    <xf numFmtId="0" fontId="6" fillId="3" borderId="15" xfId="0" applyFont="1" applyFill="1" applyBorder="1" applyAlignment="1">
      <alignment vertical="center" wrapText="1"/>
    </xf>
    <xf numFmtId="164" fontId="4" fillId="3" borderId="15" xfId="0" applyNumberFormat="1" applyFont="1" applyFill="1" applyBorder="1" applyAlignment="1">
      <alignment horizontal="right" vertical="center" wrapText="1"/>
    </xf>
    <xf numFmtId="9" fontId="4" fillId="3" borderId="15" xfId="0" applyNumberFormat="1" applyFont="1" applyFill="1" applyBorder="1" applyAlignment="1">
      <alignment horizontal="center" vertical="center"/>
    </xf>
    <xf numFmtId="2" fontId="4" fillId="3" borderId="16" xfId="0" applyNumberFormat="1" applyFont="1" applyFill="1" applyBorder="1" applyAlignment="1">
      <alignment horizontal="center" vertical="center"/>
    </xf>
    <xf numFmtId="164" fontId="4" fillId="3" borderId="0" xfId="1" applyNumberFormat="1" applyFont="1" applyFill="1" applyBorder="1" applyAlignment="1">
      <alignment horizontal="right" wrapText="1"/>
    </xf>
    <xf numFmtId="44" fontId="6" fillId="3" borderId="0" xfId="1" applyFont="1" applyFill="1" applyBorder="1"/>
    <xf numFmtId="9" fontId="6" fillId="3" borderId="0" xfId="0" applyNumberFormat="1" applyFont="1" applyFill="1" applyAlignment="1">
      <alignment horizontal="center"/>
    </xf>
    <xf numFmtId="1" fontId="6" fillId="3" borderId="0" xfId="0" applyNumberFormat="1" applyFont="1" applyFill="1" applyAlignment="1">
      <alignment horizontal="center"/>
    </xf>
    <xf numFmtId="164" fontId="6" fillId="3" borderId="0" xfId="1" applyNumberFormat="1" applyFont="1" applyFill="1" applyBorder="1" applyAlignment="1">
      <alignment horizontal="center"/>
    </xf>
    <xf numFmtId="9" fontId="4" fillId="3" borderId="0" xfId="2" applyFont="1" applyFill="1" applyBorder="1" applyAlignment="1"/>
    <xf numFmtId="9" fontId="4" fillId="0" borderId="0" xfId="2" applyFont="1"/>
    <xf numFmtId="0" fontId="4" fillId="3" borderId="0" xfId="0" applyFont="1" applyFill="1" applyAlignment="1">
      <alignment horizontal="center" vertical="center"/>
    </xf>
    <xf numFmtId="0" fontId="4" fillId="3" borderId="0" xfId="0" applyFont="1" applyFill="1" applyAlignment="1">
      <alignment horizontal="left" vertical="center"/>
    </xf>
    <xf numFmtId="164" fontId="4" fillId="3" borderId="0" xfId="1" applyNumberFormat="1" applyFont="1" applyFill="1" applyBorder="1" applyAlignment="1">
      <alignment vertical="center" wrapText="1"/>
    </xf>
    <xf numFmtId="164" fontId="4" fillId="3" borderId="0" xfId="1" applyNumberFormat="1" applyFont="1" applyFill="1" applyBorder="1" applyAlignment="1">
      <alignment horizontal="center" vertical="center" wrapText="1"/>
    </xf>
    <xf numFmtId="9" fontId="4" fillId="3" borderId="0" xfId="2" applyFont="1" applyFill="1" applyBorder="1" applyAlignment="1">
      <alignment horizontal="center" vertical="center" wrapText="1"/>
    </xf>
    <xf numFmtId="2" fontId="4" fillId="3" borderId="0" xfId="0" applyNumberFormat="1" applyFont="1" applyFill="1" applyAlignment="1">
      <alignment horizontal="center" vertical="center" wrapText="1"/>
    </xf>
    <xf numFmtId="164" fontId="6" fillId="3" borderId="0" xfId="1" applyNumberFormat="1" applyFont="1" applyFill="1" applyBorder="1" applyAlignment="1">
      <alignment vertical="center" wrapText="1"/>
    </xf>
    <xf numFmtId="164" fontId="4" fillId="3" borderId="0" xfId="0" applyNumberFormat="1" applyFont="1" applyFill="1" applyAlignment="1">
      <alignment horizontal="center" vertical="center" wrapText="1"/>
    </xf>
    <xf numFmtId="164" fontId="15" fillId="9" borderId="0" xfId="1" applyNumberFormat="1" applyFont="1" applyFill="1" applyBorder="1" applyAlignment="1">
      <alignment horizontal="right" vertical="center" wrapText="1"/>
    </xf>
    <xf numFmtId="164" fontId="4" fillId="11" borderId="0" xfId="1" applyNumberFormat="1" applyFont="1" applyFill="1" applyBorder="1" applyAlignment="1">
      <alignment vertical="center" wrapText="1"/>
    </xf>
    <xf numFmtId="2" fontId="4" fillId="3" borderId="0" xfId="0" applyNumberFormat="1" applyFont="1" applyFill="1" applyAlignment="1">
      <alignment horizontal="center" vertical="center"/>
    </xf>
    <xf numFmtId="0" fontId="4" fillId="3" borderId="15" xfId="0" applyFont="1" applyFill="1" applyBorder="1" applyAlignment="1">
      <alignment horizontal="left" vertical="center"/>
    </xf>
    <xf numFmtId="164" fontId="4" fillId="0" borderId="0" xfId="1" applyNumberFormat="1" applyFont="1" applyAlignment="1"/>
    <xf numFmtId="0" fontId="24" fillId="4" borderId="5" xfId="3" applyFont="1" applyFill="1" applyBorder="1" applyAlignment="1">
      <alignment horizontal="center" vertical="center" wrapText="1"/>
    </xf>
    <xf numFmtId="0" fontId="4" fillId="4" borderId="5" xfId="0" applyFont="1" applyFill="1" applyBorder="1" applyAlignment="1">
      <alignment horizontal="center" vertical="center"/>
    </xf>
    <xf numFmtId="164" fontId="4" fillId="4" borderId="5" xfId="1" applyNumberFormat="1" applyFont="1" applyFill="1" applyBorder="1" applyAlignment="1">
      <alignment vertical="center" wrapText="1"/>
    </xf>
    <xf numFmtId="164" fontId="4" fillId="4" borderId="5" xfId="1" applyNumberFormat="1" applyFont="1" applyFill="1" applyBorder="1" applyAlignment="1">
      <alignment horizontal="center" vertical="center" wrapText="1"/>
    </xf>
    <xf numFmtId="44" fontId="4" fillId="4" borderId="5" xfId="1" applyFont="1" applyFill="1" applyBorder="1" applyAlignment="1">
      <alignment horizontal="center" vertical="center" wrapText="1"/>
    </xf>
    <xf numFmtId="9" fontId="4" fillId="4" borderId="5" xfId="2" applyFont="1" applyFill="1" applyBorder="1" applyAlignment="1">
      <alignment horizontal="center" vertical="center" wrapText="1"/>
    </xf>
    <xf numFmtId="0" fontId="4" fillId="4" borderId="5" xfId="0" applyFont="1" applyFill="1" applyBorder="1" applyAlignment="1">
      <alignment horizontal="center" vertical="center" wrapText="1"/>
    </xf>
    <xf numFmtId="164" fontId="4" fillId="4" borderId="5" xfId="1" applyNumberFormat="1" applyFont="1" applyFill="1" applyBorder="1" applyAlignment="1">
      <alignment horizontal="right" vertical="center" wrapText="1"/>
    </xf>
    <xf numFmtId="9" fontId="4" fillId="4" borderId="5" xfId="2" applyFont="1" applyFill="1" applyBorder="1" applyAlignment="1">
      <alignment horizontal="center" vertical="center"/>
    </xf>
    <xf numFmtId="2" fontId="4" fillId="4" borderId="5" xfId="0" applyNumberFormat="1" applyFont="1" applyFill="1" applyBorder="1" applyAlignment="1">
      <alignment horizontal="center" vertical="center"/>
    </xf>
    <xf numFmtId="0" fontId="4" fillId="3" borderId="5" xfId="0" applyFont="1" applyFill="1" applyBorder="1" applyAlignment="1">
      <alignment horizontal="left"/>
    </xf>
    <xf numFmtId="2" fontId="4" fillId="3" borderId="5" xfId="0" applyNumberFormat="1" applyFont="1" applyFill="1" applyBorder="1" applyAlignment="1">
      <alignment horizontal="center" vertical="center"/>
    </xf>
    <xf numFmtId="164" fontId="4" fillId="9" borderId="6" xfId="1" applyNumberFormat="1" applyFont="1" applyFill="1" applyBorder="1" applyAlignment="1">
      <alignment horizontal="right" vertical="center" wrapText="1"/>
    </xf>
    <xf numFmtId="2" fontId="4" fillId="3" borderId="6" xfId="0" applyNumberFormat="1" applyFont="1" applyFill="1" applyBorder="1" applyAlignment="1">
      <alignment horizontal="center" vertical="center"/>
    </xf>
    <xf numFmtId="164" fontId="15" fillId="9" borderId="6" xfId="1" applyNumberFormat="1" applyFont="1" applyFill="1" applyBorder="1" applyAlignment="1">
      <alignment horizontal="right" vertical="center" wrapText="1"/>
    </xf>
    <xf numFmtId="0" fontId="4" fillId="3" borderId="16" xfId="0" applyFont="1" applyFill="1" applyBorder="1" applyAlignment="1">
      <alignment horizontal="center" vertical="center"/>
    </xf>
    <xf numFmtId="0" fontId="4" fillId="13" borderId="5" xfId="0" applyFont="1" applyFill="1" applyBorder="1" applyAlignment="1">
      <alignment horizontal="left" vertical="center"/>
    </xf>
    <xf numFmtId="0" fontId="15" fillId="3" borderId="5" xfId="0" applyFont="1" applyFill="1" applyBorder="1" applyAlignment="1">
      <alignment horizontal="left" vertical="center"/>
    </xf>
    <xf numFmtId="2" fontId="4" fillId="3" borderId="15" xfId="0" applyNumberFormat="1" applyFont="1" applyFill="1" applyBorder="1" applyAlignment="1">
      <alignment horizontal="center" vertical="center" wrapText="1"/>
    </xf>
    <xf numFmtId="164" fontId="4" fillId="5" borderId="5" xfId="1" applyNumberFormat="1" applyFont="1" applyFill="1" applyBorder="1" applyAlignment="1">
      <alignment horizontal="center" vertical="center" wrapText="1"/>
    </xf>
    <xf numFmtId="164" fontId="15" fillId="3" borderId="5" xfId="1" applyNumberFormat="1" applyFont="1" applyFill="1" applyBorder="1" applyAlignment="1">
      <alignment vertical="center" wrapText="1"/>
    </xf>
    <xf numFmtId="44" fontId="4" fillId="0" borderId="0" xfId="1" applyFont="1"/>
    <xf numFmtId="0" fontId="4" fillId="0" borderId="0" xfId="0" applyFont="1" applyAlignment="1">
      <alignment horizontal="center"/>
    </xf>
    <xf numFmtId="0" fontId="15" fillId="3" borderId="0" xfId="0" applyFont="1" applyFill="1" applyAlignment="1">
      <alignment horizontal="center" vertical="center" wrapText="1"/>
    </xf>
    <xf numFmtId="0" fontId="24" fillId="4" borderId="0" xfId="3" applyFont="1" applyFill="1" applyAlignment="1">
      <alignment horizontal="center" vertical="center" wrapText="1"/>
    </xf>
    <xf numFmtId="0" fontId="4" fillId="4" borderId="0" xfId="0" applyFont="1" applyFill="1" applyAlignment="1">
      <alignment horizontal="center" vertical="center"/>
    </xf>
    <xf numFmtId="164" fontId="4" fillId="4" borderId="0" xfId="1" applyNumberFormat="1" applyFont="1" applyFill="1" applyBorder="1" applyAlignment="1">
      <alignment vertical="center" wrapText="1"/>
    </xf>
    <xf numFmtId="164" fontId="4" fillId="4" borderId="0" xfId="1" applyNumberFormat="1" applyFont="1" applyFill="1" applyBorder="1" applyAlignment="1">
      <alignment horizontal="center" vertical="center" wrapText="1"/>
    </xf>
    <xf numFmtId="44" fontId="4" fillId="4" borderId="0" xfId="1" applyFont="1" applyFill="1" applyBorder="1" applyAlignment="1">
      <alignment horizontal="center" vertical="center" wrapText="1"/>
    </xf>
    <xf numFmtId="164" fontId="4" fillId="4" borderId="0" xfId="1" applyNumberFormat="1" applyFont="1" applyFill="1" applyAlignment="1">
      <alignment vertical="center" wrapText="1"/>
    </xf>
    <xf numFmtId="9" fontId="4" fillId="4" borderId="0" xfId="2" applyFont="1" applyFill="1" applyBorder="1" applyAlignment="1">
      <alignment horizontal="center" vertical="center" wrapText="1"/>
    </xf>
    <xf numFmtId="0" fontId="4" fillId="4" borderId="0" xfId="0" applyFont="1" applyFill="1" applyAlignment="1">
      <alignment horizontal="center" vertical="center" wrapText="1"/>
    </xf>
    <xf numFmtId="164" fontId="4" fillId="4" borderId="0" xfId="1" applyNumberFormat="1" applyFont="1" applyFill="1" applyBorder="1" applyAlignment="1">
      <alignment horizontal="right" vertical="center" wrapText="1"/>
    </xf>
    <xf numFmtId="9" fontId="4" fillId="4" borderId="0" xfId="2" applyFont="1" applyFill="1" applyBorder="1" applyAlignment="1">
      <alignment horizontal="center" vertical="center"/>
    </xf>
    <xf numFmtId="2" fontId="4" fillId="4" borderId="0" xfId="0" applyNumberFormat="1" applyFont="1" applyFill="1" applyAlignment="1">
      <alignment horizontal="center" vertical="center"/>
    </xf>
    <xf numFmtId="0" fontId="10" fillId="0" borderId="1" xfId="0" applyFont="1" applyBorder="1" applyAlignment="1">
      <alignment horizontal="center" vertical="top" readingOrder="1"/>
    </xf>
    <xf numFmtId="1" fontId="10" fillId="0" borderId="2" xfId="0" applyNumberFormat="1" applyFont="1" applyBorder="1" applyAlignment="1">
      <alignment horizontal="center" vertical="center" readingOrder="1"/>
    </xf>
    <xf numFmtId="164" fontId="10" fillId="0" borderId="2" xfId="0" applyNumberFormat="1" applyFont="1" applyBorder="1" applyAlignment="1">
      <alignment horizontal="center" vertical="top" readingOrder="1"/>
    </xf>
    <xf numFmtId="164" fontId="6" fillId="0" borderId="0" xfId="1" applyNumberFormat="1" applyFont="1" applyFill="1"/>
    <xf numFmtId="0" fontId="10" fillId="0" borderId="0" xfId="0" applyFont="1" applyAlignment="1">
      <alignment horizontal="center" vertical="top" readingOrder="1"/>
    </xf>
    <xf numFmtId="1" fontId="10" fillId="0" borderId="0" xfId="0" applyNumberFormat="1" applyFont="1" applyAlignment="1">
      <alignment horizontal="center" vertical="center" readingOrder="1"/>
    </xf>
    <xf numFmtId="164" fontId="10" fillId="0" borderId="0" xfId="0" applyNumberFormat="1" applyFont="1" applyAlignment="1">
      <alignment horizontal="center" vertical="top" readingOrder="1"/>
    </xf>
    <xf numFmtId="0" fontId="4" fillId="0" borderId="21" xfId="0" applyFont="1" applyBorder="1"/>
    <xf numFmtId="0" fontId="24" fillId="4" borderId="7" xfId="3" applyFont="1" applyFill="1" applyBorder="1" applyAlignment="1">
      <alignment horizontal="center" vertical="center"/>
    </xf>
    <xf numFmtId="164" fontId="4" fillId="4" borderId="8" xfId="1" applyNumberFormat="1" applyFont="1" applyFill="1" applyBorder="1" applyAlignment="1">
      <alignment vertical="center"/>
    </xf>
    <xf numFmtId="164" fontId="4" fillId="4" borderId="8" xfId="1" applyNumberFormat="1" applyFont="1" applyFill="1" applyBorder="1" applyAlignment="1">
      <alignment horizontal="center" vertical="center"/>
    </xf>
    <xf numFmtId="44" fontId="4" fillId="4" borderId="8" xfId="1" applyFont="1" applyFill="1" applyBorder="1" applyAlignment="1">
      <alignment horizontal="center" vertical="center"/>
    </xf>
    <xf numFmtId="164" fontId="4" fillId="4" borderId="8" xfId="1" applyNumberFormat="1" applyFont="1" applyFill="1" applyBorder="1" applyAlignment="1">
      <alignment horizontal="right" vertical="center"/>
    </xf>
    <xf numFmtId="164" fontId="4" fillId="5" borderId="8" xfId="1" applyNumberFormat="1" applyFont="1" applyFill="1" applyBorder="1" applyAlignment="1"/>
    <xf numFmtId="0" fontId="4" fillId="0" borderId="22" xfId="0" applyFont="1" applyBorder="1"/>
    <xf numFmtId="164" fontId="4" fillId="5" borderId="20" xfId="1" applyNumberFormat="1" applyFont="1" applyFill="1" applyBorder="1"/>
    <xf numFmtId="164" fontId="4" fillId="5" borderId="18" xfId="1" applyNumberFormat="1" applyFont="1" applyFill="1" applyBorder="1"/>
    <xf numFmtId="2" fontId="4" fillId="4" borderId="18" xfId="0" applyNumberFormat="1" applyFont="1" applyFill="1" applyBorder="1" applyAlignment="1">
      <alignment horizontal="center" vertical="center"/>
    </xf>
    <xf numFmtId="2" fontId="4" fillId="3" borderId="18" xfId="0" applyNumberFormat="1" applyFont="1" applyFill="1" applyBorder="1" applyAlignment="1">
      <alignment horizontal="center" vertical="center"/>
    </xf>
    <xf numFmtId="2" fontId="4" fillId="3" borderId="9" xfId="0" applyNumberFormat="1" applyFont="1" applyFill="1" applyBorder="1" applyAlignment="1">
      <alignment horizontal="center" vertical="center"/>
    </xf>
    <xf numFmtId="164" fontId="4" fillId="5" borderId="20" xfId="1" applyNumberFormat="1" applyFont="1" applyFill="1" applyBorder="1" applyAlignment="1"/>
    <xf numFmtId="164" fontId="4" fillId="0" borderId="5" xfId="1" applyNumberFormat="1" applyFont="1" applyFill="1" applyBorder="1" applyAlignment="1">
      <alignment horizontal="center" vertical="center" wrapText="1"/>
    </xf>
    <xf numFmtId="164" fontId="4" fillId="0" borderId="6" xfId="1" applyNumberFormat="1" applyFont="1" applyFill="1" applyBorder="1" applyAlignment="1">
      <alignment horizontal="center" vertical="center" wrapText="1"/>
    </xf>
    <xf numFmtId="0" fontId="4" fillId="13" borderId="0" xfId="0" applyFont="1" applyFill="1" applyAlignment="1">
      <alignment horizontal="center" vertical="center" wrapText="1"/>
    </xf>
    <xf numFmtId="0" fontId="4" fillId="13" borderId="0" xfId="0" applyFont="1" applyFill="1"/>
    <xf numFmtId="164" fontId="4" fillId="13" borderId="0" xfId="1" applyNumberFormat="1" applyFont="1" applyFill="1" applyAlignment="1"/>
    <xf numFmtId="164" fontId="4" fillId="13" borderId="0" xfId="1" applyNumberFormat="1" applyFont="1" applyFill="1"/>
    <xf numFmtId="44" fontId="4" fillId="13" borderId="0" xfId="1" applyFont="1" applyFill="1"/>
    <xf numFmtId="0" fontId="4" fillId="13" borderId="0" xfId="0" applyFont="1" applyFill="1" applyAlignment="1">
      <alignment horizontal="center"/>
    </xf>
    <xf numFmtId="9" fontId="4" fillId="13" borderId="0" xfId="2" applyFont="1" applyFill="1"/>
    <xf numFmtId="0" fontId="4" fillId="13" borderId="0" xfId="0" applyFont="1" applyFill="1" applyAlignment="1">
      <alignment horizontal="center" vertical="center"/>
    </xf>
    <xf numFmtId="0" fontId="19" fillId="2" borderId="3" xfId="0" applyFont="1" applyFill="1" applyBorder="1" applyAlignment="1">
      <alignment horizontal="center"/>
    </xf>
    <xf numFmtId="164" fontId="4" fillId="3" borderId="0" xfId="2" applyNumberFormat="1" applyFont="1" applyFill="1" applyBorder="1" applyAlignment="1">
      <alignment horizontal="center" vertical="center" wrapText="1"/>
    </xf>
    <xf numFmtId="0" fontId="18" fillId="2" borderId="1" xfId="0" applyFont="1" applyFill="1" applyBorder="1" applyAlignment="1">
      <alignment horizontal="left" vertical="top" readingOrder="1"/>
    </xf>
    <xf numFmtId="0" fontId="2" fillId="13" borderId="0" xfId="0" applyFont="1" applyFill="1"/>
    <xf numFmtId="0" fontId="9" fillId="3" borderId="3" xfId="0" applyFont="1" applyFill="1" applyBorder="1"/>
    <xf numFmtId="164" fontId="4" fillId="13" borderId="5" xfId="1" applyNumberFormat="1" applyFont="1" applyFill="1" applyBorder="1" applyAlignment="1">
      <alignment vertical="center" wrapText="1"/>
    </xf>
    <xf numFmtId="164" fontId="4" fillId="13" borderId="5" xfId="1" applyNumberFormat="1" applyFont="1" applyFill="1" applyBorder="1" applyAlignment="1">
      <alignment horizontal="center" vertical="center" wrapText="1"/>
    </xf>
    <xf numFmtId="9" fontId="4" fillId="13" borderId="5" xfId="2" applyFont="1" applyFill="1" applyBorder="1" applyAlignment="1">
      <alignment horizontal="center" vertical="center" wrapText="1"/>
    </xf>
    <xf numFmtId="2" fontId="4" fillId="13" borderId="5" xfId="0" applyNumberFormat="1" applyFont="1" applyFill="1" applyBorder="1" applyAlignment="1">
      <alignment horizontal="center" vertical="center" wrapText="1"/>
    </xf>
    <xf numFmtId="0" fontId="4" fillId="13" borderId="5" xfId="0" applyFont="1" applyFill="1" applyBorder="1" applyAlignment="1">
      <alignment horizontal="center" vertical="center" wrapText="1"/>
    </xf>
    <xf numFmtId="164" fontId="6" fillId="13" borderId="5" xfId="1" applyNumberFormat="1" applyFont="1" applyFill="1" applyBorder="1" applyAlignment="1">
      <alignment vertical="center" wrapText="1"/>
    </xf>
    <xf numFmtId="164" fontId="4" fillId="13" borderId="5" xfId="0" applyNumberFormat="1" applyFont="1" applyFill="1" applyBorder="1" applyAlignment="1">
      <alignment horizontal="center" vertical="center" wrapText="1"/>
    </xf>
    <xf numFmtId="164" fontId="15" fillId="13" borderId="5" xfId="1" applyNumberFormat="1" applyFont="1" applyFill="1" applyBorder="1" applyAlignment="1">
      <alignment horizontal="right" vertical="center" wrapText="1"/>
    </xf>
    <xf numFmtId="2" fontId="4" fillId="13" borderId="5" xfId="0" applyNumberFormat="1" applyFont="1" applyFill="1" applyBorder="1" applyAlignment="1">
      <alignment horizontal="center" vertical="center"/>
    </xf>
    <xf numFmtId="164" fontId="4" fillId="13" borderId="5" xfId="1" applyNumberFormat="1" applyFont="1" applyFill="1" applyBorder="1"/>
    <xf numFmtId="164" fontId="4" fillId="13" borderId="0" xfId="1" applyNumberFormat="1" applyFont="1" applyFill="1" applyBorder="1" applyAlignment="1">
      <alignment horizontal="center" vertical="center" wrapText="1"/>
    </xf>
    <xf numFmtId="0" fontId="15" fillId="3" borderId="0" xfId="0" applyFont="1" applyFill="1"/>
    <xf numFmtId="164" fontId="4" fillId="0" borderId="0" xfId="1" applyNumberFormat="1" applyFont="1" applyFill="1" applyBorder="1" applyAlignment="1">
      <alignment horizontal="center" vertical="center" wrapText="1"/>
    </xf>
    <xf numFmtId="164" fontId="4" fillId="13" borderId="5" xfId="1" applyNumberFormat="1" applyFont="1" applyFill="1" applyBorder="1" applyAlignment="1">
      <alignment horizontal="right" vertical="center" wrapText="1"/>
    </xf>
    <xf numFmtId="164" fontId="4" fillId="9" borderId="0" xfId="1" applyNumberFormat="1" applyFont="1" applyFill="1" applyBorder="1" applyAlignment="1">
      <alignment horizontal="right" vertical="center" wrapText="1"/>
    </xf>
    <xf numFmtId="0" fontId="4" fillId="13" borderId="6" xfId="0" applyFont="1" applyFill="1" applyBorder="1" applyAlignment="1">
      <alignment horizontal="left" vertical="center"/>
    </xf>
    <xf numFmtId="9" fontId="4" fillId="3" borderId="0" xfId="2" applyFont="1" applyFill="1" applyAlignment="1">
      <alignment horizontal="center"/>
    </xf>
    <xf numFmtId="9" fontId="4" fillId="4" borderId="20" xfId="2" applyFont="1" applyFill="1" applyBorder="1" applyAlignment="1">
      <alignment horizontal="center"/>
    </xf>
    <xf numFmtId="9" fontId="4" fillId="3" borderId="5" xfId="2" applyFont="1" applyFill="1" applyBorder="1" applyAlignment="1">
      <alignment horizontal="center"/>
    </xf>
    <xf numFmtId="9" fontId="4" fillId="0" borderId="0" xfId="2" applyFont="1" applyBorder="1" applyAlignment="1">
      <alignment horizontal="center"/>
    </xf>
    <xf numFmtId="9" fontId="4" fillId="0" borderId="22" xfId="2" applyFont="1" applyBorder="1" applyAlignment="1">
      <alignment horizontal="center"/>
    </xf>
    <xf numFmtId="9" fontId="4" fillId="0" borderId="22" xfId="0" applyNumberFormat="1" applyFont="1" applyBorder="1" applyAlignment="1">
      <alignment horizontal="center"/>
    </xf>
    <xf numFmtId="9" fontId="4" fillId="4" borderId="19" xfId="2" applyFont="1" applyFill="1" applyBorder="1" applyAlignment="1">
      <alignment horizontal="center"/>
    </xf>
    <xf numFmtId="9" fontId="4" fillId="13" borderId="0" xfId="2" applyFont="1" applyFill="1" applyAlignment="1">
      <alignment horizontal="center"/>
    </xf>
    <xf numFmtId="9" fontId="4" fillId="13" borderId="5" xfId="2" applyFont="1" applyFill="1" applyBorder="1" applyAlignment="1">
      <alignment horizontal="center"/>
    </xf>
    <xf numFmtId="9" fontId="4" fillId="0" borderId="0" xfId="0" applyNumberFormat="1" applyFont="1" applyAlignment="1">
      <alignment horizontal="center"/>
    </xf>
    <xf numFmtId="9" fontId="4" fillId="0" borderId="21" xfId="0" applyNumberFormat="1" applyFont="1" applyBorder="1" applyAlignment="1">
      <alignment horizontal="center"/>
    </xf>
    <xf numFmtId="164" fontId="4" fillId="3" borderId="5" xfId="2" applyNumberFormat="1" applyFont="1" applyFill="1" applyBorder="1" applyAlignment="1">
      <alignment horizontal="center" vertical="center" wrapText="1"/>
    </xf>
    <xf numFmtId="164" fontId="4" fillId="0" borderId="21" xfId="0" applyNumberFormat="1" applyFont="1" applyBorder="1"/>
    <xf numFmtId="0" fontId="6" fillId="13" borderId="0" xfId="0" applyFont="1" applyFill="1"/>
    <xf numFmtId="9" fontId="4" fillId="4" borderId="8" xfId="2" applyFont="1" applyFill="1" applyBorder="1" applyAlignment="1">
      <alignment horizontal="center"/>
    </xf>
    <xf numFmtId="0" fontId="0" fillId="13" borderId="0" xfId="0" applyFill="1"/>
    <xf numFmtId="164" fontId="4" fillId="13" borderId="5" xfId="2" applyNumberFormat="1" applyFont="1" applyFill="1" applyBorder="1" applyAlignment="1">
      <alignment horizontal="center" vertical="center" wrapText="1"/>
    </xf>
    <xf numFmtId="0" fontId="4" fillId="13" borderId="0" xfId="0" applyFont="1" applyFill="1" applyAlignment="1">
      <alignment horizontal="left" vertical="center"/>
    </xf>
    <xf numFmtId="164" fontId="4" fillId="13" borderId="0" xfId="1" applyNumberFormat="1" applyFont="1" applyFill="1" applyBorder="1" applyAlignment="1">
      <alignment vertical="center" wrapText="1"/>
    </xf>
    <xf numFmtId="9" fontId="4" fillId="13" borderId="0" xfId="2" applyFont="1" applyFill="1" applyBorder="1" applyAlignment="1">
      <alignment horizontal="center" vertical="center" wrapText="1"/>
    </xf>
    <xf numFmtId="2" fontId="4" fillId="13" borderId="0" xfId="0" applyNumberFormat="1" applyFont="1" applyFill="1" applyAlignment="1">
      <alignment horizontal="center" vertical="center" wrapText="1"/>
    </xf>
    <xf numFmtId="164" fontId="6" fillId="13" borderId="0" xfId="1" applyNumberFormat="1" applyFont="1" applyFill="1" applyBorder="1" applyAlignment="1">
      <alignment vertical="center" wrapText="1"/>
    </xf>
    <xf numFmtId="164" fontId="4" fillId="13" borderId="0" xfId="0" applyNumberFormat="1" applyFont="1" applyFill="1" applyAlignment="1">
      <alignment horizontal="center" vertical="center" wrapText="1"/>
    </xf>
    <xf numFmtId="164" fontId="15" fillId="13" borderId="0" xfId="1" applyNumberFormat="1" applyFont="1" applyFill="1" applyBorder="1" applyAlignment="1">
      <alignment horizontal="right" vertical="center" wrapText="1"/>
    </xf>
    <xf numFmtId="164" fontId="4" fillId="13" borderId="0" xfId="2" applyNumberFormat="1" applyFont="1" applyFill="1" applyBorder="1" applyAlignment="1">
      <alignment horizontal="center" vertical="center" wrapText="1"/>
    </xf>
    <xf numFmtId="2" fontId="4" fillId="13" borderId="0" xfId="0" applyNumberFormat="1" applyFont="1" applyFill="1" applyAlignment="1">
      <alignment horizontal="center" vertical="center"/>
    </xf>
    <xf numFmtId="164" fontId="4" fillId="13" borderId="6" xfId="1" applyNumberFormat="1" applyFont="1" applyFill="1" applyBorder="1" applyAlignment="1">
      <alignment vertical="center" wrapText="1"/>
    </xf>
    <xf numFmtId="164" fontId="4" fillId="13" borderId="6" xfId="1" applyNumberFormat="1" applyFont="1" applyFill="1" applyBorder="1" applyAlignment="1">
      <alignment horizontal="center" vertical="center" wrapText="1"/>
    </xf>
    <xf numFmtId="9" fontId="4" fillId="13" borderId="6" xfId="2" applyFont="1" applyFill="1" applyBorder="1" applyAlignment="1">
      <alignment horizontal="center" vertical="center" wrapText="1"/>
    </xf>
    <xf numFmtId="2" fontId="4" fillId="13" borderId="6" xfId="0" applyNumberFormat="1" applyFont="1" applyFill="1" applyBorder="1" applyAlignment="1">
      <alignment horizontal="center" vertical="center" wrapText="1"/>
    </xf>
    <xf numFmtId="0" fontId="4" fillId="13" borderId="6" xfId="0" applyFont="1" applyFill="1" applyBorder="1" applyAlignment="1">
      <alignment horizontal="center" vertical="center" wrapText="1"/>
    </xf>
    <xf numFmtId="164" fontId="6" fillId="13" borderId="6" xfId="1" applyNumberFormat="1" applyFont="1" applyFill="1" applyBorder="1" applyAlignment="1">
      <alignment vertical="center" wrapText="1"/>
    </xf>
    <xf numFmtId="164" fontId="4" fillId="13" borderId="6" xfId="0" applyNumberFormat="1" applyFont="1" applyFill="1" applyBorder="1" applyAlignment="1">
      <alignment horizontal="center" vertical="center" wrapText="1"/>
    </xf>
    <xf numFmtId="164" fontId="4" fillId="13" borderId="6" xfId="1" applyNumberFormat="1" applyFont="1" applyFill="1" applyBorder="1" applyAlignment="1">
      <alignment horizontal="right" vertical="center" wrapText="1"/>
    </xf>
    <xf numFmtId="2" fontId="4" fillId="13" borderId="6" xfId="0" applyNumberFormat="1" applyFont="1" applyFill="1" applyBorder="1" applyAlignment="1">
      <alignment horizontal="center" vertical="center"/>
    </xf>
    <xf numFmtId="164" fontId="4" fillId="3" borderId="6" xfId="2" applyNumberFormat="1" applyFont="1" applyFill="1" applyBorder="1" applyAlignment="1">
      <alignment horizontal="center" vertical="center" wrapText="1"/>
    </xf>
    <xf numFmtId="0" fontId="4" fillId="5" borderId="5" xfId="0" applyFont="1" applyFill="1" applyBorder="1" applyAlignment="1">
      <alignment horizontal="left" vertical="center"/>
    </xf>
    <xf numFmtId="164" fontId="4" fillId="5" borderId="5" xfId="1" applyNumberFormat="1" applyFont="1" applyFill="1" applyBorder="1"/>
    <xf numFmtId="164" fontId="4" fillId="5" borderId="0" xfId="1" applyNumberFormat="1" applyFont="1" applyFill="1"/>
    <xf numFmtId="0" fontId="4" fillId="5" borderId="0" xfId="0" applyFont="1" applyFill="1"/>
    <xf numFmtId="164" fontId="15" fillId="3" borderId="5" xfId="1" applyNumberFormat="1" applyFont="1" applyFill="1" applyBorder="1" applyAlignment="1">
      <alignment horizontal="right" vertical="center" wrapText="1"/>
    </xf>
    <xf numFmtId="164" fontId="4" fillId="3" borderId="5" xfId="1" applyNumberFormat="1" applyFont="1" applyFill="1" applyBorder="1" applyAlignment="1">
      <alignment horizontal="right" vertical="center" wrapText="1"/>
    </xf>
    <xf numFmtId="0" fontId="4" fillId="5" borderId="6" xfId="0" applyFont="1" applyFill="1" applyBorder="1" applyAlignment="1">
      <alignment horizontal="left" vertical="center"/>
    </xf>
    <xf numFmtId="9" fontId="4" fillId="3" borderId="0" xfId="2" applyFont="1" applyFill="1" applyBorder="1" applyAlignment="1">
      <alignment horizontal="center"/>
    </xf>
    <xf numFmtId="164" fontId="4" fillId="3" borderId="0" xfId="1" applyNumberFormat="1" applyFont="1" applyFill="1" applyBorder="1"/>
    <xf numFmtId="164" fontId="4" fillId="5" borderId="5" xfId="1" applyNumberFormat="1" applyFont="1" applyFill="1" applyBorder="1" applyAlignment="1">
      <alignment vertical="center" wrapText="1"/>
    </xf>
    <xf numFmtId="0" fontId="4" fillId="5" borderId="10" xfId="0" applyFont="1" applyFill="1" applyBorder="1" applyAlignment="1">
      <alignment horizontal="left" vertical="center"/>
    </xf>
    <xf numFmtId="9" fontId="4" fillId="5" borderId="5" xfId="2" applyFont="1" applyFill="1" applyBorder="1" applyAlignment="1">
      <alignment horizontal="center" vertical="center" wrapText="1"/>
    </xf>
    <xf numFmtId="2" fontId="4" fillId="5" borderId="5" xfId="0" applyNumberFormat="1" applyFont="1" applyFill="1" applyBorder="1" applyAlignment="1">
      <alignment horizontal="center" vertical="center" wrapText="1"/>
    </xf>
    <xf numFmtId="0" fontId="4" fillId="5" borderId="5" xfId="0" applyFont="1" applyFill="1" applyBorder="1" applyAlignment="1">
      <alignment horizontal="center" vertical="center" wrapText="1"/>
    </xf>
    <xf numFmtId="164" fontId="6" fillId="5" borderId="5" xfId="1" applyNumberFormat="1" applyFont="1" applyFill="1" applyBorder="1" applyAlignment="1">
      <alignment vertical="center" wrapText="1"/>
    </xf>
    <xf numFmtId="164" fontId="4" fillId="5" borderId="5" xfId="0" applyNumberFormat="1" applyFont="1" applyFill="1" applyBorder="1" applyAlignment="1">
      <alignment horizontal="center" vertical="center" wrapText="1"/>
    </xf>
    <xf numFmtId="2" fontId="4" fillId="5" borderId="11" xfId="0" applyNumberFormat="1" applyFont="1" applyFill="1" applyBorder="1" applyAlignment="1">
      <alignment horizontal="center" vertical="center"/>
    </xf>
    <xf numFmtId="0" fontId="4" fillId="5" borderId="5" xfId="0" applyFont="1" applyFill="1" applyBorder="1" applyAlignment="1">
      <alignment horizontal="left"/>
    </xf>
    <xf numFmtId="164" fontId="15" fillId="3" borderId="0" xfId="1" applyNumberFormat="1" applyFont="1" applyFill="1" applyBorder="1" applyAlignment="1">
      <alignment horizontal="right" vertical="center" wrapText="1"/>
    </xf>
    <xf numFmtId="0" fontId="9" fillId="13" borderId="0" xfId="0" applyFont="1" applyFill="1"/>
    <xf numFmtId="164" fontId="9" fillId="13" borderId="0" xfId="1" applyNumberFormat="1" applyFont="1" applyFill="1"/>
    <xf numFmtId="1" fontId="20" fillId="3" borderId="4" xfId="0" applyNumberFormat="1" applyFont="1" applyFill="1" applyBorder="1" applyAlignment="1">
      <alignment horizontal="center" vertical="center" wrapText="1" readingOrder="1"/>
    </xf>
    <xf numFmtId="1" fontId="13" fillId="5" borderId="5" xfId="1" applyNumberFormat="1" applyFont="1" applyFill="1" applyBorder="1"/>
    <xf numFmtId="0" fontId="10" fillId="4" borderId="4" xfId="0" applyFont="1" applyFill="1" applyBorder="1" applyAlignment="1">
      <alignment horizontal="left" vertical="center" readingOrder="1"/>
    </xf>
    <xf numFmtId="1" fontId="10" fillId="4" borderId="4" xfId="0" applyNumberFormat="1" applyFont="1" applyFill="1" applyBorder="1" applyAlignment="1">
      <alignment horizontal="left" vertical="center" readingOrder="1"/>
    </xf>
    <xf numFmtId="164" fontId="10" fillId="4" borderId="4" xfId="1" applyNumberFormat="1" applyFont="1" applyFill="1" applyBorder="1" applyAlignment="1">
      <alignment horizontal="left" vertical="center" readingOrder="1"/>
    </xf>
    <xf numFmtId="0" fontId="0" fillId="0" borderId="0" xfId="0" applyAlignment="1">
      <alignment horizontal="left" vertical="center"/>
    </xf>
    <xf numFmtId="0" fontId="6" fillId="3" borderId="5" xfId="0" applyFont="1" applyFill="1" applyBorder="1" applyAlignment="1">
      <alignment horizontal="left" vertical="center"/>
    </xf>
    <xf numFmtId="164" fontId="6" fillId="3" borderId="5" xfId="1" applyNumberFormat="1" applyFont="1" applyFill="1" applyBorder="1" applyAlignment="1">
      <alignment horizontal="left" vertical="center"/>
    </xf>
    <xf numFmtId="165" fontId="8" fillId="3" borderId="4" xfId="0" applyNumberFormat="1" applyFont="1" applyFill="1" applyBorder="1" applyAlignment="1">
      <alignment horizontal="center" vertical="center" readingOrder="1"/>
    </xf>
    <xf numFmtId="1" fontId="8" fillId="2" borderId="4" xfId="0" applyNumberFormat="1" applyFont="1" applyFill="1" applyBorder="1" applyAlignment="1">
      <alignment horizontal="center" vertical="center" readingOrder="1"/>
    </xf>
    <xf numFmtId="164" fontId="8" fillId="3" borderId="4" xfId="1" applyNumberFormat="1" applyFont="1" applyFill="1" applyBorder="1" applyAlignment="1">
      <alignment vertical="top" readingOrder="1"/>
    </xf>
    <xf numFmtId="164" fontId="8" fillId="3" borderId="1" xfId="1" applyNumberFormat="1" applyFont="1" applyFill="1" applyBorder="1" applyAlignment="1">
      <alignment vertical="top" readingOrder="1"/>
    </xf>
    <xf numFmtId="1" fontId="13" fillId="5" borderId="5" xfId="1" applyNumberFormat="1" applyFont="1" applyFill="1" applyBorder="1" applyAlignment="1"/>
    <xf numFmtId="1" fontId="8" fillId="3" borderId="4" xfId="0" applyNumberFormat="1" applyFont="1" applyFill="1" applyBorder="1" applyAlignment="1">
      <alignment horizontal="center" vertical="center" readingOrder="1"/>
    </xf>
    <xf numFmtId="0" fontId="10" fillId="3" borderId="4" xfId="0" applyFont="1" applyFill="1" applyBorder="1" applyAlignment="1">
      <alignment horizontal="center" vertical="top" readingOrder="1"/>
    </xf>
    <xf numFmtId="1" fontId="10" fillId="3" borderId="4" xfId="0" applyNumberFormat="1" applyFont="1" applyFill="1" applyBorder="1" applyAlignment="1">
      <alignment horizontal="center" vertical="center" readingOrder="1"/>
    </xf>
    <xf numFmtId="164" fontId="10" fillId="3" borderId="4" xfId="0" applyNumberFormat="1" applyFont="1" applyFill="1" applyBorder="1" applyAlignment="1">
      <alignment horizontal="center" vertical="top" readingOrder="1"/>
    </xf>
    <xf numFmtId="0" fontId="7" fillId="3" borderId="3" xfId="0" applyFont="1" applyFill="1" applyBorder="1" applyAlignment="1">
      <alignment horizontal="center"/>
    </xf>
    <xf numFmtId="0" fontId="0" fillId="0" borderId="26" xfId="0" applyBorder="1"/>
    <xf numFmtId="0" fontId="20" fillId="0" borderId="0" xfId="0" applyFont="1" applyAlignment="1">
      <alignment horizontal="left" vertical="center" indent="1"/>
    </xf>
    <xf numFmtId="0" fontId="5" fillId="2" borderId="27" xfId="0" applyFont="1" applyFill="1" applyBorder="1" applyAlignment="1">
      <alignment horizontal="center" vertical="top" readingOrder="1"/>
    </xf>
    <xf numFmtId="0" fontId="5" fillId="2" borderId="28" xfId="0" applyFont="1" applyFill="1" applyBorder="1" applyAlignment="1">
      <alignment horizontal="center" vertical="top" readingOrder="1"/>
    </xf>
    <xf numFmtId="0" fontId="0" fillId="0" borderId="22" xfId="0" applyBorder="1"/>
    <xf numFmtId="0" fontId="7" fillId="2" borderId="24" xfId="0" applyFont="1" applyFill="1" applyBorder="1" applyAlignment="1">
      <alignment horizontal="center"/>
    </xf>
    <xf numFmtId="0" fontId="7" fillId="2" borderId="25" xfId="0" applyFont="1" applyFill="1" applyBorder="1" applyAlignment="1">
      <alignment horizontal="center"/>
    </xf>
    <xf numFmtId="0" fontId="10" fillId="4" borderId="29" xfId="0" applyFont="1" applyFill="1" applyBorder="1" applyAlignment="1">
      <alignment horizontal="center" vertical="center" readingOrder="1"/>
    </xf>
    <xf numFmtId="164" fontId="6" fillId="3" borderId="30" xfId="1" applyNumberFormat="1" applyFont="1" applyFill="1" applyBorder="1" applyAlignment="1"/>
    <xf numFmtId="0" fontId="8" fillId="3" borderId="29" xfId="0" applyFont="1" applyFill="1" applyBorder="1" applyAlignment="1">
      <alignment vertical="top" readingOrder="1"/>
    </xf>
    <xf numFmtId="164" fontId="6" fillId="3" borderId="30" xfId="1" applyNumberFormat="1" applyFont="1" applyFill="1" applyBorder="1"/>
    <xf numFmtId="164" fontId="13" fillId="5" borderId="30" xfId="1" applyNumberFormat="1" applyFont="1" applyFill="1" applyBorder="1"/>
    <xf numFmtId="0" fontId="10" fillId="4" borderId="29" xfId="0" applyFont="1" applyFill="1" applyBorder="1" applyAlignment="1">
      <alignment horizontal="center" vertical="top" readingOrder="1"/>
    </xf>
    <xf numFmtId="9" fontId="9" fillId="3" borderId="30" xfId="2" applyFont="1" applyFill="1" applyBorder="1"/>
    <xf numFmtId="0" fontId="0" fillId="0" borderId="31" xfId="0" applyBorder="1"/>
    <xf numFmtId="164" fontId="9" fillId="3" borderId="30" xfId="0" applyNumberFormat="1" applyFont="1" applyFill="1" applyBorder="1"/>
    <xf numFmtId="2" fontId="9" fillId="3" borderId="30" xfId="0" applyNumberFormat="1" applyFont="1" applyFill="1" applyBorder="1"/>
    <xf numFmtId="0" fontId="0" fillId="0" borderId="32" xfId="0" applyBorder="1"/>
    <xf numFmtId="0" fontId="5" fillId="2" borderId="27" xfId="0" applyFont="1" applyFill="1" applyBorder="1" applyAlignment="1">
      <alignment horizontal="right" vertical="top" readingOrder="1"/>
    </xf>
    <xf numFmtId="0" fontId="5" fillId="2" borderId="28" xfId="0" applyFont="1" applyFill="1" applyBorder="1" applyAlignment="1">
      <alignment horizontal="right" vertical="top" readingOrder="1"/>
    </xf>
    <xf numFmtId="0" fontId="6" fillId="3" borderId="22" xfId="0" applyFont="1" applyFill="1" applyBorder="1"/>
    <xf numFmtId="0" fontId="5" fillId="2" borderId="28" xfId="0" applyFont="1" applyFill="1" applyBorder="1" applyAlignment="1">
      <alignment vertical="top" readingOrder="1"/>
    </xf>
    <xf numFmtId="164" fontId="5" fillId="2" borderId="28" xfId="1" applyNumberFormat="1" applyFont="1" applyFill="1" applyBorder="1" applyAlignment="1">
      <alignment vertical="top" readingOrder="1"/>
    </xf>
    <xf numFmtId="164" fontId="5" fillId="2" borderId="22" xfId="1" applyNumberFormat="1" applyFont="1" applyFill="1" applyBorder="1" applyAlignment="1">
      <alignment vertical="top" readingOrder="1"/>
    </xf>
    <xf numFmtId="164" fontId="6" fillId="3" borderId="32" xfId="1" applyNumberFormat="1" applyFont="1" applyFill="1" applyBorder="1"/>
    <xf numFmtId="0" fontId="6" fillId="3" borderId="32" xfId="0" applyFont="1" applyFill="1" applyBorder="1"/>
    <xf numFmtId="166" fontId="8" fillId="0" borderId="29" xfId="4" applyNumberFormat="1" applyFont="1" applyBorder="1" applyAlignment="1">
      <alignment vertical="top" readingOrder="1"/>
    </xf>
    <xf numFmtId="2" fontId="9" fillId="3" borderId="32" xfId="0" applyNumberFormat="1" applyFont="1" applyFill="1" applyBorder="1"/>
    <xf numFmtId="0" fontId="14" fillId="0" borderId="32" xfId="0" applyFont="1" applyBorder="1"/>
    <xf numFmtId="0" fontId="20" fillId="0" borderId="0" xfId="0" applyFont="1"/>
    <xf numFmtId="0" fontId="0" fillId="0" borderId="33" xfId="0" applyBorder="1"/>
    <xf numFmtId="0" fontId="7" fillId="2" borderId="34" xfId="0" applyFont="1" applyFill="1" applyBorder="1" applyAlignment="1">
      <alignment horizontal="center"/>
    </xf>
    <xf numFmtId="0" fontId="26" fillId="0" borderId="0" xfId="0" applyFont="1"/>
    <xf numFmtId="0" fontId="14" fillId="0" borderId="22" xfId="0" applyFont="1" applyBorder="1"/>
    <xf numFmtId="0" fontId="0" fillId="3" borderId="32" xfId="0" applyFill="1" applyBorder="1"/>
    <xf numFmtId="0" fontId="10" fillId="3" borderId="23" xfId="0" applyFont="1" applyFill="1" applyBorder="1" applyAlignment="1">
      <alignment horizontal="center" vertical="top" readingOrder="1"/>
    </xf>
    <xf numFmtId="1" fontId="10" fillId="3" borderId="0" xfId="0" applyNumberFormat="1" applyFont="1" applyFill="1" applyAlignment="1">
      <alignment horizontal="center" vertical="center" readingOrder="1"/>
    </xf>
    <xf numFmtId="164" fontId="10" fillId="3" borderId="0" xfId="0" applyNumberFormat="1" applyFont="1" applyFill="1" applyAlignment="1">
      <alignment horizontal="center" vertical="top" readingOrder="1"/>
    </xf>
    <xf numFmtId="0" fontId="10" fillId="3" borderId="35" xfId="0" applyFont="1" applyFill="1" applyBorder="1" applyAlignment="1">
      <alignment horizontal="center" vertical="top" readingOrder="1"/>
    </xf>
    <xf numFmtId="0" fontId="8" fillId="0" borderId="0" xfId="0" applyFont="1" applyAlignment="1">
      <alignment horizontal="left" vertical="center" indent="1"/>
    </xf>
    <xf numFmtId="0" fontId="0" fillId="0" borderId="36" xfId="0" applyBorder="1"/>
    <xf numFmtId="0" fontId="6" fillId="3" borderId="26" xfId="0" applyFont="1" applyFill="1" applyBorder="1"/>
    <xf numFmtId="0" fontId="14" fillId="0" borderId="26" xfId="0" applyFont="1" applyBorder="1"/>
    <xf numFmtId="0" fontId="0" fillId="0" borderId="37" xfId="0" applyBorder="1"/>
    <xf numFmtId="1" fontId="8" fillId="3" borderId="4" xfId="0" applyNumberFormat="1" applyFont="1" applyFill="1" applyBorder="1" applyAlignment="1">
      <alignment horizontal="center" vertical="center" wrapText="1" readingOrder="1"/>
    </xf>
    <xf numFmtId="9" fontId="4" fillId="3" borderId="20" xfId="2" applyFont="1" applyFill="1" applyBorder="1" applyAlignment="1">
      <alignment horizontal="center" vertical="center" wrapText="1"/>
    </xf>
    <xf numFmtId="164" fontId="4" fillId="5" borderId="0" xfId="1" applyNumberFormat="1" applyFont="1" applyFill="1" applyBorder="1" applyAlignment="1">
      <alignment horizontal="center" vertical="center" wrapText="1"/>
    </xf>
    <xf numFmtId="164" fontId="4" fillId="3" borderId="0" xfId="2" applyNumberFormat="1" applyFont="1" applyFill="1" applyBorder="1" applyAlignment="1">
      <alignment horizontal="center"/>
    </xf>
    <xf numFmtId="164" fontId="4" fillId="5" borderId="0" xfId="1" applyNumberFormat="1" applyFont="1" applyFill="1" applyBorder="1"/>
    <xf numFmtId="164" fontId="4" fillId="13" borderId="0" xfId="1" applyNumberFormat="1" applyFont="1" applyFill="1" applyBorder="1"/>
    <xf numFmtId="9" fontId="23" fillId="12" borderId="0" xfId="2"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3" xfId="0" applyFont="1" applyFill="1" applyBorder="1" applyAlignment="1">
      <alignment horizontal="center" vertical="center" wrapText="1"/>
    </xf>
    <xf numFmtId="0" fontId="25" fillId="10" borderId="0" xfId="0" applyFont="1" applyFill="1" applyAlignment="1">
      <alignment horizontal="center"/>
    </xf>
    <xf numFmtId="0" fontId="7" fillId="2" borderId="3" xfId="0" applyFont="1" applyFill="1" applyBorder="1" applyAlignment="1">
      <alignment horizontal="center"/>
    </xf>
    <xf numFmtId="0" fontId="7" fillId="2" borderId="24" xfId="0" applyFont="1" applyFill="1" applyBorder="1" applyAlignment="1">
      <alignment horizontal="center"/>
    </xf>
    <xf numFmtId="0" fontId="7" fillId="2" borderId="25" xfId="0" applyFont="1" applyFill="1" applyBorder="1" applyAlignment="1">
      <alignment horizontal="center"/>
    </xf>
    <xf numFmtId="0" fontId="7" fillId="2" borderId="34" xfId="0" applyFont="1" applyFill="1" applyBorder="1" applyAlignment="1">
      <alignment horizontal="center"/>
    </xf>
    <xf numFmtId="0" fontId="19" fillId="2" borderId="3" xfId="0" applyFont="1" applyFill="1" applyBorder="1" applyAlignment="1">
      <alignment horizontal="center"/>
    </xf>
    <xf numFmtId="164" fontId="5" fillId="2" borderId="17" xfId="1" applyNumberFormat="1" applyFont="1" applyFill="1" applyBorder="1" applyAlignment="1">
      <alignment horizontal="center" vertical="top" readingOrder="1"/>
    </xf>
    <xf numFmtId="0" fontId="8" fillId="0" borderId="0" xfId="0" applyFont="1" applyAlignment="1">
      <alignment vertical="center"/>
    </xf>
    <xf numFmtId="0" fontId="25" fillId="0" borderId="0" xfId="0" applyFont="1"/>
  </cellXfs>
  <cellStyles count="10">
    <cellStyle name="Hipervínculo" xfId="3" builtinId="8"/>
    <cellStyle name="Moneda" xfId="1" builtinId="4"/>
    <cellStyle name="Moneda [0] 2" xfId="7" xr:uid="{FEADCFEE-D927-4C66-8363-FC2D4AF35381}"/>
    <cellStyle name="Moneda 2" xfId="5" xr:uid="{21C73EE4-BD41-4B65-BA9B-EA7173703976}"/>
    <cellStyle name="Moneda 2 2" xfId="8" xr:uid="{7581DEB9-56D6-4367-89AC-5DD9FE3C209A}"/>
    <cellStyle name="Moneda 3" xfId="9" xr:uid="{F993D116-88F2-49F8-B0D2-22144B43DABB}"/>
    <cellStyle name="Moneda 4" xfId="6" xr:uid="{593E669C-D5C2-4BAE-8045-D13F6B8EB4C7}"/>
    <cellStyle name="Normal" xfId="0" builtinId="0"/>
    <cellStyle name="Normal 2" xfId="4" xr:uid="{8A7BDF0D-323E-42D8-91A7-1B00A6B4AC00}"/>
    <cellStyle name="Porcentaje" xfId="2" builtinId="5"/>
  </cellStyles>
  <dxfs count="12700">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strike val="0"/>
        <outline val="0"/>
        <shadow val="0"/>
        <u val="none"/>
        <vertAlign val="baseline"/>
        <sz val="10"/>
        <name val="Arial"/>
        <family val="2"/>
        <scheme val="none"/>
      </font>
    </dxf>
    <dxf>
      <font>
        <b/>
        <i val="0"/>
        <strike val="0"/>
        <condense val="0"/>
        <extend val="0"/>
        <outline val="0"/>
        <shadow val="0"/>
        <u val="none"/>
        <vertAlign val="baseline"/>
        <sz val="10"/>
        <color theme="1"/>
        <name val="Arial"/>
        <family val="2"/>
        <scheme val="none"/>
      </font>
    </dxf>
    <dxf>
      <font>
        <strike val="0"/>
        <outline val="0"/>
        <shadow val="0"/>
        <u val="none"/>
        <vertAlign val="baseline"/>
        <sz val="10"/>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none"/>
      </font>
      <alignment horizontal="left" vertical="center" textRotation="0" wrapText="0" indent="1" justifyLastLine="0" shrinkToFit="0" readingOrder="0"/>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font>
        <strike val="0"/>
        <outline val="0"/>
        <shadow val="0"/>
        <u val="none"/>
        <vertAlign val="baseline"/>
        <sz val="10"/>
        <color rgb="FFFFFFFF"/>
        <name val="Arial"/>
        <family val="2"/>
        <scheme val="none"/>
      </font>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92D050"/>
          </stop>
          <stop position="1">
            <color theme="0"/>
          </stop>
        </gradientFill>
      </fill>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border outline="0">
        <left style="medium">
          <color indexed="64"/>
        </left>
        <bottom style="medium">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border outline="0">
        <left style="medium">
          <color indexed="64"/>
        </left>
        <bottom style="medium">
          <color indexed="64"/>
        </bottom>
      </border>
    </dxf>
    <dxf>
      <font>
        <b val="0"/>
        <i val="0"/>
        <strike val="0"/>
        <condense val="0"/>
        <extend val="0"/>
        <outline val="0"/>
        <shadow val="0"/>
        <u val="none"/>
        <vertAlign val="baseline"/>
        <sz val="11"/>
        <color rgb="FF000000"/>
        <name val="Arial"/>
        <family val="2"/>
        <scheme val="none"/>
      </font>
      <alignment horizontal="left" vertical="center" textRotation="0" wrapText="0" indent="1"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left"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center" vertical="center" textRotation="0" wrapText="0" indent="0" justifyLastLine="0" shrinkToFit="0" readingOrder="1"/>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ill>
        <patternFill patternType="solid">
          <fgColor indexed="64"/>
          <bgColor theme="2" tint="-0.499984740745262"/>
        </patternFill>
      </fill>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ill>
        <patternFill patternType="solid">
          <fgColor indexed="64"/>
          <bgColor theme="2" tint="-0.499984740745262"/>
        </patternFill>
      </fill>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2"/>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2"/>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2"/>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FF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rgb="FF00000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horizontal="left" vertical="center"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border outline="0">
        <top style="thin">
          <color rgb="FFD3D3D3"/>
        </top>
      </border>
    </dxf>
    <dxf>
      <border outline="0">
        <left style="thin">
          <color rgb="FFD3D3D3"/>
        </left>
        <right style="thin">
          <color rgb="FFD3D3D3"/>
        </right>
        <top style="thin">
          <color rgb="FFD3D3D3"/>
        </top>
        <bottom style="thin">
          <color rgb="FFD3D3D3"/>
        </bottom>
      </border>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tint="-0.249977111117893"/>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1"/>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1"/>
        <name val="Arial"/>
        <family val="2"/>
        <scheme val="none"/>
      </font>
    </dxf>
    <dxf>
      <border outline="0">
        <bottom style="thin">
          <color rgb="FFD3D3D3"/>
        </bottom>
      </border>
    </dxf>
    <dxf>
      <font>
        <strike val="0"/>
        <outline val="0"/>
        <shadow val="0"/>
        <u val="none"/>
        <vertAlign val="baseline"/>
        <sz val="11"/>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vertical/>
        <horizontal/>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color theme="0"/>
        <name val="Arial"/>
        <family val="2"/>
        <scheme val="none"/>
      </font>
      <alignment textRotation="0" wrapText="0" indent="0" justifyLastLine="0" shrinkToFit="0"/>
    </dxf>
    <dxf>
      <font>
        <b val="0"/>
        <strike val="0"/>
        <outline val="0"/>
        <shadow val="0"/>
        <u val="none"/>
        <vertAlign val="baseline"/>
        <sz val="10"/>
        <name val="Arial"/>
        <family val="2"/>
        <scheme val="none"/>
      </font>
      <numFmt numFmtId="164" formatCode="_-&quot;$&quot;\ * #,##0_-;\-&quot;$&quot;\ * #,##0_-;_-&quot;$&quot;\ * &quot;-&quot;??_-;_-@_-"/>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name val="Arial"/>
        <family val="2"/>
        <scheme val="none"/>
      </font>
      <fill>
        <patternFill>
          <fgColor indexed="64"/>
          <bgColor theme="0"/>
        </patternFill>
      </fill>
    </dxf>
    <dxf>
      <font>
        <b val="0"/>
        <strike val="0"/>
        <outline val="0"/>
        <shadow val="0"/>
        <u val="none"/>
        <vertAlign val="baseline"/>
        <sz val="10"/>
        <name val="Arial"/>
        <family val="2"/>
        <scheme val="none"/>
      </font>
      <fill>
        <patternFill patternType="solid">
          <fgColor indexed="64"/>
          <bgColor theme="1"/>
        </patternFill>
      </fill>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outline="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strike val="0"/>
        <outline val="0"/>
        <shadow val="0"/>
        <u val="none"/>
        <vertAlign val="baseline"/>
        <sz val="10"/>
        <name val="Arial"/>
        <family val="2"/>
        <scheme val="none"/>
      </font>
      <alignment textRotation="0" wrapText="0" indent="0" justifyLastLine="0" shrinkToFit="0"/>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70" formatCode="[$-10C0A]#,##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70" formatCode="[$-10C0A]#,##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outline="0">
        <left style="medium">
          <color indexed="64"/>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1" indent="0" justifyLastLine="0" shrinkToFit="0" readingOrder="1"/>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64" formatCode="_-&quot;$&quot;\ * #,##0_-;\-&quot;$&quot;\ * #,##0_-;_-&quot;$&quot;\ * &quot;-&quot;??_-;_-@_-"/>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4" formatCode="_-&quot;$&quot;\ * #,##0_-;\-&quot;$&quot;\ * #,##0_-;_-&quot;$&quot;\ * &quot;-&quot;??_-;_-@_-"/>
      <fill>
        <patternFill patternType="solid">
          <fgColor indexed="64"/>
          <bgColor theme="0"/>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tint="-0.249977111117893"/>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numFmt numFmtId="165" formatCode="[$-10C0A]#,##0.000;\(#,##0.000\)"/>
      <fill>
        <patternFill patternType="solid">
          <fgColor indexed="64"/>
          <bgColor theme="0"/>
        </patternFill>
      </fill>
      <alignment horizontal="center" vertical="center" textRotation="0" wrapText="1" indent="0" justifyLastLine="0" shrinkToFit="0" readingOrder="1"/>
      <border diagonalUp="0" diagonalDown="0">
        <left style="thin">
          <color rgb="FFD3D3D3"/>
        </left>
        <right style="thin">
          <color rgb="FFD3D3D3"/>
        </right>
        <top style="thin">
          <color rgb="FFD3D3D3"/>
        </top>
        <bottom style="thin">
          <color rgb="FFD3D3D3"/>
        </bottom>
      </border>
    </dxf>
    <dxf>
      <font>
        <b/>
        <i val="0"/>
        <strike val="0"/>
        <condense val="0"/>
        <extend val="0"/>
        <outline val="0"/>
        <shadow val="0"/>
        <u val="none"/>
        <vertAlign val="baseline"/>
        <sz val="10"/>
        <color theme="0"/>
        <name val="Arial"/>
        <family val="2"/>
        <scheme val="none"/>
      </font>
      <fill>
        <patternFill patternType="solid">
          <fgColor indexed="64"/>
          <bgColor theme="1" tint="0.34998626667073579"/>
        </patternFill>
      </fill>
      <alignment horizontal="center"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top" textRotation="0" wrapText="0" indent="0" justifyLastLine="0" shrinkToFit="0" readingOrder="1"/>
      <border diagonalUp="0" diagonalDown="0">
        <left style="thin">
          <color rgb="FFD3D3D3"/>
        </left>
        <right style="thin">
          <color rgb="FFD3D3D3"/>
        </right>
        <top style="thin">
          <color rgb="FFD3D3D3"/>
        </top>
        <bottom style="thin">
          <color rgb="FFD3D3D3"/>
        </bottom>
      </border>
    </dxf>
    <dxf>
      <border outline="0">
        <top style="thin">
          <color rgb="FFD3D3D3"/>
        </top>
      </border>
    </dxf>
    <dxf>
      <font>
        <strike val="0"/>
        <outline val="0"/>
        <shadow val="0"/>
        <u val="none"/>
        <vertAlign val="baseline"/>
        <sz val="10"/>
        <color rgb="FFFFFFFF"/>
        <name val="Arial"/>
        <family val="2"/>
        <scheme val="none"/>
      </font>
    </dxf>
    <dxf>
      <border outline="0">
        <left style="thin">
          <color rgb="FFD3D3D3"/>
        </left>
        <right style="thin">
          <color rgb="FFD3D3D3"/>
        </right>
        <top style="thin">
          <color rgb="FFD3D3D3"/>
        </top>
        <bottom style="thin">
          <color rgb="FFD3D3D3"/>
        </bottom>
      </border>
    </dxf>
    <dxf>
      <font>
        <strike val="0"/>
        <outline val="0"/>
        <shadow val="0"/>
        <u val="none"/>
        <vertAlign val="baseline"/>
        <sz val="10"/>
        <name val="Arial"/>
        <family val="2"/>
        <scheme val="none"/>
      </font>
    </dxf>
    <dxf>
      <border outline="0">
        <bottom style="thin">
          <color rgb="FFD3D3D3"/>
        </bottom>
      </border>
    </dxf>
    <dxf>
      <font>
        <b/>
        <i val="0"/>
        <strike val="0"/>
        <condense val="0"/>
        <extend val="0"/>
        <outline val="0"/>
        <shadow val="0"/>
        <u val="none"/>
        <vertAlign val="baseline"/>
        <sz val="10"/>
        <color theme="0"/>
        <name val="Arial"/>
        <family val="2"/>
        <scheme val="none"/>
      </font>
      <numFmt numFmtId="1" formatCode="0"/>
      <fill>
        <patternFill patternType="solid">
          <fgColor indexed="64"/>
          <bgColor theme="1" tint="0.34998626667073579"/>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dxf>
    <dxf>
      <border>
        <bottom style="thin">
          <color indexed="64"/>
        </bottom>
      </border>
    </dxf>
    <dxf>
      <font>
        <strike val="0"/>
        <outline val="0"/>
        <shadow val="0"/>
        <u val="none"/>
        <vertAlign val="baseline"/>
        <sz val="10"/>
        <name val="Arial"/>
        <family val="2"/>
        <scheme val="none"/>
      </font>
      <fill>
        <patternFill patternType="solid">
          <fgColor indexed="64"/>
          <bgColor theme="1" tint="0.34998626667073579"/>
        </patternFill>
      </fill>
      <alignment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border diagonalUp="0" diagonalDown="0" outline="0">
        <left style="thin">
          <color indexed="64"/>
        </left>
        <right style="thin">
          <color indexed="64"/>
        </right>
        <top/>
        <bottom/>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00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strike val="0"/>
        <outline val="0"/>
        <shadow val="0"/>
        <u val="none"/>
        <vertAlign val="baseline"/>
        <sz val="10"/>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rgb="FFFF0000"/>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style="medium">
          <color indexed="64"/>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rgb="FFFFFF00"/>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dxf>
    <dxf>
      <font>
        <strike val="0"/>
        <outline val="0"/>
        <shadow val="0"/>
        <u val="none"/>
        <vertAlign val="baseline"/>
        <sz val="10"/>
        <name val="Arial"/>
        <family val="2"/>
        <scheme val="none"/>
      </font>
      <numFmt numFmtId="164" formatCode="_-&quot;$&quot;\ * #,##0_-;\-&quot;$&quot;\ * #,##0_-;_-&quot;$&quot;\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right/>
        <top/>
        <bottom/>
      </border>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dxf>
    <dxf>
      <font>
        <strike val="0"/>
        <outline val="0"/>
        <shadow val="0"/>
        <u val="none"/>
        <vertAlign val="baseline"/>
        <sz val="10"/>
        <name val="Arial"/>
        <family val="2"/>
        <scheme val="none"/>
      </font>
      <numFmt numFmtId="164" formatCode="_-&quot;$&quot;\ * #,##0_-;\-&quot;$&quot;\ * #,##0_-;_-&quot;$&quot;\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quot;$&quot;\ * #,##0_-;\-&quot;$&quot;\ * #,##0_-;_-&quot;$&quot;\ * &quot;-&quot;??_-;_-@_-"/>
      <border diagonalUp="0" diagonalDown="0" outline="0">
        <left style="thin">
          <color indexed="64"/>
        </left>
        <right style="thin">
          <color indexed="64"/>
        </right>
        <top style="medium">
          <color indexed="64"/>
        </top>
        <bottom/>
      </border>
    </dxf>
    <dxf>
      <font>
        <strike val="0"/>
        <outline val="0"/>
        <shadow val="0"/>
        <u val="none"/>
        <vertAlign val="baseline"/>
        <sz val="10"/>
        <name val="Arial"/>
        <family val="2"/>
        <scheme val="none"/>
      </font>
      <numFmt numFmtId="164" formatCode="_-&quot;$&quot;\ * #,##0_-;\-&quot;$&quot;\ * #,##0_-;_-&quot;$&quot;\ * &quot;-&quot;??_-;_-@_-"/>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9"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right"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top style="medium">
          <color indexed="64"/>
        </top>
        <bottom style="medium">
          <color indexed="64"/>
        </bottom>
      </border>
    </dxf>
    <dxf>
      <font>
        <strike val="0"/>
        <outline val="0"/>
        <shadow val="0"/>
        <u val="none"/>
        <vertAlign val="baseline"/>
        <sz val="10"/>
        <name val="Arial"/>
        <family val="2"/>
        <scheme val="none"/>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medium">
          <color indexed="64"/>
        </top>
      </border>
    </dxf>
    <dxf>
      <font>
        <strike val="0"/>
        <outline val="0"/>
        <shadow val="0"/>
        <u val="none"/>
        <vertAlign val="baseline"/>
        <sz val="10"/>
        <name val="Arial"/>
        <family val="2"/>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dxf>
    <dxf>
      <border>
        <bottom style="thin">
          <color indexed="64"/>
        </bottom>
      </border>
    </dxf>
    <dxf>
      <font>
        <strike val="0"/>
        <outline val="0"/>
        <shadow val="0"/>
        <u val="none"/>
        <vertAlign val="baseline"/>
        <sz val="10"/>
        <name val="Arial"/>
        <family val="2"/>
        <scheme val="none"/>
      </font>
      <fill>
        <patternFill patternType="solid">
          <fgColor indexed="64"/>
          <bgColor theme="1" tint="0.34998626667073579"/>
        </patternFill>
      </fill>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9031A280-5BA8-46E3-B246-C50CFBDF09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hyperlink" Target="#'MATRIZ CARTA'!A1"/></Relationships>
</file>

<file path=xl/drawings/_rels/drawing2.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xml.rels><?xml version="1.0" encoding="UTF-8" standalone="yes"?>
<Relationships xmlns="http://schemas.openxmlformats.org/package/2006/relationships"><Relationship Id="rId1" Type="http://schemas.openxmlformats.org/officeDocument/2006/relationships/hyperlink" Target="#PRINCIPAL!A1"/></Relationships>
</file>

<file path=xl/drawings/_rels/drawing4.xml.rels><?xml version="1.0" encoding="UTF-8" standalone="yes"?>
<Relationships xmlns="http://schemas.openxmlformats.org/package/2006/relationships"><Relationship Id="rId1" Type="http://schemas.openxmlformats.org/officeDocument/2006/relationships/hyperlink" Target="#PRINCIPAL!A1"/></Relationships>
</file>

<file path=xl/drawings/_rels/drawing5.xml.rels><?xml version="1.0" encoding="UTF-8" standalone="yes"?>
<Relationships xmlns="http://schemas.openxmlformats.org/package/2006/relationships"><Relationship Id="rId1" Type="http://schemas.openxmlformats.org/officeDocument/2006/relationships/hyperlink" Target="#PRINCIPAL!A1"/></Relationships>
</file>

<file path=xl/drawings/_rels/drawing6.xml.rels><?xml version="1.0" encoding="UTF-8" standalone="yes"?>
<Relationships xmlns="http://schemas.openxmlformats.org/package/2006/relationships"><Relationship Id="rId1" Type="http://schemas.openxmlformats.org/officeDocument/2006/relationships/hyperlink" Target="#'MATRIZ CARTA'!A1"/></Relationships>
</file>

<file path=xl/drawings/_rels/drawing7.xml.rels><?xml version="1.0" encoding="UTF-8" standalone="yes"?>
<Relationships xmlns="http://schemas.openxmlformats.org/package/2006/relationships"><Relationship Id="rId1" Type="http://schemas.openxmlformats.org/officeDocument/2006/relationships/hyperlink" Target="#PRINCIPAL!A1"/></Relationships>
</file>

<file path=xl/drawings/_rels/drawing8.xml.rels><?xml version="1.0" encoding="UTF-8" standalone="yes"?>
<Relationships xmlns="http://schemas.openxmlformats.org/package/2006/relationships"><Relationship Id="rId1" Type="http://schemas.openxmlformats.org/officeDocument/2006/relationships/hyperlink" Target="#PRINCIPAL!A1"/></Relationships>
</file>

<file path=xl/drawings/_rels/drawing9.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0.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1.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2.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3.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4.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5.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6.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7.xml.rels><?xml version="1.0" encoding="UTF-8" standalone="yes"?>
<Relationships xmlns="http://schemas.openxmlformats.org/package/2006/relationships"><Relationship Id="rId1" Type="http://schemas.openxmlformats.org/officeDocument/2006/relationships/hyperlink" Target="#'MATRIZ CARTA'!A1"/></Relationships>
</file>

<file path=xl/drawings/_rels/drawing18.xml.rels><?xml version="1.0" encoding="UTF-8" standalone="yes"?>
<Relationships xmlns="http://schemas.openxmlformats.org/package/2006/relationships"><Relationship Id="rId1" Type="http://schemas.openxmlformats.org/officeDocument/2006/relationships/hyperlink" Target="#PRINCIPAL!A1"/></Relationships>
</file>

<file path=xl/drawings/_rels/drawing19.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0.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1.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2.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3.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4.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5.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6.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7.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8.xml.rels><?xml version="1.0" encoding="UTF-8" standalone="yes"?>
<Relationships xmlns="http://schemas.openxmlformats.org/package/2006/relationships"><Relationship Id="rId1" Type="http://schemas.openxmlformats.org/officeDocument/2006/relationships/hyperlink" Target="#PRINCIPAL!A1"/></Relationships>
</file>

<file path=xl/drawings/_rels/drawing29.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0.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1.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2.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3.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4.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5.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6.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7.xml.rels><?xml version="1.0" encoding="UTF-8" standalone="yes"?>
<Relationships xmlns="http://schemas.openxmlformats.org/package/2006/relationships"><Relationship Id="rId1" Type="http://schemas.openxmlformats.org/officeDocument/2006/relationships/hyperlink" Target="#PRINCIPAL!A1"/></Relationships>
</file>

<file path=xl/drawings/_rels/drawing38.xml.rels><?xml version="1.0" encoding="UTF-8" standalone="yes"?>
<Relationships xmlns="http://schemas.openxmlformats.org/package/2006/relationships"><Relationship Id="rId1" Type="http://schemas.openxmlformats.org/officeDocument/2006/relationships/hyperlink" Target="#PRINCIPAL!A1"/></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45720</xdr:rowOff>
    </xdr:from>
    <xdr:to>
      <xdr:col>1</xdr:col>
      <xdr:colOff>1659396</xdr:colOff>
      <xdr:row>4</xdr:row>
      <xdr:rowOff>39602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A651A2-54F5-4D54-9774-E13B265BC42D}"/>
            </a:ext>
          </a:extLst>
        </xdr:cNvPr>
        <xdr:cNvSpPr/>
      </xdr:nvSpPr>
      <xdr:spPr>
        <a:xfrm>
          <a:off x="792480" y="45720"/>
          <a:ext cx="1659396" cy="5425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6AAC8F8-6D4C-49A4-9DC1-96F0A747DC8E}"/>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7EEEE25-C1D7-4EEC-8622-996B94B93BE1}"/>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30E7A8D-8CBA-47D6-9B9B-DF672FB2F416}"/>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9DAF8A2-0C7F-4CC0-A626-4AD8FD9F6FB0}"/>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228392E-347F-4CDE-911C-03A8F8BF6F25}"/>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2D50290-5778-44D4-92E6-070B7610D963}"/>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34637CE-FFF1-46E7-B1D1-445DBD849866}"/>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4E22AA3-E870-402C-819E-64DFEFB1069F}"/>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5C5DD4D-B2F0-451C-AF97-C4B857F1B3C6}"/>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287DE3B-E340-4A89-8C92-D8949E47CE2C}"/>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30B43B9-F51D-4B27-88DE-6D8F822BA1C0}"/>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DACF407-DE37-460C-B713-474B2DCE4EAA}"/>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AD4AD38-D816-4378-905F-75A884551E5D}"/>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0CBD8E9-AD01-439E-96C8-0F37DDEBDC79}"/>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3E564A0-781B-43B4-953D-5527FC31FEAF}"/>
            </a:ext>
          </a:extLst>
        </xdr:cNvPr>
        <xdr:cNvSpPr/>
      </xdr:nvSpPr>
      <xdr:spPr>
        <a:xfrm>
          <a:off x="330200" y="146050"/>
          <a:ext cx="109996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0</xdr:row>
      <xdr:rowOff>45720</xdr:rowOff>
    </xdr:from>
    <xdr:to>
      <xdr:col>1</xdr:col>
      <xdr:colOff>1659396</xdr:colOff>
      <xdr:row>3</xdr:row>
      <xdr:rowOff>39602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D762450-AC92-4550-9F22-2545EAAAC448}"/>
            </a:ext>
          </a:extLst>
        </xdr:cNvPr>
        <xdr:cNvSpPr/>
      </xdr:nvSpPr>
      <xdr:spPr>
        <a:xfrm>
          <a:off x="792480" y="45720"/>
          <a:ext cx="1659396" cy="5425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82E6723-FAA1-4770-BCC2-F4E457ADF6B1}"/>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FBF4FF0-18E5-4F10-86C1-4D4C6E613195}"/>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8455875-4484-4F2C-A3A4-C9246A282F45}"/>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7E16B91-215A-47A6-8C00-F8DD0E9A25F0}"/>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079C44B-0796-4A6A-B086-9AE45CA6024A}"/>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58C2B55-618B-472C-9829-F15F7ACCD96A}"/>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D2170AB-F96C-473F-8225-5209328F9C9F}"/>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6FC7E65-37D3-4834-A186-29FFA0581F25}"/>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FE8BA67-4CAC-4010-9B7D-0F1AFE49FB1A}"/>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070661-0F94-4EB7-AC4C-7648FFE4418F}"/>
            </a:ext>
          </a:extLst>
        </xdr:cNvPr>
        <xdr:cNvSpPr/>
      </xdr:nvSpPr>
      <xdr:spPr>
        <a:xfrm>
          <a:off x="330200" y="146050"/>
          <a:ext cx="109996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04E2674-345B-43EC-886D-22C2EEFA613B}"/>
            </a:ext>
          </a:extLst>
        </xdr:cNvPr>
        <xdr:cNvSpPr/>
      </xdr:nvSpPr>
      <xdr:spPr>
        <a:xfrm>
          <a:off x="330200" y="146050"/>
          <a:ext cx="1665111" cy="5362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5651ECD-44A9-41DA-A20E-1A9C42DA8569}"/>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A2F6BFC-2771-464B-B057-CC96837E5A8E}"/>
            </a:ext>
          </a:extLst>
        </xdr:cNvPr>
        <xdr:cNvSpPr/>
      </xdr:nvSpPr>
      <xdr:spPr>
        <a:xfrm>
          <a:off x="330200" y="146050"/>
          <a:ext cx="15127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92FA2A9-953E-4B97-84AB-3E0341A1AC24}"/>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E5E3C78-0964-430F-B571-BE1A8B73A1D0}"/>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2C5C407-D20E-4DCD-B8BB-F3E1303B73B7}"/>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7328F57-0314-4CF0-B781-CA04E7035ADC}"/>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0165037-811C-4899-91CA-DDE79D387C55}"/>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B66060A-60E7-4E36-AF94-57F1888CFE05}"/>
            </a:ext>
          </a:extLst>
        </xdr:cNvPr>
        <xdr:cNvSpPr/>
      </xdr:nvSpPr>
      <xdr:spPr>
        <a:xfrm>
          <a:off x="325120" y="146050"/>
          <a:ext cx="1665111" cy="53241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DF889D2-9374-4DEB-A7CF-9BA0BEF5BEF1}"/>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50800</xdr:colOff>
      <xdr:row>0</xdr:row>
      <xdr:rowOff>146050</xdr:rowOff>
    </xdr:from>
    <xdr:to>
      <xdr:col>1</xdr:col>
      <xdr:colOff>1715911</xdr:colOff>
      <xdr:row>3</xdr:row>
      <xdr:rowOff>129822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FDAD9BD-6AF8-4521-9CC5-B8A24E6071DA}"/>
            </a:ext>
          </a:extLst>
        </xdr:cNvPr>
        <xdr:cNvSpPr/>
      </xdr:nvSpPr>
      <xdr:spPr>
        <a:xfrm>
          <a:off x="330200" y="146050"/>
          <a:ext cx="1550811" cy="460022"/>
        </a:xfrm>
        <a:prstGeom prst="lef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latin typeface="Arial" panose="020B0604020202020204" pitchFamily="34" charset="0"/>
              <a:cs typeface="Arial" panose="020B0604020202020204" pitchFamily="34" charset="0"/>
            </a:rPr>
            <a:t>PRINCIPAL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466A9CFF-176E-40BF-B2AA-F8C7704AED74}" name="Tabla55" displayName="Tabla55" ref="B4:T22" totalsRowCount="1" headerRowDxfId="12699" dataDxfId="12697" totalsRowDxfId="12695" headerRowBorderDxfId="12698" tableBorderDxfId="12696" totalsRowBorderDxfId="12694">
  <autoFilter ref="B4:T21" xr:uid="{466A9CFF-176E-40BF-B2AA-F8C7704AED74}"/>
  <sortState xmlns:xlrd2="http://schemas.microsoft.com/office/spreadsheetml/2017/richdata2" ref="B5:T21">
    <sortCondition descending="1" ref="Q7:Q21"/>
  </sortState>
  <tableColumns count="19">
    <tableColumn id="1" xr3:uid="{F9ACA056-952A-47EA-AD4A-EE738FF8949F}" name="ENTRADAS" totalsRowLabel="Total" dataDxfId="12693" totalsRowDxfId="12692"/>
    <tableColumn id="17" xr3:uid="{85A95687-2E45-4F4D-B1F6-68B70530D3E9}" name="DESCRIPCION" dataDxfId="12691" totalsRowDxfId="12690"/>
    <tableColumn id="2" xr3:uid="{EF6F2957-7558-4A11-B65F-6D4F9D510830}" name="COSTO" dataDxfId="12689" totalsRowDxfId="12688" dataCellStyle="Moneda"/>
    <tableColumn id="3" xr3:uid="{DC9D6200-3C7C-4B33-AF7E-FFAEA3038774}" name="VENTA" dataDxfId="12687" totalsRowDxfId="12686" dataCellStyle="Moneda"/>
    <tableColumn id="4" xr3:uid="{295FC901-8F9A-42B4-A2B5-1FCF9C96BDB6}" name="ICO 8%" dataDxfId="12685" totalsRowDxfId="12684" dataCellStyle="Moneda">
      <calculatedColumnFormula>+E5/1.08*0.08</calculatedColumnFormula>
    </tableColumn>
    <tableColumn id="5" xr3:uid="{A25B01A3-A2EC-4A27-BBBC-69AFFE8F2A70}" name="BASE" dataDxfId="12683" totalsRowDxfId="12682" dataCellStyle="Moneda">
      <calculatedColumnFormula>+Tabla55[[#This Row],[VENTA]]-Tabla55[[#This Row],[ICO 8%]]</calculatedColumnFormula>
    </tableColumn>
    <tableColumn id="6" xr3:uid="{70F2E036-9D02-4AA6-84EC-58E8408473DB}" name="%" totalsRowFunction="average" dataDxfId="12681" totalsRowDxfId="12680" dataCellStyle="Porcentaje">
      <calculatedColumnFormula>+Tabla55[[#This Row],[COSTO]]/Tabla55[[#This Row],[BASE]]</calculatedColumnFormula>
    </tableColumn>
    <tableColumn id="7" xr3:uid="{23D03F2B-1C4F-4DFC-BAC3-2B0EB3F57CCB}" name="RENTABILIDAD" dataDxfId="12679" totalsRowDxfId="12678">
      <calculatedColumnFormula>+Tabla55[[#This Row],[BASE]]/Tabla55[[#This Row],[COSTO]]</calculatedColumnFormula>
    </tableColumn>
    <tableColumn id="8" xr3:uid="{FAFB8695-86AE-4808-8B54-510FCD431852}" name="ROTACION" totalsRowFunction="sum" dataDxfId="12677" totalsRowDxfId="12676">
      <calculatedColumnFormula>+VLOOKUP(Tabla55[[#This Row],[ENTRADAS]],#REF!,2,0)</calculatedColumnFormula>
    </tableColumn>
    <tableColumn id="9" xr3:uid="{505ADB5C-6845-4BEE-8BEC-5614ABBEDD78}" name="PRECIO SUGERIDO" dataDxfId="12675" totalsRowDxfId="12674" dataCellStyle="Moneda">
      <calculatedColumnFormula>+D5/(100-65)*100</calculatedColumnFormula>
    </tableColumn>
    <tableColumn id="10" xr3:uid="{3F3BC408-822B-47B7-8EB3-2D26C279B128}" name="ICO2" dataDxfId="12673" totalsRowDxfId="12672" dataCellStyle="Moneda">
      <calculatedColumnFormula>+K5/1.08*0.08</calculatedColumnFormula>
    </tableColumn>
    <tableColumn id="11" xr3:uid="{097A2BDE-D894-4DA1-80A0-97A1EEAA6AC6}" name="CARTA " dataDxfId="12671" totalsRowDxfId="12670">
      <calculatedColumnFormula>+Tabla55[[#This Row],[PRECIO SUGERIDO]]+Tabla55[[#This Row],[ICO2]]</calculatedColumnFormula>
    </tableColumn>
    <tableColumn id="12" xr3:uid="{ADFA79FA-8AE1-4C65-B4F3-34007572D3C4}" name="PRECIO N" dataDxfId="12669" totalsRowDxfId="12668" dataCellStyle="Moneda"/>
    <tableColumn id="13" xr3:uid="{0E7E7082-69E6-4374-BBB2-DAE06A19E90A}" name="ICO 8%2" dataDxfId="12667" totalsRowDxfId="12666" dataCellStyle="Moneda">
      <calculatedColumnFormula>+N5/1.08*0.08</calculatedColumnFormula>
    </tableColumn>
    <tableColumn id="14" xr3:uid="{BBAA6B14-4084-448B-B961-67B4FFFEE7FA}" name="CARTA" dataDxfId="12665" totalsRowDxfId="12664" dataCellStyle="Moneda">
      <calculatedColumnFormula>+N5-O5</calculatedColumnFormula>
    </tableColumn>
    <tableColumn id="15" xr3:uid="{E0F33149-2495-44B2-9FDE-432121E63D1B}" name="% " dataDxfId="12663" totalsRowDxfId="12662" dataCellStyle="Porcentaje">
      <calculatedColumnFormula>+D5/P5</calculatedColumnFormula>
    </tableColumn>
    <tableColumn id="16" xr3:uid="{821EB6CC-FBDD-414A-AA53-8E369EA3850B}" name="RATION" totalsRowFunction="sum" dataDxfId="12661" totalsRowDxfId="12660">
      <calculatedColumnFormula>+P5/D5</calculatedColumnFormula>
    </tableColumn>
    <tableColumn id="18" xr3:uid="{A9FE23E0-0668-4F39-9D26-F51BFE004E49}" name="Incremento 13%" dataDxfId="12659" totalsRowDxfId="12658" dataCellStyle="Moneda">
      <calculatedColumnFormula>+Tabla55[[#This Row],[VENTA]]*13%+Tabla55[[#This Row],[VENTA]]</calculatedColumnFormula>
    </tableColumn>
    <tableColumn id="19" xr3:uid="{3B0AE3EF-A34F-42F5-A7D3-5AE4FEC64FB7}" name="Costo2" dataDxfId="12657" totalsRowDxfId="12656" dataCellStyle="Porcentaje">
      <calculatedColumnFormula>+Tabla55[[#This Row],[COSTO]]/Tabla55[[#This Row],[Incremento 13%]]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E3D55C31-C2FE-4CD5-81DE-AEAEF1CAC11F}" name="Tabla5557" displayName="Tabla5557" ref="B37:T41" totalsRowCount="1" headerRowDxfId="12655" dataDxfId="12654" totalsRowDxfId="12653" totalsRowBorderDxfId="12652">
  <autoFilter ref="B37:T40" xr:uid="{E3D55C31-C2FE-4CD5-81DE-AEAEF1CAC11F}"/>
  <sortState xmlns:xlrd2="http://schemas.microsoft.com/office/spreadsheetml/2017/richdata2" ref="B38:R40">
    <sortCondition descending="1" ref="J39:J40"/>
  </sortState>
  <tableColumns count="19">
    <tableColumn id="1" xr3:uid="{6989115B-A00D-49D4-996F-39031A72C893}" name="LANGOSTINOS" totalsRowLabel="Total" dataDxfId="12651" totalsRowDxfId="12650">
      <calculatedColumnFormula>+ENTRADAS!B20</calculatedColumnFormula>
    </tableColumn>
    <tableColumn id="17" xr3:uid="{112629D1-A496-4760-841F-DC256C148F34}" name="DESCRIPCION" dataDxfId="12649" totalsRowDxfId="12648"/>
    <tableColumn id="2" xr3:uid="{ABC1A820-4B09-4736-9BDE-8E2E9FADAA4D}" name="COSTO" dataDxfId="12647" totalsRowDxfId="12646" dataCellStyle="Moneda">
      <calculatedColumnFormula>+ENTRADAS!K23</calculatedColumnFormula>
    </tableColumn>
    <tableColumn id="3" xr3:uid="{1BB46E96-CB9B-4536-A614-6FA7C865604D}" name="VENTA" dataDxfId="12645" totalsRowDxfId="12644" dataCellStyle="Moneda">
      <calculatedColumnFormula>+ENTRADAS!K24</calculatedColumnFormula>
    </tableColumn>
    <tableColumn id="4" xr3:uid="{6949A26D-125D-44F4-9452-4455F553DB78}" name="ICO 8%" dataDxfId="12643" totalsRowDxfId="12642" dataCellStyle="Moneda">
      <calculatedColumnFormula>+E38/1.08*0.08</calculatedColumnFormula>
    </tableColumn>
    <tableColumn id="5" xr3:uid="{BC9D9E8B-418E-4690-AE3D-4799142C36A8}" name="BASE" dataDxfId="12641" totalsRowDxfId="12640" dataCellStyle="Moneda">
      <calculatedColumnFormula>+Tabla5557[[#This Row],[VENTA]]-Tabla5557[[#This Row],[ICO 8%]]</calculatedColumnFormula>
    </tableColumn>
    <tableColumn id="6" xr3:uid="{65FE0FA8-5569-4BAB-A00D-E3B1B64A6814}" name="%" totalsRowFunction="average" dataDxfId="12639" totalsRowDxfId="12638" dataCellStyle="Porcentaje">
      <calculatedColumnFormula>+Tabla5557[[#This Row],[COSTO]]/Tabla5557[[#This Row],[BASE]]</calculatedColumnFormula>
    </tableColumn>
    <tableColumn id="7" xr3:uid="{0070B685-A759-4C85-B6F2-4A43C9AED4A9}" name="RENTABILIDAD" dataDxfId="12637" totalsRowDxfId="12636">
      <calculatedColumnFormula>+Tabla5557[[#This Row],[BASE]]/Tabla5557[[#This Row],[COSTO]]</calculatedColumnFormula>
    </tableColumn>
    <tableColumn id="8" xr3:uid="{C7A0A9CE-C27F-4CA2-A7F8-87358B5AE1C8}" name="ROTACION" totalsRowFunction="sum" dataDxfId="12635" totalsRowDxfId="12634">
      <calculatedColumnFormula>+VLOOKUP(Tabla5557[[#This Row],[LANGOSTINOS]],#REF!,2,0)</calculatedColumnFormula>
    </tableColumn>
    <tableColumn id="9" xr3:uid="{A297DCAD-D45A-4BA3-A049-37EBE98BCC4F}" name="PRECIO SUGERIDO" dataDxfId="12633" totalsRowDxfId="12632" dataCellStyle="Moneda">
      <calculatedColumnFormula>+D38/(100-65)*100</calculatedColumnFormula>
    </tableColumn>
    <tableColumn id="10" xr3:uid="{D3D192B7-8061-4B73-959D-C4625E3B62BB}" name="ICO2" dataDxfId="12631" totalsRowDxfId="12630" dataCellStyle="Moneda">
      <calculatedColumnFormula>+K38/1.08*0.08</calculatedColumnFormula>
    </tableColumn>
    <tableColumn id="11" xr3:uid="{B5903B2E-1FD8-4FC3-8871-4F19C820C80E}" name="CARTA " dataDxfId="12629" totalsRowDxfId="12628">
      <calculatedColumnFormula>+Tabla5557[[#This Row],[PRECIO SUGERIDO]]+Tabla5557[[#This Row],[ICO2]]</calculatedColumnFormula>
    </tableColumn>
    <tableColumn id="12" xr3:uid="{0D07CD69-C190-4713-9C85-0D74C6BAC7BD}" name="PRECIO N" dataDxfId="12627" totalsRowDxfId="12626" dataCellStyle="Moneda"/>
    <tableColumn id="13" xr3:uid="{2CEFDB59-D600-41EA-BCE1-41CAB830FD01}" name="ICO 8%2" dataDxfId="12625" totalsRowDxfId="12624" dataCellStyle="Moneda">
      <calculatedColumnFormula>+N38/1.08*0.08</calculatedColumnFormula>
    </tableColumn>
    <tableColumn id="14" xr3:uid="{F82CCB0F-0427-4A1C-95B0-C9C1A5A27743}" name="CARTA" dataDxfId="12623" totalsRowDxfId="12622" dataCellStyle="Moneda">
      <calculatedColumnFormula>+N38-O38</calculatedColumnFormula>
    </tableColumn>
    <tableColumn id="15" xr3:uid="{1965D88D-A15F-4E86-85E1-58A41FCB7F7C}" name="% " dataDxfId="12621" totalsRowDxfId="12620" dataCellStyle="Porcentaje">
      <calculatedColumnFormula>+D38/P38</calculatedColumnFormula>
    </tableColumn>
    <tableColumn id="16" xr3:uid="{F419CECF-8EB6-4DF7-8BFC-1F46707C9887}" name="RATION" totalsRowFunction="sum" dataDxfId="12619" totalsRowDxfId="12618">
      <calculatedColumnFormula>+P38/D38</calculatedColumnFormula>
    </tableColumn>
    <tableColumn id="18" xr3:uid="{23A89C0B-850A-4AF0-B7D4-7177ECA3420B}" name="Incremento 13%" dataDxfId="12617" totalsRowDxfId="12616">
      <calculatedColumnFormula>+Tabla5557[[#This Row],[VENTA]]*13%+Tabla5557[[#This Row],[VENTA]]</calculatedColumnFormula>
    </tableColumn>
    <tableColumn id="19" xr3:uid="{24A163C9-03AD-4E0A-95D8-4E40FD4158D4}" name="Costo2" dataDxfId="12615" totalsRowDxfId="12614" dataCellStyle="Porcentaje" totalsRowCellStyle="Porcentaje">
      <calculatedColumnFormula>+Tabla5557[[#This Row],[COSTO]]/Tabla5557[[#This Row],[Incremento 13%]]</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80658418-73AC-4B18-9BBB-1DD785AB5A02}" name="Tabla5557273" displayName="Tabla5557273" ref="B45:T51" totalsRowCount="1" headerRowDxfId="12613" dataDxfId="12612" totalsRowDxfId="12611" totalsRowBorderDxfId="12610">
  <autoFilter ref="B45:T50" xr:uid="{482E3C0D-BB82-49B6-A642-C3CFF9B33901}"/>
  <sortState xmlns:xlrd2="http://schemas.microsoft.com/office/spreadsheetml/2017/richdata2" ref="B46:R50">
    <sortCondition descending="1" ref="J49:J50"/>
  </sortState>
  <tableColumns count="19">
    <tableColumn id="1" xr3:uid="{8D92612F-43CF-43BF-A7D3-7F246784D185}" name="CEVICHES" totalsRowLabel="Total" dataDxfId="12609" totalsRowDxfId="12608">
      <calculatedColumnFormula>+ENTRADAS!B39</calculatedColumnFormula>
    </tableColumn>
    <tableColumn id="17" xr3:uid="{72709E7F-301D-4EDC-A5CD-591E2639E39C}" name="DESCRIPCION" dataDxfId="12607" totalsRowDxfId="12606"/>
    <tableColumn id="2" xr3:uid="{9962126F-29DF-4608-B5C7-C8E87FD59182}" name="COSTO" dataDxfId="12605" totalsRowDxfId="12604" dataCellStyle="Moneda">
      <calculatedColumnFormula>+ENTRADAS!K43</calculatedColumnFormula>
    </tableColumn>
    <tableColumn id="3" xr3:uid="{C6477748-CC07-4F62-B182-0CDEBFC4DF13}" name="VENTA" dataDxfId="12603" totalsRowDxfId="12602" dataCellStyle="Moneda">
      <calculatedColumnFormula>+ENTRADAS!K44</calculatedColumnFormula>
    </tableColumn>
    <tableColumn id="4" xr3:uid="{E4D8E9A7-4318-4122-9EED-59F7CF42FD76}" name="ICO 8%" dataDxfId="12601" totalsRowDxfId="12600" dataCellStyle="Moneda">
      <calculatedColumnFormula>+E46/1.08*0.08</calculatedColumnFormula>
    </tableColumn>
    <tableColumn id="5" xr3:uid="{04C0AC28-56D0-4E8E-8F6D-A63E5D7EB415}" name="BASE" dataDxfId="12599" totalsRowDxfId="12598" dataCellStyle="Moneda">
      <calculatedColumnFormula>+Tabla5557273[[#This Row],[VENTA]]-Tabla5557273[[#This Row],[ICO 8%]]</calculatedColumnFormula>
    </tableColumn>
    <tableColumn id="6" xr3:uid="{1F1769E3-2B70-4C91-86D7-6F89D7B53285}" name="%" totalsRowFunction="average" dataDxfId="12597" totalsRowDxfId="12596" dataCellStyle="Porcentaje">
      <calculatedColumnFormula>+Tabla5557273[[#This Row],[COSTO]]/Tabla5557273[[#This Row],[BASE]]</calculatedColumnFormula>
    </tableColumn>
    <tableColumn id="7" xr3:uid="{F0D02A9A-661F-4B9D-862D-221F2A324AFE}" name="RENTABILIDAD" dataDxfId="12595" totalsRowDxfId="12594">
      <calculatedColumnFormula>+Tabla5557273[[#This Row],[BASE]]/Tabla5557273[[#This Row],[COSTO]]</calculatedColumnFormula>
    </tableColumn>
    <tableColumn id="8" xr3:uid="{6B0E8C07-1C7F-49C9-977E-508458487239}" name="ROTACION" totalsRowFunction="sum" dataDxfId="12593" totalsRowDxfId="12592">
      <calculatedColumnFormula>+VLOOKUP(Tabla5557273[[#This Row],[CEVICHES]],#REF!,2,0)</calculatedColumnFormula>
    </tableColumn>
    <tableColumn id="9" xr3:uid="{A78E3886-EA58-46ED-97ED-94715F5851EF}" name="PRECIO SUGERIDO" dataDxfId="12591" totalsRowDxfId="12590" dataCellStyle="Moneda">
      <calculatedColumnFormula>+D46/(100-65)*100</calculatedColumnFormula>
    </tableColumn>
    <tableColumn id="10" xr3:uid="{616F6F14-4CAF-4EAA-9C4E-0C4641321E98}" name="ICO2" dataDxfId="12589" totalsRowDxfId="12588" dataCellStyle="Moneda">
      <calculatedColumnFormula>+K46/1.08*0.08</calculatedColumnFormula>
    </tableColumn>
    <tableColumn id="11" xr3:uid="{133C42B9-4BC1-4AB5-8397-70F61D3BD512}" name="CARTA " dataDxfId="12587" totalsRowDxfId="12586">
      <calculatedColumnFormula>+Tabla5557273[[#This Row],[PRECIO SUGERIDO]]+Tabla5557273[[#This Row],[ICO2]]</calculatedColumnFormula>
    </tableColumn>
    <tableColumn id="12" xr3:uid="{30AB1B69-39C8-417E-B47C-34FDACD7A375}" name="PRECIO N" dataDxfId="12585" totalsRowDxfId="12584" dataCellStyle="Moneda"/>
    <tableColumn id="13" xr3:uid="{A9FD1EAD-2274-410A-99C6-FBB244442111}" name="ICO 8%2" dataDxfId="12583" totalsRowDxfId="12582" dataCellStyle="Moneda">
      <calculatedColumnFormula>+N46/1.08*0.08</calculatedColumnFormula>
    </tableColumn>
    <tableColumn id="14" xr3:uid="{68D24130-2436-4B94-98DA-ED4F53EC5B7D}" name="CARTA" dataDxfId="12581" totalsRowDxfId="12580" dataCellStyle="Moneda">
      <calculatedColumnFormula>+N46-O46</calculatedColumnFormula>
    </tableColumn>
    <tableColumn id="15" xr3:uid="{5CCCE13F-4F3C-4C6B-8730-C0588E18E295}" name="% " dataDxfId="12579" totalsRowDxfId="12578" dataCellStyle="Porcentaje">
      <calculatedColumnFormula>+D46/P46</calculatedColumnFormula>
    </tableColumn>
    <tableColumn id="16" xr3:uid="{826963DC-6B7F-41D9-932F-1E7BED0DE1EF}" name="RATION" totalsRowFunction="sum" dataDxfId="12577" totalsRowDxfId="12576">
      <calculatedColumnFormula>+P46/D46</calculatedColumnFormula>
    </tableColumn>
    <tableColumn id="18" xr3:uid="{3FA20B66-4848-4E1A-9241-AFCFCE77F370}" name="Incremento 13%" dataDxfId="12575" totalsRowDxfId="12574">
      <calculatedColumnFormula>+Tabla5557273[[#This Row],[VENTA]]*13%+Tabla5557273[[#This Row],[VENTA]]</calculatedColumnFormula>
    </tableColumn>
    <tableColumn id="19" xr3:uid="{871B9A7D-3C8D-4258-8095-33D6ED9B2962}" name="Costo2" dataDxfId="12573" totalsRowDxfId="12572" dataCellStyle="Porcentaje" totalsRowCellStyle="Porcentaje">
      <calculatedColumnFormula>+Tabla5557273[[#This Row],[COSTO]]/Tabla5557273[[#This Row],[Incremento 13%]]</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2D01D345-E01B-43B8-A5C1-852E8E14E692}" name="Tabla5557274" displayName="Tabla5557274" ref="B56:T59" totalsRowCount="1" headerRowDxfId="12571" dataDxfId="12570" totalsRowDxfId="12569" totalsRowBorderDxfId="12568">
  <autoFilter ref="B56:T58" xr:uid="{E8ADD7EB-146E-4713-9747-82C914C76780}"/>
  <sortState xmlns:xlrd2="http://schemas.microsoft.com/office/spreadsheetml/2017/richdata2" ref="B57:R58">
    <sortCondition descending="1" ref="J57:J58"/>
  </sortState>
  <tableColumns count="19">
    <tableColumn id="1" xr3:uid="{AA4006C2-1E42-49A5-A6BD-1B364008898D}" name="ENSALADAS" totalsRowLabel="Total" dataDxfId="12567" totalsRowDxfId="12566">
      <calculatedColumnFormula>+ENTRADAS!B61</calculatedColumnFormula>
    </tableColumn>
    <tableColumn id="17" xr3:uid="{85FEB057-AA99-4E08-852A-6DFF254A0D93}" name="DESCRIPCION" dataDxfId="12565" totalsRowDxfId="12564"/>
    <tableColumn id="2" xr3:uid="{4E645FF4-F5FC-4688-8B82-857621ED3BEB}" name="COSTO" dataDxfId="12563" totalsRowDxfId="12562" dataCellStyle="Moneda">
      <calculatedColumnFormula>+ENTRADAS!K62</calculatedColumnFormula>
    </tableColumn>
    <tableColumn id="3" xr3:uid="{7B237DFE-1CE3-4E97-8C67-977BD74793CB}" name="VENTA" dataDxfId="12561" totalsRowDxfId="12560" dataCellStyle="Moneda">
      <calculatedColumnFormula>+ENTRADAS!K63</calculatedColumnFormula>
    </tableColumn>
    <tableColumn id="4" xr3:uid="{20BA3FF1-CD69-4A68-BBEE-A5884BC4F323}" name="ICO 8%" dataDxfId="12559" totalsRowDxfId="12558" dataCellStyle="Moneda">
      <calculatedColumnFormula>+E57/1.08*0.08</calculatedColumnFormula>
    </tableColumn>
    <tableColumn id="5" xr3:uid="{07396138-786C-4051-873B-F1B7E6444FB4}" name="BASE" dataDxfId="12557" totalsRowDxfId="12556" dataCellStyle="Moneda">
      <calculatedColumnFormula>+Tabla5557274[[#This Row],[VENTA]]-Tabla5557274[[#This Row],[ICO 8%]]</calculatedColumnFormula>
    </tableColumn>
    <tableColumn id="6" xr3:uid="{43EC84EC-B07A-438E-B28E-FA45D5D1A237}" name="%" totalsRowFunction="average" dataDxfId="12555" totalsRowDxfId="12554" dataCellStyle="Porcentaje">
      <calculatedColumnFormula>+Tabla5557274[[#This Row],[COSTO]]/Tabla5557274[[#This Row],[BASE]]</calculatedColumnFormula>
    </tableColumn>
    <tableColumn id="7" xr3:uid="{BF9F321D-4785-40DA-B7BF-4A3ACE470854}" name="RENTABILIDAD" dataDxfId="12553" totalsRowDxfId="12552">
      <calculatedColumnFormula>+Tabla5557274[[#This Row],[BASE]]/Tabla5557274[[#This Row],[COSTO]]</calculatedColumnFormula>
    </tableColumn>
    <tableColumn id="8" xr3:uid="{84D553BC-3AB3-4CC9-8A22-E8234A3B770E}" name="ROTACION" totalsRowFunction="sum" dataDxfId="12551" totalsRowDxfId="12550">
      <calculatedColumnFormula>+VLOOKUP(Tabla5557274[[#This Row],[ENSALADAS]],#REF!,2,0)</calculatedColumnFormula>
    </tableColumn>
    <tableColumn id="9" xr3:uid="{6CCEA80C-4855-4567-AB1B-EF4D0CD1D109}" name="PRECIO SUGERIDO" dataDxfId="12549" totalsRowDxfId="12548" dataCellStyle="Moneda">
      <calculatedColumnFormula>+D57/(100-65)*100</calculatedColumnFormula>
    </tableColumn>
    <tableColumn id="10" xr3:uid="{D501B5A2-CA5A-416B-A5D7-9466C6664CBB}" name="ICO2" dataDxfId="12547" totalsRowDxfId="12546" dataCellStyle="Moneda">
      <calculatedColumnFormula>+K57/1.08*0.08</calculatedColumnFormula>
    </tableColumn>
    <tableColumn id="11" xr3:uid="{E42E8F3B-9E83-48EE-99B1-0D1525187E52}" name="CARTA " dataDxfId="12545" totalsRowDxfId="12544">
      <calculatedColumnFormula>+Tabla5557274[[#This Row],[PRECIO SUGERIDO]]+Tabla5557274[[#This Row],[ICO2]]</calculatedColumnFormula>
    </tableColumn>
    <tableColumn id="12" xr3:uid="{2B387F26-F528-437C-A6A2-DBDE145C2629}" name="PRECIO N" dataDxfId="12543" totalsRowDxfId="12542" dataCellStyle="Moneda"/>
    <tableColumn id="13" xr3:uid="{74CB8EEE-580F-486B-8377-46ABB0A19E83}" name="ICO 8%2" dataDxfId="12541" totalsRowDxfId="12540" dataCellStyle="Moneda">
      <calculatedColumnFormula>+N57/1.08*0.08</calculatedColumnFormula>
    </tableColumn>
    <tableColumn id="14" xr3:uid="{313F08A3-3976-4461-BE6E-30E8B7EDD67F}" name="CARTA" dataDxfId="12539" totalsRowDxfId="12538" dataCellStyle="Moneda">
      <calculatedColumnFormula>+N57-O57</calculatedColumnFormula>
    </tableColumn>
    <tableColumn id="15" xr3:uid="{3E1403DF-A91E-44E9-86A1-165E7F86F229}" name="% " dataDxfId="12537" totalsRowDxfId="12536" dataCellStyle="Porcentaje">
      <calculatedColumnFormula>+D57/P57</calculatedColumnFormula>
    </tableColumn>
    <tableColumn id="16" xr3:uid="{4B19A71E-918E-44CD-B73C-3B534501F63C}" name="RATION" totalsRowFunction="sum" dataDxfId="12535" totalsRowDxfId="12534">
      <calculatedColumnFormula>+P57/D57</calculatedColumnFormula>
    </tableColumn>
    <tableColumn id="18" xr3:uid="{23BA0314-F61D-4646-97FC-BB33B3294F0E}" name="Incremento 13%" dataDxfId="12533" totalsRowDxfId="12532">
      <calculatedColumnFormula>+Tabla5557274[[#This Row],[VENTA]]*13%+Tabla5557274[[#This Row],[VENTA]]</calculatedColumnFormula>
    </tableColumn>
    <tableColumn id="19" xr3:uid="{88424C23-E27F-4A54-ADBD-FC70A895E7EF}" name="Costo2" dataDxfId="12531" totalsRowDxfId="12530" dataCellStyle="Porcentaje" totalsRowCellStyle="Porcentaje">
      <calculatedColumnFormula>+Tabla5557274[[#This Row],[COSTO]]/Tabla5557274[[#This Row],[Incremento 13%]]</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4" xr:uid="{20665096-B3EF-45BB-91EA-B3CB007D9469}" name="Tabla5557275" displayName="Tabla5557275" ref="B64:T71" totalsRowCount="1" headerRowDxfId="12529" dataDxfId="12528" totalsRowDxfId="12527" totalsRowBorderDxfId="12526">
  <autoFilter ref="B64:T70" xr:uid="{DCECF043-8937-479B-9AEC-C2369AC5F5CD}"/>
  <sortState xmlns:xlrd2="http://schemas.microsoft.com/office/spreadsheetml/2017/richdata2" ref="B65:R70">
    <sortCondition descending="1" ref="J68:J70"/>
  </sortState>
  <tableColumns count="19">
    <tableColumn id="1" xr3:uid="{D76F6F68-7BDA-491E-97F0-108E3D432F6F}" name="ARROCES" totalsRowLabel="Total" dataDxfId="12525" totalsRowDxfId="12524">
      <calculatedColumnFormula>+ENTRADAS!B79</calculatedColumnFormula>
    </tableColumn>
    <tableColumn id="17" xr3:uid="{44A4CEC3-88DA-44F6-B9E1-65104A356596}" name="DESCRIPCION" dataDxfId="12523" totalsRowDxfId="12522"/>
    <tableColumn id="2" xr3:uid="{36C2F1C6-1B63-4982-983B-A50F9D1F8282}" name="COSTO" dataDxfId="12521" totalsRowDxfId="12520" dataCellStyle="Moneda">
      <calculatedColumnFormula>+ENTRADAS!K81</calculatedColumnFormula>
    </tableColumn>
    <tableColumn id="3" xr3:uid="{1CA6C31D-68B8-4830-8B0C-0A0C08B66519}" name="VENTA" dataDxfId="12519" totalsRowDxfId="12518" dataCellStyle="Moneda">
      <calculatedColumnFormula>+ENTRADAS!K82</calculatedColumnFormula>
    </tableColumn>
    <tableColumn id="4" xr3:uid="{594A92A8-0955-42B0-BA66-250B2824FC15}" name="ICO 8%" dataDxfId="12517" totalsRowDxfId="12516" dataCellStyle="Moneda">
      <calculatedColumnFormula>+E65/1.08*0.08</calculatedColumnFormula>
    </tableColumn>
    <tableColumn id="5" xr3:uid="{1F11D4EF-6F32-4258-8557-67CAC59A2D76}" name="BASE" dataDxfId="12515" totalsRowDxfId="12514" dataCellStyle="Moneda">
      <calculatedColumnFormula>+Tabla5557275[[#This Row],[VENTA]]-Tabla5557275[[#This Row],[ICO 8%]]</calculatedColumnFormula>
    </tableColumn>
    <tableColumn id="6" xr3:uid="{993E9E7C-8354-47E7-9EF7-7F003D1A5269}" name="%" totalsRowFunction="average" dataDxfId="12513" totalsRowDxfId="12512" dataCellStyle="Porcentaje">
      <calculatedColumnFormula>+Tabla5557275[[#This Row],[COSTO]]/Tabla5557275[[#This Row],[BASE]]</calculatedColumnFormula>
    </tableColumn>
    <tableColumn id="7" xr3:uid="{518FBC69-FECE-4A72-BFB3-1F6C874476C7}" name="RENTABILIDAD" dataDxfId="12511" totalsRowDxfId="12510">
      <calculatedColumnFormula>+Tabla5557275[[#This Row],[BASE]]/Tabla5557275[[#This Row],[COSTO]]</calculatedColumnFormula>
    </tableColumn>
    <tableColumn id="8" xr3:uid="{0D8290E0-930D-4D44-8475-5B09C791B479}" name="ROTACION" totalsRowFunction="sum" dataDxfId="12509" totalsRowDxfId="12508">
      <calculatedColumnFormula>+VLOOKUP(Tabla5557275[[#This Row],[ARROCES]],#REF!,2,0)</calculatedColumnFormula>
    </tableColumn>
    <tableColumn id="9" xr3:uid="{0C8FA4F1-FF28-4F6C-A44C-372DF1CE28F5}" name="PRECIO SUGERIDO" dataDxfId="12507" totalsRowDxfId="12506" dataCellStyle="Moneda">
      <calculatedColumnFormula>+D65/(100-65)*100</calculatedColumnFormula>
    </tableColumn>
    <tableColumn id="10" xr3:uid="{A750D377-EACB-4F0C-844D-F71E1A1336C9}" name="ICO2" dataDxfId="12505" totalsRowDxfId="12504" dataCellStyle="Moneda">
      <calculatedColumnFormula>+K65/1.08*0.08</calculatedColumnFormula>
    </tableColumn>
    <tableColumn id="11" xr3:uid="{17C05317-75CA-4395-9E8E-6572BEC5B929}" name="CARTA " dataDxfId="12503" totalsRowDxfId="12502">
      <calculatedColumnFormula>+Tabla5557275[[#This Row],[PRECIO SUGERIDO]]+Tabla5557275[[#This Row],[ICO2]]</calculatedColumnFormula>
    </tableColumn>
    <tableColumn id="12" xr3:uid="{FB20E578-D1E0-47AC-B863-9B6E300B5978}" name="PRECIO N" dataDxfId="12501" totalsRowDxfId="12500" dataCellStyle="Moneda"/>
    <tableColumn id="13" xr3:uid="{C907BB18-3711-4756-9212-29DECDBB24CC}" name="ICO 8%2" dataDxfId="12499" totalsRowDxfId="12498" dataCellStyle="Moneda">
      <calculatedColumnFormula>+N65/1.08*0.08</calculatedColumnFormula>
    </tableColumn>
    <tableColumn id="14" xr3:uid="{68407300-437A-4923-9564-72267F8BBCFA}" name="CARTA" dataDxfId="12497" totalsRowDxfId="12496" dataCellStyle="Moneda">
      <calculatedColumnFormula>+N65-O65</calculatedColumnFormula>
    </tableColumn>
    <tableColumn id="15" xr3:uid="{A9AAE53B-61F1-4E74-975F-3E30B7A4D451}" name="% " dataDxfId="12495" totalsRowDxfId="12494" dataCellStyle="Porcentaje">
      <calculatedColumnFormula>+D65/P65</calculatedColumnFormula>
    </tableColumn>
    <tableColumn id="16" xr3:uid="{AC38CB5E-29A0-4E51-8CF7-77E23A2D8A86}" name="RATION" totalsRowFunction="count" dataDxfId="12493" totalsRowDxfId="12492">
      <calculatedColumnFormula>+P65/D65</calculatedColumnFormula>
    </tableColumn>
    <tableColumn id="18" xr3:uid="{B34221DF-4E6F-42B5-A0D5-B2D50CE0C292}" name="Incremento 13%" dataDxfId="12491" totalsRowDxfId="12490">
      <calculatedColumnFormula>+Tabla5557275[[#This Row],[VENTA]]*13%+Tabla5557275[[#This Row],[VENTA]]</calculatedColumnFormula>
    </tableColumn>
    <tableColumn id="19" xr3:uid="{86A6AEAF-D749-40F2-9769-2D7B7670DDB7}" name="Costo2" dataDxfId="12489" totalsRowDxfId="12488" dataCellStyle="Porcentaje" totalsRowCellStyle="Porcentaje">
      <calculatedColumnFormula>+Tabla5557275[[#This Row],[COSTO]]/Tabla5557275[[#This Row],[Incremento 13%]]</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751857F4-5DED-4D9C-9E28-443B0AD3DDD8}" name="Tabla5557276" displayName="Tabla5557276" ref="B76:T91" totalsRowCount="1" headerRowDxfId="12487" dataDxfId="12486" totalsRowDxfId="12485" totalsRowBorderDxfId="12484">
  <autoFilter ref="B76:T90" xr:uid="{ACBC64AC-10D2-455E-A085-1C38A570F31D}"/>
  <sortState xmlns:xlrd2="http://schemas.microsoft.com/office/spreadsheetml/2017/richdata2" ref="B77:R90">
    <sortCondition descending="1" ref="J79:J90"/>
  </sortState>
  <tableColumns count="19">
    <tableColumn id="1" xr3:uid="{91492741-C330-46F1-B7BC-65B9E1510BCA}" name="FUERTES MAR" totalsRowLabel="Total" dataDxfId="12483" totalsRowDxfId="12482">
      <calculatedColumnFormula>+ENTRADAS!B97</calculatedColumnFormula>
    </tableColumn>
    <tableColumn id="17" xr3:uid="{8F9C2A46-DFF8-4F24-A06C-F28ED4222E0C}" name="DESCRIPCION" dataDxfId="12481" totalsRowDxfId="12480"/>
    <tableColumn id="2" xr3:uid="{E1D13B38-8E0B-417E-9FE4-B6968B85843C}" name="COSTO" dataDxfId="12479" totalsRowDxfId="12478" dataCellStyle="Moneda">
      <calculatedColumnFormula>+ENTRADAS!#REF!</calculatedColumnFormula>
    </tableColumn>
    <tableColumn id="3" xr3:uid="{66A676C7-269D-464E-9218-AD680792C952}" name="VENTA" dataDxfId="12477" totalsRowDxfId="12476" dataCellStyle="Moneda">
      <calculatedColumnFormula>+ENTRADAS!#REF!</calculatedColumnFormula>
    </tableColumn>
    <tableColumn id="4" xr3:uid="{747BB1DE-6FB1-4CB3-A06C-2918C2CEE15C}" name="ICO 8%" dataDxfId="12475" totalsRowDxfId="12474" dataCellStyle="Moneda">
      <calculatedColumnFormula>+E77/1.08*0.08</calculatedColumnFormula>
    </tableColumn>
    <tableColumn id="5" xr3:uid="{5548A4E5-7301-41A7-BEF1-AAA40AD53D0F}" name="BASE" dataDxfId="12473" totalsRowDxfId="12472" dataCellStyle="Moneda">
      <calculatedColumnFormula>+Tabla5557276[[#This Row],[VENTA]]-Tabla5557276[[#This Row],[ICO 8%]]</calculatedColumnFormula>
    </tableColumn>
    <tableColumn id="6" xr3:uid="{65C5B323-C0A3-4916-959A-7981FC37117A}" name="%" totalsRowFunction="average" dataDxfId="12471" totalsRowDxfId="12470" dataCellStyle="Porcentaje">
      <calculatedColumnFormula>+Tabla5557276[[#This Row],[COSTO]]/Tabla5557276[[#This Row],[BASE]]</calculatedColumnFormula>
    </tableColumn>
    <tableColumn id="7" xr3:uid="{EE91A5BC-D645-4EF9-B6D9-9892B446E848}" name="RENTABILIDAD" dataDxfId="12469" totalsRowDxfId="12468">
      <calculatedColumnFormula>+Tabla5557276[[#This Row],[BASE]]/Tabla5557276[[#This Row],[COSTO]]</calculatedColumnFormula>
    </tableColumn>
    <tableColumn id="8" xr3:uid="{2BCE049D-14F5-4F90-8CB1-EFFCBE4FD869}" name="ROTACION" totalsRowFunction="sum" dataDxfId="12467" totalsRowDxfId="12466">
      <calculatedColumnFormula>+VLOOKUP(Tabla5557276[[#This Row],[FUERTES MAR]],#REF!,2,0)</calculatedColumnFormula>
    </tableColumn>
    <tableColumn id="9" xr3:uid="{BBA4C473-D6E5-4433-8B51-727063AFD046}" name="PRECIO SUGERIDO" dataDxfId="12465" totalsRowDxfId="12464" dataCellStyle="Moneda">
      <calculatedColumnFormula>+D77/(100-65)*100</calculatedColumnFormula>
    </tableColumn>
    <tableColumn id="10" xr3:uid="{6C355BB0-6376-4A5C-B66D-03834CA777DF}" name="ICO2" dataDxfId="12463" totalsRowDxfId="12462" dataCellStyle="Moneda">
      <calculatedColumnFormula>+K77/1.08*0.08</calculatedColumnFormula>
    </tableColumn>
    <tableColumn id="11" xr3:uid="{A95F80B1-06DD-4303-A878-D6D7A46B4F73}" name="CARTA " dataDxfId="12461" totalsRowDxfId="12460">
      <calculatedColumnFormula>+Tabla5557276[[#This Row],[PRECIO SUGERIDO]]+Tabla5557276[[#This Row],[ICO2]]</calculatedColumnFormula>
    </tableColumn>
    <tableColumn id="12" xr3:uid="{D358BFEF-0A35-4CE5-9BFA-F958F4A3A0C5}" name="PRECIO N" dataDxfId="12459" totalsRowDxfId="12458" dataCellStyle="Moneda"/>
    <tableColumn id="13" xr3:uid="{569D1D94-4C7C-43A1-ADA7-D01842CBDF9E}" name="ICO 8%2" dataDxfId="12457" totalsRowDxfId="12456" dataCellStyle="Moneda">
      <calculatedColumnFormula>+N77/1.08*0.08</calculatedColumnFormula>
    </tableColumn>
    <tableColumn id="14" xr3:uid="{470A77DD-878C-45A2-83AA-59C7ECEB3ABE}" name="CARTA" dataDxfId="12455" totalsRowDxfId="12454" dataCellStyle="Moneda">
      <calculatedColumnFormula>+N77-O77</calculatedColumnFormula>
    </tableColumn>
    <tableColumn id="15" xr3:uid="{0CCE63B1-CA01-4253-AD94-8C8A933B4C8E}" name="% " dataDxfId="12453" totalsRowDxfId="12452" dataCellStyle="Porcentaje">
      <calculatedColumnFormula>+D77/P77</calculatedColumnFormula>
    </tableColumn>
    <tableColumn id="16" xr3:uid="{2BC0FA1B-3ECD-48CA-84FE-D55893688A04}" name="RATION" totalsRowFunction="count" dataDxfId="12451" totalsRowDxfId="12450">
      <calculatedColumnFormula>+P77/D77</calculatedColumnFormula>
    </tableColumn>
    <tableColumn id="18" xr3:uid="{F9EFE79F-CD38-41B2-B54B-4345FDCAA8D8}" name="Incremento 13%" dataDxfId="12449" totalsRowDxfId="12448">
      <calculatedColumnFormula>+Tabla5557276[[#This Row],[VENTA]]*13%+Tabla5557276[[#This Row],[VENTA]]</calculatedColumnFormula>
    </tableColumn>
    <tableColumn id="19" xr3:uid="{EED77A60-7177-4C52-AB57-6A7B5BCB0A65}" name="Costo2" dataDxfId="12447" totalsRowDxfId="12446" dataCellStyle="Porcentaje" totalsRowCellStyle="Porcentaje">
      <calculatedColumnFormula>+Tabla5557276[[#This Row],[COSTO]]/Tabla5557276[[#This Row],[Incremento 13%]]</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6" xr:uid="{9AA511E8-A6D0-4B78-B1DE-6513396BA867}" name="Tabla5557277" displayName="Tabla5557277" ref="B96:T105" totalsRowCount="1" headerRowDxfId="12445" dataDxfId="12444" totalsRowDxfId="12443" totalsRowBorderDxfId="12442">
  <autoFilter ref="B96:T104" xr:uid="{9002637B-83D2-404C-86EF-4DEC33E3D952}"/>
  <sortState xmlns:xlrd2="http://schemas.microsoft.com/office/spreadsheetml/2017/richdata2" ref="B97:R104">
    <sortCondition descending="1" ref="J99:J104"/>
  </sortState>
  <tableColumns count="19">
    <tableColumn id="1" xr3:uid="{82D2E6A2-E9CD-4AF1-8BFB-DE6609D8D590}" name="FUERTES TIERRA" totalsRowLabel="Total" dataDxfId="12441" totalsRowDxfId="12440">
      <calculatedColumnFormula>+ENTRADAS!#REF!</calculatedColumnFormula>
    </tableColumn>
    <tableColumn id="17" xr3:uid="{3F953FC7-8A51-40F3-864A-2D71560EFCCC}" name="DESCRIPCION" dataDxfId="12439" totalsRowDxfId="12438"/>
    <tableColumn id="2" xr3:uid="{22C2DF4A-8E3C-4C59-8ACB-93CB7B58E116}" name="COSTO" dataDxfId="12437" totalsRowDxfId="12436" dataCellStyle="Moneda">
      <calculatedColumnFormula>+ENTRADAS!K104</calculatedColumnFormula>
    </tableColumn>
    <tableColumn id="3" xr3:uid="{61889C56-9CC6-49C5-B624-34E086495411}" name="VENTA" dataDxfId="12435" totalsRowDxfId="12434" dataCellStyle="Moneda">
      <calculatedColumnFormula>+ENTRADAS!K105</calculatedColumnFormula>
    </tableColumn>
    <tableColumn id="4" xr3:uid="{51F51B33-52DE-4F5E-A32F-9DFC518EADDD}" name="ICO 8%" dataDxfId="12433" totalsRowDxfId="12432" dataCellStyle="Moneda">
      <calculatedColumnFormula>+E97/1.08*0.08</calculatedColumnFormula>
    </tableColumn>
    <tableColumn id="5" xr3:uid="{F4DF0F89-D44E-45C2-99FA-BABC4F432330}" name="BASE" dataDxfId="12431" totalsRowDxfId="12430" dataCellStyle="Moneda">
      <calculatedColumnFormula>+Tabla5557277[[#This Row],[VENTA]]-Tabla5557277[[#This Row],[ICO 8%]]</calculatedColumnFormula>
    </tableColumn>
    <tableColumn id="6" xr3:uid="{38BCAA4B-A2E5-499B-8FB5-35D11BEBCCEC}" name="%" totalsRowFunction="average" dataDxfId="12429" totalsRowDxfId="12428" dataCellStyle="Porcentaje">
      <calculatedColumnFormula>+Tabla5557277[[#This Row],[COSTO]]/Tabla5557277[[#This Row],[BASE]]</calculatedColumnFormula>
    </tableColumn>
    <tableColumn id="7" xr3:uid="{EAF8D300-6887-4011-82CB-7EAD11DD8272}" name="RENTABILIDAD" dataDxfId="12427" totalsRowDxfId="12426">
      <calculatedColumnFormula>+Tabla5557277[[#This Row],[BASE]]/Tabla5557277[[#This Row],[COSTO]]</calculatedColumnFormula>
    </tableColumn>
    <tableColumn id="8" xr3:uid="{972961C7-1E4D-4728-8B1E-DD5AE842C0D4}" name="ROTACION" totalsRowFunction="sum" dataDxfId="12425" totalsRowDxfId="12424">
      <calculatedColumnFormula>+VLOOKUP(Tabla5557277[[#This Row],[FUERTES TIERRA]],#REF!,2,0)</calculatedColumnFormula>
    </tableColumn>
    <tableColumn id="9" xr3:uid="{8E229821-10B4-45FD-9727-2BBD06EFD610}" name="PRECIO SUGERIDO" dataDxfId="12423" totalsRowDxfId="12422" dataCellStyle="Moneda">
      <calculatedColumnFormula>+D97/(100-65)*100</calculatedColumnFormula>
    </tableColumn>
    <tableColumn id="10" xr3:uid="{0132B3EB-DB75-44FC-A3ED-BA31D84C4406}" name="ICO2" dataDxfId="12421" totalsRowDxfId="12420" dataCellStyle="Moneda">
      <calculatedColumnFormula>+K97/1.08*0.08</calculatedColumnFormula>
    </tableColumn>
    <tableColumn id="11" xr3:uid="{920B9D2D-ECAC-45E4-81D3-C58BB7E9B7B3}" name="CARTA " dataDxfId="12419" totalsRowDxfId="12418">
      <calculatedColumnFormula>+Tabla5557277[[#This Row],[PRECIO SUGERIDO]]+Tabla5557277[[#This Row],[ICO2]]</calculatedColumnFormula>
    </tableColumn>
    <tableColumn id="12" xr3:uid="{A55F6D0F-E81A-4FC4-8E8F-B7476D6AC373}" name="PRECIO N" dataDxfId="12417" totalsRowDxfId="12416" dataCellStyle="Moneda"/>
    <tableColumn id="13" xr3:uid="{C27673AA-121E-408E-99C1-9877D1A65B8E}" name="ICO 8%2" dataDxfId="12415" totalsRowDxfId="12414" dataCellStyle="Moneda">
      <calculatedColumnFormula>+N97/1.08*0.08</calculatedColumnFormula>
    </tableColumn>
    <tableColumn id="14" xr3:uid="{F28DC89E-33A5-4D79-A339-925BEEB2D396}" name="CARTA" dataDxfId="12413" totalsRowDxfId="12412" dataCellStyle="Moneda">
      <calculatedColumnFormula>+N97-O97</calculatedColumnFormula>
    </tableColumn>
    <tableColumn id="15" xr3:uid="{4A5278E3-9E22-445B-BD36-3A3F6C1DCF7C}" name="% " dataDxfId="12411" totalsRowDxfId="12410" dataCellStyle="Porcentaje">
      <calculatedColumnFormula>+D97/P97</calculatedColumnFormula>
    </tableColumn>
    <tableColumn id="16" xr3:uid="{ADE6F50A-BEB1-4632-A4C7-09EA0283A6CE}" name="RATION" totalsRowFunction="count" dataDxfId="12409" totalsRowDxfId="12408">
      <calculatedColumnFormula>+P97/D97</calculatedColumnFormula>
    </tableColumn>
    <tableColumn id="18" xr3:uid="{EB94952E-A7E9-46D2-BD41-46CCD43470A9}" name="Incremento 13%" dataDxfId="12407" totalsRowDxfId="12406">
      <calculatedColumnFormula>+Tabla5557277[[#This Row],[VENTA]]*13%+Tabla5557277[[#This Row],[VENTA]]</calculatedColumnFormula>
    </tableColumn>
    <tableColumn id="19" xr3:uid="{41E45152-11AF-40E4-836D-6EF634EA4FAF}" name="Costo2" dataDxfId="12405" totalsRowDxfId="12404" dataCellStyle="Porcentaje" totalsRowCellStyle="Porcentaje">
      <calculatedColumnFormula>+Tabla5557277[[#This Row],[COSTO]]/Tabla5557277[[#This Row],[Incremento 13%]]</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8" xr:uid="{478D0C0E-8C60-43B3-968A-600209D75195}" name="Tabla5557279" displayName="Tabla5557279" ref="B110:T117" totalsRowCount="1" headerRowDxfId="12403" dataDxfId="12402" totalsRowDxfId="12401" totalsRowBorderDxfId="12400">
  <autoFilter ref="B110:T116" xr:uid="{02FDE466-E899-4771-86FB-BF91ACA9891D}"/>
  <sortState xmlns:xlrd2="http://schemas.microsoft.com/office/spreadsheetml/2017/richdata2" ref="B111:R114">
    <sortCondition descending="1" ref="J112:J114"/>
  </sortState>
  <tableColumns count="19">
    <tableColumn id="1" xr3:uid="{AEB1B99C-18B8-4A0D-8778-479870D7310E}" name="FUERTES MAR Y TIERRA" totalsRowLabel="Total" dataDxfId="12399" totalsRowDxfId="12398">
      <calculatedColumnFormula>+ENTRADAS!B120</calculatedColumnFormula>
    </tableColumn>
    <tableColumn id="17" xr3:uid="{49BA9176-B9AA-4644-B8F8-AB6C636CE891}" name="DESCRIPCION" dataDxfId="12397" totalsRowDxfId="12396"/>
    <tableColumn id="2" xr3:uid="{13197A43-2A4C-49FA-AA21-6424E1F2F949}" name="COSTO" dataDxfId="12395" totalsRowDxfId="12394" dataCellStyle="Moneda">
      <calculatedColumnFormula>+ENTRADAS!K123</calculatedColumnFormula>
    </tableColumn>
    <tableColumn id="3" xr3:uid="{DABAAC45-2773-4D8F-9317-5AC2F321F7CF}" name="VENTA" dataDxfId="12393" totalsRowDxfId="12392" dataCellStyle="Moneda">
      <calculatedColumnFormula>+ENTRADAS!K124</calculatedColumnFormula>
    </tableColumn>
    <tableColumn id="4" xr3:uid="{2B2577CA-10F8-4169-8C21-9C5D8319207A}" name="ICO 8%" dataDxfId="12391" totalsRowDxfId="12390" dataCellStyle="Moneda">
      <calculatedColumnFormula>+E111/1.08*0.08</calculatedColumnFormula>
    </tableColumn>
    <tableColumn id="5" xr3:uid="{DD7B71B0-6DD4-4700-89C2-5B12B6F3713A}" name="BASE" dataDxfId="12389" totalsRowDxfId="12388" dataCellStyle="Moneda">
      <calculatedColumnFormula>+Tabla5557279[[#This Row],[VENTA]]-Tabla5557279[[#This Row],[ICO 8%]]</calculatedColumnFormula>
    </tableColumn>
    <tableColumn id="6" xr3:uid="{04138315-7C21-4DBA-A409-51BF0AE841C3}" name="%" totalsRowFunction="average" dataDxfId="12387" totalsRowDxfId="12386" dataCellStyle="Porcentaje">
      <calculatedColumnFormula>+Tabla5557279[[#This Row],[COSTO]]/Tabla5557279[[#This Row],[BASE]]</calculatedColumnFormula>
    </tableColumn>
    <tableColumn id="7" xr3:uid="{16DB3631-5807-420A-926C-BFE116771B03}" name="RENTABILIDAD" dataDxfId="12385" totalsRowDxfId="12384">
      <calculatedColumnFormula>+Tabla5557279[[#This Row],[BASE]]/Tabla5557279[[#This Row],[COSTO]]</calculatedColumnFormula>
    </tableColumn>
    <tableColumn id="8" xr3:uid="{FC266C25-7330-4A9B-AF83-99414D303575}" name="ROTACION" totalsRowFunction="sum" dataDxfId="12383" totalsRowDxfId="12382">
      <calculatedColumnFormula>+VLOOKUP(Tabla5557279[[#This Row],[FUERTES MAR Y TIERRA]],#REF!,2,0)</calculatedColumnFormula>
    </tableColumn>
    <tableColumn id="9" xr3:uid="{0392A76A-71A3-4CB1-ACFF-8D9283F10D03}" name="PRECIO SUGERIDO" dataDxfId="12381" totalsRowDxfId="12380" dataCellStyle="Moneda">
      <calculatedColumnFormula>+D111/(100-67)*100</calculatedColumnFormula>
    </tableColumn>
    <tableColumn id="10" xr3:uid="{420CA9DA-FD5C-420E-B407-80E24133E356}" name="ICO2" dataDxfId="12379" totalsRowDxfId="12378" dataCellStyle="Moneda">
      <calculatedColumnFormula>+K111/1.08*0.08</calculatedColumnFormula>
    </tableColumn>
    <tableColumn id="11" xr3:uid="{CB2A52FF-1BBE-49C3-B4CB-D15C686C36D4}" name="CARTA " dataDxfId="12377" totalsRowDxfId="12376">
      <calculatedColumnFormula>+Tabla5557279[[#This Row],[PRECIO SUGERIDO]]+Tabla5557279[[#This Row],[ICO2]]</calculatedColumnFormula>
    </tableColumn>
    <tableColumn id="12" xr3:uid="{07EB1BCA-C466-47B4-BB27-A3C8A0D9B81B}" name="PRECIO N" dataDxfId="12375" totalsRowDxfId="12374" dataCellStyle="Moneda"/>
    <tableColumn id="13" xr3:uid="{B3EE34D6-20DD-481E-95A1-1C18C4AE9B4D}" name="ICO 8%2" dataDxfId="12373" totalsRowDxfId="12372" dataCellStyle="Moneda">
      <calculatedColumnFormula>+N111/1.08*0.08</calculatedColumnFormula>
    </tableColumn>
    <tableColumn id="14" xr3:uid="{A7522A5F-E23E-4483-B72F-D14054320CF1}" name="CARTA" dataDxfId="12371" totalsRowDxfId="12370" dataCellStyle="Moneda">
      <calculatedColumnFormula>+N111-O111</calculatedColumnFormula>
    </tableColumn>
    <tableColumn id="15" xr3:uid="{89DCF34B-614C-4D1B-8D67-1D4318D5F282}" name="% " dataDxfId="12369" totalsRowDxfId="12368" dataCellStyle="Porcentaje">
      <calculatedColumnFormula>+D111/P111</calculatedColumnFormula>
    </tableColumn>
    <tableColumn id="16" xr3:uid="{A32766E0-C2DA-4FC4-963C-8AF083844071}" name="RATION" totalsRowFunction="sum" dataDxfId="12367" totalsRowDxfId="12366">
      <calculatedColumnFormula>+P111/D111</calculatedColumnFormula>
    </tableColumn>
    <tableColumn id="18" xr3:uid="{D66553EB-D864-4691-8C4A-45FCF9FBD4E0}" name="Incremento 13%" dataDxfId="12365" totalsRowDxfId="12364">
      <calculatedColumnFormula>+Tabla5557279[[#This Row],[VENTA]]*13%+Tabla5557279[[#This Row],[VENTA]]</calculatedColumnFormula>
    </tableColumn>
    <tableColumn id="19" xr3:uid="{B86FE78B-825F-447F-8C73-D875BFF6F9BF}" name="Costo2" dataDxfId="12363" totalsRowDxfId="12362" dataCellStyle="Porcentaje" totalsRowCellStyle="Porcentaje">
      <calculatedColumnFormula>+Tabla5557279[[#This Row],[COSTO]]/Tabla5557279[[#This Row],[Incremento 13%]]</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7AF4A38-FDC8-467D-BD91-F75C2DDF7696}" name="Tabla555727951" displayName="Tabla555727951" ref="B153:T185" totalsRowCount="1" headerRowDxfId="12361" dataDxfId="12360" totalsRowDxfId="12359" totalsRowBorderDxfId="12358">
  <autoFilter ref="B153:T184" xr:uid="{F3FA5F22-454D-4E42-9FB0-D059617CF045}">
    <filterColumn colId="12">
      <customFilters>
        <customFilter operator="notEqual" val=" "/>
      </customFilters>
    </filterColumn>
  </autoFilter>
  <sortState xmlns:xlrd2="http://schemas.microsoft.com/office/spreadsheetml/2017/richdata2" ref="B154:R179">
    <sortCondition descending="1" ref="J162:J179"/>
  </sortState>
  <tableColumns count="19">
    <tableColumn id="1" xr3:uid="{CD46BC5C-3455-432D-8439-289E99A20FE6}" name="BRUCH" totalsRowLabel="Total" dataDxfId="12357" totalsRowDxfId="12356">
      <calculatedColumnFormula>+ENTRADAS!B144</calculatedColumnFormula>
    </tableColumn>
    <tableColumn id="17" xr3:uid="{31D4813F-6128-4F27-9F2E-3007380A09FC}" name="DESCRIPCION" dataDxfId="12355" totalsRowDxfId="12354"/>
    <tableColumn id="2" xr3:uid="{24B397D5-1BF8-4B00-8829-B2969665E8C5}" name="COSTO" dataDxfId="12353" totalsRowDxfId="12352" dataCellStyle="Moneda">
      <calculatedColumnFormula>+ENTRADAS!K144</calculatedColumnFormula>
    </tableColumn>
    <tableColumn id="3" xr3:uid="{1559A8F4-E331-4A10-B1D2-E80064BC3630}" name="VENTA" dataDxfId="12351" totalsRowDxfId="12350" dataCellStyle="Moneda">
      <calculatedColumnFormula>+ENTRADAS!I145</calculatedColumnFormula>
    </tableColumn>
    <tableColumn id="4" xr3:uid="{E7294157-9400-416F-A703-4FA4DCFBC3FF}" name="ICO 8%" dataDxfId="12349" totalsRowDxfId="12348" dataCellStyle="Moneda">
      <calculatedColumnFormula>+E154/1.08*0.08</calculatedColumnFormula>
    </tableColumn>
    <tableColumn id="5" xr3:uid="{0D4C23BC-0B56-4370-84F0-6B6641FEC780}" name="BASE" dataDxfId="12347" totalsRowDxfId="12346" dataCellStyle="Moneda">
      <calculatedColumnFormula>+Tabla555727951[[#This Row],[VENTA]]-Tabla555727951[[#This Row],[ICO 8%]]</calculatedColumnFormula>
    </tableColumn>
    <tableColumn id="6" xr3:uid="{3031FD15-B1E8-4AA7-9AFF-008CDA25AAA6}" name="%" totalsRowFunction="average" dataDxfId="12345" totalsRowDxfId="12344" dataCellStyle="Porcentaje">
      <calculatedColumnFormula>+Tabla555727951[[#This Row],[COSTO]]/Tabla555727951[[#This Row],[BASE]]</calculatedColumnFormula>
    </tableColumn>
    <tableColumn id="7" xr3:uid="{4E01E933-A815-4A56-BA41-B3419ABAB23A}" name="RENTABILIDAD" dataDxfId="12343" totalsRowDxfId="12342">
      <calculatedColumnFormula>+Tabla555727951[[#This Row],[BASE]]/Tabla555727951[[#This Row],[COSTO]]</calculatedColumnFormula>
    </tableColumn>
    <tableColumn id="8" xr3:uid="{D6181A5F-9F9F-4BFF-9EF9-910537086C88}" name="ROTACION" totalsRowFunction="sum" dataDxfId="12341" totalsRowDxfId="12340">
      <calculatedColumnFormula>+VLOOKUP(Tabla555727951[[#This Row],[BRUCH]],#REF!,2,0)</calculatedColumnFormula>
    </tableColumn>
    <tableColumn id="9" xr3:uid="{B08E5BAE-C4C9-4F67-A70D-91E9DCE5F746}" name="PRECIO SUGERIDO" dataDxfId="12339" totalsRowDxfId="12338" dataCellStyle="Moneda">
      <calculatedColumnFormula>+D154/(100-67)*100</calculatedColumnFormula>
    </tableColumn>
    <tableColumn id="10" xr3:uid="{E75BF781-5909-4CE9-861B-A9D0161F8DD5}" name="ICO2" dataDxfId="12337" totalsRowDxfId="12336" dataCellStyle="Moneda">
      <calculatedColumnFormula>+K154/1.08*0.08</calculatedColumnFormula>
    </tableColumn>
    <tableColumn id="11" xr3:uid="{3F9499BF-E0EF-4E68-A006-490ADF0F7E58}" name="CARTA " dataDxfId="12335" totalsRowDxfId="12334">
      <calculatedColumnFormula>+Tabla555727951[[#This Row],[PRECIO SUGERIDO]]+Tabla555727951[[#This Row],[ICO2]]</calculatedColumnFormula>
    </tableColumn>
    <tableColumn id="12" xr3:uid="{B24327AF-CCA8-4274-8F2F-F273AB579F82}" name="PRECIO N" dataDxfId="12333" totalsRowDxfId="12332" dataCellStyle="Moneda"/>
    <tableColumn id="13" xr3:uid="{AFC76794-2279-4697-BDC9-B62004DAA444}" name="ICO 8%2" dataDxfId="12331" totalsRowDxfId="12330" dataCellStyle="Moneda">
      <calculatedColumnFormula>+N154/1.08*0.08</calculatedColumnFormula>
    </tableColumn>
    <tableColumn id="14" xr3:uid="{4A15C60A-8C71-478F-B10B-DF85A180DBC3}" name="CARTA" dataDxfId="12329" totalsRowDxfId="12328" dataCellStyle="Moneda">
      <calculatedColumnFormula>+N154-O154</calculatedColumnFormula>
    </tableColumn>
    <tableColumn id="15" xr3:uid="{085DA71A-10C8-402B-88C5-549E608DDF5A}" name="% " dataDxfId="12327" totalsRowDxfId="12326" dataCellStyle="Porcentaje">
      <calculatedColumnFormula>+D154/P154</calculatedColumnFormula>
    </tableColumn>
    <tableColumn id="16" xr3:uid="{E2E1B5C0-F0C7-476A-BFBA-94D2765C6265}" name="RATION" totalsRowFunction="count" dataDxfId="12325" totalsRowDxfId="12324">
      <calculatedColumnFormula>+P154/D154</calculatedColumnFormula>
    </tableColumn>
    <tableColumn id="18" xr3:uid="{62643636-2B46-418E-81B9-1471D6C9B11F}" name="Incremento 13%" dataDxfId="12323" totalsRowDxfId="12322">
      <calculatedColumnFormula>+Tabla555727951[[#This Row],[VENTA]]*13%+Tabla555727951[[#This Row],[VENTA]]</calculatedColumnFormula>
    </tableColumn>
    <tableColumn id="19" xr3:uid="{6A0CFF5D-A02B-4A18-B176-55A8049B63AC}" name="Costo2" dataDxfId="12321" totalsRowDxfId="12320" dataCellStyle="Porcentaje" totalsRowCellStyle="Porcentaje">
      <calculatedColumnFormula>+Tabla555727951[[#This Row],[COSTO]]/Tabla555727951[[#This Row],[Incremento 13%]]</calculatedColumnFormula>
    </tableColum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48260E8-8D1F-4EA3-9349-5CAACE5BBF8C}" name="Tabla55572795152" displayName="Tabla55572795152" ref="B189:T215" totalsRowCount="1" headerRowDxfId="12319" dataDxfId="12318" totalsRowDxfId="12317" totalsRowBorderDxfId="12316">
  <autoFilter ref="B189:T214" xr:uid="{7471D684-C30F-40AC-984F-962B1CF53989}"/>
  <sortState xmlns:xlrd2="http://schemas.microsoft.com/office/spreadsheetml/2017/richdata2" ref="B190:R200">
    <sortCondition descending="1" ref="J191:J200"/>
  </sortState>
  <tableColumns count="19">
    <tableColumn id="1" xr3:uid="{A9D1E151-12C8-41A0-B0B3-3D29A53D4C5C}" name="COCTELES TRADICIONALES" totalsRowLabel="Total" dataDxfId="12315" totalsRowDxfId="12314">
      <calculatedColumnFormula>+ENTRADAS!B160</calculatedColumnFormula>
    </tableColumn>
    <tableColumn id="17" xr3:uid="{66B1DD99-61F0-4581-A65C-B9DB71CB473C}" name="DESCRIPCION" dataDxfId="12313" totalsRowDxfId="12312"/>
    <tableColumn id="2" xr3:uid="{F6468255-BEE1-430C-8FF8-B5C8B94E885F}" name="COSTO" dataDxfId="12311" totalsRowDxfId="12310" dataCellStyle="Moneda">
      <calculatedColumnFormula>+ENTRADAS!K163</calculatedColumnFormula>
    </tableColumn>
    <tableColumn id="3" xr3:uid="{99DF7A4E-3F43-471E-901D-91F3F32E9B41}" name="VENTA" dataDxfId="12309" totalsRowDxfId="12308" dataCellStyle="Moneda">
      <calculatedColumnFormula>+ENTRADAS!K164</calculatedColumnFormula>
    </tableColumn>
    <tableColumn id="4" xr3:uid="{AE040C1E-C8A9-4FE8-92B7-A33A3F1ABEC2}" name="ICO 8%" dataDxfId="12307" totalsRowDxfId="12306" dataCellStyle="Moneda">
      <calculatedColumnFormula>+E190/1.08*0.08</calculatedColumnFormula>
    </tableColumn>
    <tableColumn id="5" xr3:uid="{375DC65F-1B39-4047-B86C-2AA3EE8200BF}" name="BASE" dataDxfId="12305" totalsRowDxfId="12304" dataCellStyle="Moneda">
      <calculatedColumnFormula>+Tabla55572795152[[#This Row],[VENTA]]-Tabla55572795152[[#This Row],[ICO 8%]]</calculatedColumnFormula>
    </tableColumn>
    <tableColumn id="6" xr3:uid="{22726D34-2A26-4E0D-B6C0-4B9B04C274FA}" name="%" totalsRowFunction="average" dataDxfId="12303" totalsRowDxfId="12302" dataCellStyle="Porcentaje">
      <calculatedColumnFormula>+Tabla55572795152[[#This Row],[COSTO]]/Tabla55572795152[[#This Row],[BASE]]</calculatedColumnFormula>
    </tableColumn>
    <tableColumn id="7" xr3:uid="{DD9021D2-B531-4FF6-8A93-1421BCD2DFC2}" name="RENTABILIDAD" dataDxfId="12301" totalsRowDxfId="12300">
      <calculatedColumnFormula>+Tabla55572795152[[#This Row],[BASE]]/Tabla55572795152[[#This Row],[COSTO]]</calculatedColumnFormula>
    </tableColumn>
    <tableColumn id="8" xr3:uid="{F6C15A28-F6CF-4748-A9B3-5BFB9A378BDD}" name="ROTACION" dataDxfId="12299" totalsRowDxfId="12298">
      <calculatedColumnFormula>+VLOOKUP(Tabla55572795152[[#This Row],[COCTELES TRADICIONALES]],#REF!,2,0)</calculatedColumnFormula>
    </tableColumn>
    <tableColumn id="9" xr3:uid="{D460A9A6-4330-40F7-B786-9C9FCC907A4F}" name="PRECIO SUGERIDO" dataDxfId="12297" totalsRowDxfId="12296" dataCellStyle="Moneda">
      <calculatedColumnFormula>+D190/(100-75)*100</calculatedColumnFormula>
    </tableColumn>
    <tableColumn id="10" xr3:uid="{07422F4F-CD2B-4963-BCA3-EE4466DA8B9B}" name="ICO2" dataDxfId="12295" totalsRowDxfId="12294" dataCellStyle="Moneda">
      <calculatedColumnFormula>+K190/1.08*0.08</calculatedColumnFormula>
    </tableColumn>
    <tableColumn id="11" xr3:uid="{064FEC1F-96DA-4E01-833B-980CC11D2E1E}" name="CARTA " dataDxfId="12293" totalsRowDxfId="12292">
      <calculatedColumnFormula>+Tabla55572795152[[#This Row],[PRECIO SUGERIDO]]+Tabla55572795152[[#This Row],[ICO2]]</calculatedColumnFormula>
    </tableColumn>
    <tableColumn id="12" xr3:uid="{83BD7F49-433D-4359-A4DB-C8B426173B3B}" name="PRECIO N" dataDxfId="12291" totalsRowDxfId="12290" dataCellStyle="Moneda"/>
    <tableColumn id="13" xr3:uid="{89D8B573-3B1A-4B4F-9501-2E806224ADBA}" name="ICO 8%2" dataDxfId="12289" totalsRowDxfId="12288" dataCellStyle="Moneda">
      <calculatedColumnFormula>+N190/1.08*0.08</calculatedColumnFormula>
    </tableColumn>
    <tableColumn id="14" xr3:uid="{5A5645C4-AD47-44DB-B202-6CDDFE36249C}" name="CARTA" dataDxfId="12287" totalsRowDxfId="12286" dataCellStyle="Moneda">
      <calculatedColumnFormula>+N190-O190</calculatedColumnFormula>
    </tableColumn>
    <tableColumn id="15" xr3:uid="{11841084-B579-41CD-A1D1-2C55E70F8742}" name="% " dataDxfId="12285" totalsRowDxfId="12284" dataCellStyle="Porcentaje">
      <calculatedColumnFormula>+D190/P190</calculatedColumnFormula>
    </tableColumn>
    <tableColumn id="16" xr3:uid="{46C68522-5AAE-4CFA-8059-6B2D1D6E1A4C}" name="RATION" totalsRowFunction="sum" dataDxfId="12283" totalsRowDxfId="12282">
      <calculatedColumnFormula>+P190/D190</calculatedColumnFormula>
    </tableColumn>
    <tableColumn id="18" xr3:uid="{2F42BC23-0B24-4418-AB8E-C795AAEA9366}" name="Incremento 13%" dataDxfId="12281" totalsRowDxfId="12280">
      <calculatedColumnFormula>+Tabla55572795152[[#This Row],[VENTA]]*13%+Tabla55572795152[[#This Row],[VENTA]]</calculatedColumnFormula>
    </tableColumn>
    <tableColumn id="19" xr3:uid="{3B60E2DC-9017-48EA-977C-A79D66AED6B4}" name="Costo2" dataDxfId="12279" totalsRowDxfId="12278" dataCellStyle="Porcentaje">
      <calculatedColumnFormula>+Tabla55572795152[[#This Row],[COSTO]]/Tabla55572795152[[#This Row],[Incremento 13%]]</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39FB0A3-C675-4005-8D86-F96B7C58FE4D}" name="Tabla555727953" displayName="Tabla555727953" ref="B130:T149" totalsRowCount="1" headerRowDxfId="12277" dataDxfId="12276" totalsRowDxfId="12275" totalsRowBorderDxfId="12274">
  <autoFilter ref="B130:T148" xr:uid="{76FD5C6D-FDD0-4600-B0B8-28B3B7CD154C}">
    <filterColumn colId="9">
      <filters>
        <filter val="$ 11.173"/>
        <filter val="$ 17.090"/>
        <filter val="$ 17.929"/>
        <filter val="$ 20.507"/>
        <filter val="$ 31.182"/>
        <filter val="$ 8.949"/>
      </filters>
    </filterColumn>
    <filterColumn colId="17">
      <filters>
        <filter val="$ 26.000"/>
        <filter val="$ 29.000"/>
        <filter val="$ 31.000"/>
        <filter val="$ 34.000"/>
      </filters>
    </filterColumn>
  </autoFilter>
  <sortState xmlns:xlrd2="http://schemas.microsoft.com/office/spreadsheetml/2017/richdata2" ref="B131:R136">
    <sortCondition descending="1" ref="J134:J136"/>
  </sortState>
  <tableColumns count="19">
    <tableColumn id="1" xr3:uid="{03E05543-4905-4B72-9FB8-1D8F14AE31EF}" name="POSTRES" totalsRowLabel="Total" dataDxfId="12273" totalsRowDxfId="12272">
      <calculatedColumnFormula>+ENTRADAS!B144</calculatedColumnFormula>
    </tableColumn>
    <tableColumn id="17" xr3:uid="{9D4D78F5-2A76-4F67-8DA1-25A48CED29EE}" name="DESCRIPCION" dataDxfId="12271" totalsRowDxfId="12270"/>
    <tableColumn id="2" xr3:uid="{C998CDD5-F67A-431D-AD0B-880806DC30C5}" name="COSTO" dataDxfId="12269" totalsRowDxfId="12268" dataCellStyle="Moneda">
      <calculatedColumnFormula>+ENTRADAS!K144</calculatedColumnFormula>
    </tableColumn>
    <tableColumn id="3" xr3:uid="{68524D61-0C95-413F-815B-7902B654DEDF}" name="VENTA" dataDxfId="12267" totalsRowDxfId="12266" dataCellStyle="Moneda">
      <calculatedColumnFormula>+ENTRADAS!I145</calculatedColumnFormula>
    </tableColumn>
    <tableColumn id="4" xr3:uid="{ACBB21E3-6EF0-4567-9482-83F150C24795}" name="ICO 8%" dataDxfId="12265" totalsRowDxfId="12264" dataCellStyle="Moneda">
      <calculatedColumnFormula>+E131/1.08*0.08</calculatedColumnFormula>
    </tableColumn>
    <tableColumn id="5" xr3:uid="{638FF472-EC83-4C3B-8C5C-76A2B8FE9AE3}" name="BASE" dataDxfId="12263" totalsRowDxfId="12262" dataCellStyle="Moneda">
      <calculatedColumnFormula>+Tabla555727953[[#This Row],[VENTA]]-Tabla555727953[[#This Row],[ICO 8%]]</calculatedColumnFormula>
    </tableColumn>
    <tableColumn id="6" xr3:uid="{097A9551-780E-4781-B669-A7EEB9CB3661}" name="%" dataDxfId="12261" totalsRowDxfId="12260" dataCellStyle="Porcentaje">
      <calculatedColumnFormula>+Tabla555727953[[#This Row],[COSTO]]/Tabla555727953[[#This Row],[BASE]]</calculatedColumnFormula>
    </tableColumn>
    <tableColumn id="7" xr3:uid="{1099221A-08AD-4591-9800-C92829D476EC}" name="RENTABILIDAD" totalsRowFunction="average" dataDxfId="12259" totalsRowDxfId="12258">
      <calculatedColumnFormula>+Tabla555727953[[#This Row],[BASE]]/Tabla555727953[[#This Row],[COSTO]]</calculatedColumnFormula>
    </tableColumn>
    <tableColumn id="8" xr3:uid="{29773362-2C35-4E47-A0A1-ABAE58CC13C3}" name="ROTACION" totalsRowFunction="sum" dataDxfId="12257" totalsRowDxfId="12256">
      <calculatedColumnFormula>+VLOOKUP(Tabla555727953[[#This Row],[POSTRES]],#REF!,2,0)</calculatedColumnFormula>
    </tableColumn>
    <tableColumn id="9" xr3:uid="{15AF1CF6-9ABB-4FFC-8505-A1DBF125293E}" name="PRECIO SUGERIDO" dataDxfId="12255" totalsRowDxfId="12254" dataCellStyle="Moneda">
      <calculatedColumnFormula>+D131/(100-67)*100</calculatedColumnFormula>
    </tableColumn>
    <tableColumn id="10" xr3:uid="{3AF687B5-9D19-4073-8432-6D3B2F9A24FD}" name="ICO2" dataDxfId="12253" totalsRowDxfId="12252" dataCellStyle="Moneda">
      <calculatedColumnFormula>+K131/1.08*0.08</calculatedColumnFormula>
    </tableColumn>
    <tableColumn id="11" xr3:uid="{66F48DB5-7DB8-44AE-917B-7AB65D8DAD5F}" name="CARTA " dataDxfId="12251" totalsRowDxfId="12250">
      <calculatedColumnFormula>+Tabla555727953[[#This Row],[PRECIO SUGERIDO]]+Tabla555727953[[#This Row],[ICO2]]</calculatedColumnFormula>
    </tableColumn>
    <tableColumn id="12" xr3:uid="{24B32DD9-79E3-4629-AB61-D213BAA27E27}" name="PRECIO N" dataDxfId="12249" totalsRowDxfId="12248" dataCellStyle="Moneda"/>
    <tableColumn id="13" xr3:uid="{AAA5E8F9-16A1-4734-B111-5A6BE29D4983}" name="ICO 8%2" dataDxfId="12247" totalsRowDxfId="12246" dataCellStyle="Moneda">
      <calculatedColumnFormula>+N131/1.08*0.08</calculatedColumnFormula>
    </tableColumn>
    <tableColumn id="14" xr3:uid="{6376BCE8-1DD2-4C22-BF89-C5C0D64065F5}" name="CARTA" dataDxfId="12245" totalsRowDxfId="12244" dataCellStyle="Moneda">
      <calculatedColumnFormula>+N131-O131</calculatedColumnFormula>
    </tableColumn>
    <tableColumn id="15" xr3:uid="{99EA786C-39EB-4DB7-92FB-440357305633}" name="% " dataDxfId="12243" totalsRowDxfId="12242" dataCellStyle="Porcentaje">
      <calculatedColumnFormula>+D131/P131</calculatedColumnFormula>
    </tableColumn>
    <tableColumn id="16" xr3:uid="{54F267DC-A493-4765-B7E4-326892ABC4AE}" name="RATION" totalsRowFunction="count" dataDxfId="12241" totalsRowDxfId="12240">
      <calculatedColumnFormula>+P131/D131</calculatedColumnFormula>
    </tableColumn>
    <tableColumn id="18" xr3:uid="{469C6573-B94A-42AE-964C-C590BCCC7FDC}" name="Incremento 13%" dataDxfId="12239" totalsRowDxfId="12238">
      <calculatedColumnFormula>+Tabla555727953[[#This Row],[VENTA]]*13%+Tabla555727953[[#This Row],[VENTA]]</calculatedColumnFormula>
    </tableColumn>
    <tableColumn id="19" xr3:uid="{A9C2BF91-F6FA-4243-9A8A-4222F6BD049B}" name="Costo2" dataDxfId="12237" totalsRowDxfId="12236" dataCellStyle="Porcentaje">
      <calculatedColumnFormula>+Tabla555727953[[#This Row],[COSTO]]/Tabla555727953[[#This Row],[Incremento 13%]]</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955A7E43-0459-4BAD-B430-4174043BB8D6}" name="Tabla5557279515274" displayName="Tabla5557279515274" ref="B237:T248" totalsRowCount="1" headerRowDxfId="12235" dataDxfId="12234" totalsRowDxfId="12233" totalsRowBorderDxfId="12232">
  <autoFilter ref="B237:T247" xr:uid="{DB5E16A2-BDBA-49A6-983D-D3C765289B7D}">
    <filterColumn colId="0">
      <filters>
        <filter val="COPA TINTO DE VERANO"/>
        <filter val="COPA VINO CALIENTE"/>
      </filters>
    </filterColumn>
  </autoFilter>
  <sortState xmlns:xlrd2="http://schemas.microsoft.com/office/spreadsheetml/2017/richdata2" ref="B238:T245">
    <sortCondition ref="B239:B245"/>
  </sortState>
  <tableColumns count="19">
    <tableColumn id="1" xr3:uid="{CAFF4C81-7EEE-4D54-9D20-DE34C098564F}" name="SANGRIAS" totalsRowLabel="Total" dataDxfId="12231" totalsRowDxfId="12230"/>
    <tableColumn id="17" xr3:uid="{125430DE-8F2F-4CAC-AB7D-09D1BD7FB892}" name="DESCRIPCION" dataDxfId="12229" totalsRowDxfId="12228"/>
    <tableColumn id="2" xr3:uid="{EDDA78C7-EBEC-4A74-BE7A-CAD8D9A9E8FC}" name="COSTO" dataDxfId="12227" totalsRowDxfId="12226" dataCellStyle="Moneda"/>
    <tableColumn id="3" xr3:uid="{5010720E-B043-4804-92B4-097AE15E7C01}" name="VENTA" dataDxfId="12225" totalsRowDxfId="12224" dataCellStyle="Moneda"/>
    <tableColumn id="4" xr3:uid="{090ADB74-1CF4-468C-83B6-4BF37835EE7A}" name="ICO 8%" dataDxfId="12223" totalsRowDxfId="12222" dataCellStyle="Moneda">
      <calculatedColumnFormula>+E238/1.08*0.08</calculatedColumnFormula>
    </tableColumn>
    <tableColumn id="5" xr3:uid="{352D5216-3E2C-4219-99E1-0DDEB5B9B55C}" name="BASE" dataDxfId="12221" totalsRowDxfId="12220" dataCellStyle="Moneda">
      <calculatedColumnFormula>+Tabla5557279515274[[#This Row],[VENTA]]-Tabla5557279515274[[#This Row],[ICO 8%]]</calculatedColumnFormula>
    </tableColumn>
    <tableColumn id="6" xr3:uid="{97E93F9C-6CB2-413D-A3E1-2068990105B9}" name="%" totalsRowFunction="average" dataDxfId="12219" totalsRowDxfId="12218" dataCellStyle="Porcentaje">
      <calculatedColumnFormula>+Tabla5557279515274[[#This Row],[COSTO]]/Tabla5557279515274[[#This Row],[BASE]]</calculatedColumnFormula>
    </tableColumn>
    <tableColumn id="7" xr3:uid="{D35CE80A-B5DD-41B8-8788-A7E33DD0D98F}" name="RENTABILIDAD" dataDxfId="12217" totalsRowDxfId="12216">
      <calculatedColumnFormula>+Tabla5557279515274[[#This Row],[BASE]]/Tabla5557279515274[[#This Row],[COSTO]]</calculatedColumnFormula>
    </tableColumn>
    <tableColumn id="8" xr3:uid="{0DDD988C-7E38-4AEE-8835-E87CE8DE7B08}" name="ROTACION" totalsRowFunction="sum" dataDxfId="12215" totalsRowDxfId="12214">
      <calculatedColumnFormula>+VLOOKUP(Tabla5557279515274[[#This Row],[SANGRIAS]],#REF!,2,0)</calculatedColumnFormula>
    </tableColumn>
    <tableColumn id="9" xr3:uid="{19085946-B5BA-4867-9258-E40816426208}" name="PRECIO SUGERIDO" dataDxfId="12213" totalsRowDxfId="12212" dataCellStyle="Moneda">
      <calculatedColumnFormula>+D238/(100-75)*100</calculatedColumnFormula>
    </tableColumn>
    <tableColumn id="10" xr3:uid="{A6E1E397-BA21-4340-9FB0-39157BEDBF40}" name="ICO2" dataDxfId="12211" totalsRowDxfId="12210" dataCellStyle="Moneda">
      <calculatedColumnFormula>+K238/1.08*0.08</calculatedColumnFormula>
    </tableColumn>
    <tableColumn id="11" xr3:uid="{91D00079-4C0C-4244-94FE-5F2F162572F8}" name="CARTA " dataDxfId="12209" totalsRowDxfId="12208">
      <calculatedColumnFormula>+Tabla5557279515274[[#This Row],[PRECIO SUGERIDO]]+Tabla5557279515274[[#This Row],[ICO2]]</calculatedColumnFormula>
    </tableColumn>
    <tableColumn id="12" xr3:uid="{56407877-54B4-4592-8597-51AE1C94E7C3}" name="PRECIO N" dataDxfId="12207" totalsRowDxfId="12206" dataCellStyle="Moneda">
      <calculatedColumnFormula>+Tabla5557279515274[[#This Row],[VENTA]]</calculatedColumnFormula>
    </tableColumn>
    <tableColumn id="13" xr3:uid="{0C78306A-D153-4353-9AB2-EA92F7B69D79}" name="ICO 8%2" dataDxfId="12205" totalsRowDxfId="12204" dataCellStyle="Moneda">
      <calculatedColumnFormula>+N238/1.08*0.08</calculatedColumnFormula>
    </tableColumn>
    <tableColumn id="14" xr3:uid="{FA6D4815-F1BE-4C4F-B6D2-07E460DBB76D}" name="CARTA" dataDxfId="12203" totalsRowDxfId="12202" dataCellStyle="Moneda">
      <calculatedColumnFormula>+N238-O238</calculatedColumnFormula>
    </tableColumn>
    <tableColumn id="15" xr3:uid="{2A9C88C9-9789-47B2-96E8-D47DBEED6644}" name="% " dataDxfId="12201" totalsRowDxfId="12200" dataCellStyle="Porcentaje">
      <calculatedColumnFormula>+D238/P238</calculatedColumnFormula>
    </tableColumn>
    <tableColumn id="16" xr3:uid="{8F1B32A5-7B70-4A5F-A845-E16AFC7DDD35}" name="RATION" totalsRowFunction="sum" dataDxfId="12199" totalsRowDxfId="12198">
      <calculatedColumnFormula>+P238/D238</calculatedColumnFormula>
    </tableColumn>
    <tableColumn id="18" xr3:uid="{F6932223-8300-4D87-A42B-474524DF87AA}" name="Incremento 13%" dataDxfId="12197" totalsRowDxfId="12196">
      <calculatedColumnFormula>+Tabla5557279515274[[#This Row],[VENTA]]*13%+Tabla5557279515274[[#This Row],[VENTA]]</calculatedColumnFormula>
    </tableColumn>
    <tableColumn id="19" xr3:uid="{73C5FE72-4935-45AA-B908-B282BC346446}" name="Costo2" dataDxfId="12195" totalsRowDxfId="12194" dataCellStyle="Porcentaje">
      <calculatedColumnFormula>+D238/S238</calculatedColumnFormula>
    </tableColum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F1E7DFE-474C-4D10-A8FC-246F9DB0AA28}" name="Tabla555727951527473" displayName="Tabla555727951527473" ref="B251:T263" totalsRowCount="1" headerRowDxfId="12193" dataDxfId="12192" totalsRowDxfId="12191" totalsRowBorderDxfId="12190">
  <autoFilter ref="B251:T262" xr:uid="{7F1E7DFE-474C-4D10-A8FC-246F9DB0AA28}"/>
  <sortState xmlns:xlrd2="http://schemas.microsoft.com/office/spreadsheetml/2017/richdata2" ref="B252:T262">
    <sortCondition ref="B252:B262"/>
  </sortState>
  <tableColumns count="19">
    <tableColumn id="1" xr3:uid="{FCDB61FE-904D-409F-91A0-BF012793CF7C}" name="RON" totalsRowLabel="Total" dataDxfId="12189" totalsRowDxfId="12188"/>
    <tableColumn id="17" xr3:uid="{F3078328-B961-41EC-93EB-25E34308CF0D}" name="DESCRIPCION" dataDxfId="12187" totalsRowDxfId="12186"/>
    <tableColumn id="2" xr3:uid="{7BFCA690-A58C-4A08-9AB1-FFBECA2DDECA}" name="COSTO" dataDxfId="12185" totalsRowDxfId="12184" dataCellStyle="Moneda"/>
    <tableColumn id="3" xr3:uid="{281D596D-4A01-4C28-9E69-67F7EA7E7DEF}" name="VENTA" dataDxfId="12183" totalsRowDxfId="12182" dataCellStyle="Moneda"/>
    <tableColumn id="4" xr3:uid="{17426A3A-4C36-4C48-981B-75A30EE93061}" name="ICO 8%" dataDxfId="12181" totalsRowDxfId="12180" dataCellStyle="Moneda">
      <calculatedColumnFormula>+E252/1.08*0.08</calculatedColumnFormula>
    </tableColumn>
    <tableColumn id="5" xr3:uid="{F87E9C35-DDD1-4B4A-846D-4B7F74C5034C}" name="BASE" dataDxfId="12179" totalsRowDxfId="12178" dataCellStyle="Moneda">
      <calculatedColumnFormula>+Tabla555727951527473[[#This Row],[VENTA]]-Tabla555727951527473[[#This Row],[ICO 8%]]</calculatedColumnFormula>
    </tableColumn>
    <tableColumn id="6" xr3:uid="{A431F4F7-E3F3-4484-B6E4-318957AFEE94}" name="%" totalsRowFunction="average" dataDxfId="12177" totalsRowDxfId="12176" dataCellStyle="Porcentaje">
      <calculatedColumnFormula>+Tabla555727951527473[[#This Row],[COSTO]]/Tabla555727951527473[[#This Row],[BASE]]</calculatedColumnFormula>
    </tableColumn>
    <tableColumn id="7" xr3:uid="{3130F310-2EEE-4ACC-B3E2-E63D649696F0}" name="RENTABILIDAD" dataDxfId="12175" totalsRowDxfId="12174">
      <calculatedColumnFormula>+Tabla555727951527473[[#This Row],[BASE]]/Tabla555727951527473[[#This Row],[COSTO]]</calculatedColumnFormula>
    </tableColumn>
    <tableColumn id="8" xr3:uid="{508CE49C-2A2B-4B15-8A5A-55E829FB1614}" name="ROTACION" dataDxfId="12173" totalsRowDxfId="12172">
      <calculatedColumnFormula>+VLOOKUP(Tabla555727951527473[[#This Row],[RON]],#REF!,2,0)</calculatedColumnFormula>
    </tableColumn>
    <tableColumn id="9" xr3:uid="{CA0291AD-C79C-434E-A57C-45301C017016}" name="PRECIO SUGERIDO" dataDxfId="12171" totalsRowDxfId="12170" dataCellStyle="Moneda">
      <calculatedColumnFormula>+D252/(100-65)*100</calculatedColumnFormula>
    </tableColumn>
    <tableColumn id="10" xr3:uid="{D2DBFE13-91DF-4415-8CC0-54A56F0F9CDB}" name="ICO2" dataDxfId="12169" totalsRowDxfId="12168" dataCellStyle="Moneda">
      <calculatedColumnFormula>+K252/1.08*0.08</calculatedColumnFormula>
    </tableColumn>
    <tableColumn id="11" xr3:uid="{9E5FA74F-9A18-4183-B54C-6D3F12173DCE}" name="CARTA " dataDxfId="12167" totalsRowDxfId="12166">
      <calculatedColumnFormula>+Tabla555727951527473[[#This Row],[PRECIO SUGERIDO]]+Tabla555727951527473[[#This Row],[ICO2]]</calculatedColumnFormula>
    </tableColumn>
    <tableColumn id="12" xr3:uid="{2B6BBB63-D62B-4EAB-9FE5-98B072C14BCE}" name="PRECIO N" dataDxfId="12165" totalsRowDxfId="12164" dataCellStyle="Moneda"/>
    <tableColumn id="13" xr3:uid="{9752C53E-8F05-4E0E-94B2-EFA220C56E35}" name="ICO 8%2" dataDxfId="12163" totalsRowDxfId="12162" dataCellStyle="Moneda">
      <calculatedColumnFormula>+N252/1.08*0.08</calculatedColumnFormula>
    </tableColumn>
    <tableColumn id="14" xr3:uid="{5F42B954-46DF-4145-9D35-D13887DD5452}" name="CARTA" dataDxfId="12161" totalsRowDxfId="12160" dataCellStyle="Moneda">
      <calculatedColumnFormula>+N252-O252</calculatedColumnFormula>
    </tableColumn>
    <tableColumn id="15" xr3:uid="{5EC59926-7BE5-4FDE-9DAA-E56D94362421}" name="% " dataDxfId="12159" totalsRowDxfId="12158" dataCellStyle="Porcentaje">
      <calculatedColumnFormula>+D252/P252</calculatedColumnFormula>
    </tableColumn>
    <tableColumn id="16" xr3:uid="{D170A3C5-C490-41CD-9274-A700349BC12C}" name="RATION" totalsRowFunction="sum" dataDxfId="12157" totalsRowDxfId="12156">
      <calculatedColumnFormula>+P252/D252</calculatedColumnFormula>
    </tableColumn>
    <tableColumn id="18" xr3:uid="{15C61827-4954-4B96-84CC-D54EADF28EDF}" name="Incremento 13%" dataDxfId="12155" totalsRowDxfId="12154">
      <calculatedColumnFormula>+Tabla555727951527473[[#This Row],[VENTA]]*13%+Tabla555727951527473[[#This Row],[VENTA]]</calculatedColumnFormula>
    </tableColumn>
    <tableColumn id="19" xr3:uid="{9E630697-3A70-4F0F-8C65-CBE39B4FA1D7}" name="Costo2" dataDxfId="12153" totalsRowDxfId="12152" dataCellStyle="Porcentaje">
      <calculatedColumnFormula>+D252/S252</calculatedColumnFormula>
    </tableColum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2E87481-D44C-4A19-9D82-6F4D79C95135}" name="Tabla55572795152747376" displayName="Tabla55572795152747376" ref="B267:T288" totalsRowCount="1" headerRowDxfId="12151" dataDxfId="12150" totalsRowDxfId="12149" totalsRowBorderDxfId="12148">
  <autoFilter ref="B267:T287" xr:uid="{52E87481-D44C-4A19-9D82-6F4D79C95135}"/>
  <sortState xmlns:xlrd2="http://schemas.microsoft.com/office/spreadsheetml/2017/richdata2" ref="B268:T287">
    <sortCondition ref="B271:B287"/>
  </sortState>
  <tableColumns count="19">
    <tableColumn id="1" xr3:uid="{3DB5DF73-105A-40E8-9C59-D133E555B628}" name="TEQUILA" totalsRowLabel="Total" dataDxfId="12147" totalsRowDxfId="12146"/>
    <tableColumn id="17" xr3:uid="{25EFED83-D193-408A-B2FB-EEF1268DD9A8}" name="DESCRIPCION" dataDxfId="12145" totalsRowDxfId="12144"/>
    <tableColumn id="2" xr3:uid="{ABB590C3-4887-4EC1-9376-70507E398162}" name="COSTO" dataDxfId="12143" totalsRowDxfId="12142" dataCellStyle="Moneda"/>
    <tableColumn id="3" xr3:uid="{AD66297F-0D01-4D47-90C5-01289968D044}" name="VENTA" dataDxfId="12141" totalsRowDxfId="12140" dataCellStyle="Moneda"/>
    <tableColumn id="4" xr3:uid="{22AC9FDC-23E6-4DDC-99E3-3466CD8A252D}" name="ICO 8%" dataDxfId="12139" totalsRowDxfId="12138" dataCellStyle="Moneda">
      <calculatedColumnFormula>+E268/1.08*0.08</calculatedColumnFormula>
    </tableColumn>
    <tableColumn id="5" xr3:uid="{FB8AC76F-C617-4BCA-829B-7477B059AB2D}" name="BASE" dataDxfId="12137" totalsRowDxfId="12136" dataCellStyle="Moneda">
      <calculatedColumnFormula>+Tabla55572795152747376[[#This Row],[VENTA]]-Tabla55572795152747376[[#This Row],[ICO 8%]]</calculatedColumnFormula>
    </tableColumn>
    <tableColumn id="6" xr3:uid="{D97F6B75-B4EF-4C60-9D32-CB2C6E1B07D4}" name="%" totalsRowFunction="average" dataDxfId="12135" totalsRowDxfId="12134" dataCellStyle="Porcentaje">
      <calculatedColumnFormula>+Tabla55572795152747376[[#This Row],[COSTO]]/Tabla55572795152747376[[#This Row],[BASE]]</calculatedColumnFormula>
    </tableColumn>
    <tableColumn id="7" xr3:uid="{17CE7426-99D7-4AAF-A414-1D70D8DFC59B}" name="RENTABILIDAD" dataDxfId="12133" totalsRowDxfId="12132">
      <calculatedColumnFormula>+Tabla55572795152747376[[#This Row],[BASE]]/Tabla55572795152747376[[#This Row],[COSTO]]</calculatedColumnFormula>
    </tableColumn>
    <tableColumn id="8" xr3:uid="{71F1B6A9-6284-4BF8-8458-37B47BDFAB5D}" name="ROTACION" dataDxfId="12131" totalsRowDxfId="12130">
      <calculatedColumnFormula>+VLOOKUP(Tabla55572795152747376[[#This Row],[TEQUILA]],#REF!,2,0)</calculatedColumnFormula>
    </tableColumn>
    <tableColumn id="9" xr3:uid="{CE32657B-2512-4E15-9221-348413659341}" name="PRECIO SUGERIDO" dataDxfId="12129" totalsRowDxfId="12128" dataCellStyle="Moneda">
      <calculatedColumnFormula>+D268/(100-40)*100</calculatedColumnFormula>
    </tableColumn>
    <tableColumn id="10" xr3:uid="{2FD78BDE-25D2-4F39-8CC7-F1F625989158}" name="ICO2" dataDxfId="12127" totalsRowDxfId="12126" dataCellStyle="Moneda">
      <calculatedColumnFormula>+K268/1.08*0.08</calculatedColumnFormula>
    </tableColumn>
    <tableColumn id="11" xr3:uid="{42C9A58F-DE98-48C8-AE5C-A873E8F2E293}" name="CARTA " dataDxfId="12125" totalsRowDxfId="12124">
      <calculatedColumnFormula>+Tabla55572795152747376[[#This Row],[PRECIO SUGERIDO]]+Tabla55572795152747376[[#This Row],[ICO2]]</calculatedColumnFormula>
    </tableColumn>
    <tableColumn id="12" xr3:uid="{EE60C7D0-4E5D-4E10-ADE3-FB33C1E0D153}" name="PRECIO N" dataDxfId="12123" totalsRowDxfId="12122" dataCellStyle="Moneda">
      <calculatedColumnFormula>+Tabla55572795152747376[[#This Row],[VENTA]]</calculatedColumnFormula>
    </tableColumn>
    <tableColumn id="13" xr3:uid="{937741AD-015D-431D-8B82-0FCAD0959C1A}" name="ICO 8%2" dataDxfId="12121" totalsRowDxfId="12120" dataCellStyle="Moneda">
      <calculatedColumnFormula>+N268/1.08*0.08</calculatedColumnFormula>
    </tableColumn>
    <tableColumn id="14" xr3:uid="{E60DF29D-D822-4678-8241-A21C9021A1FB}" name="CARTA" dataDxfId="12119" totalsRowDxfId="12118" dataCellStyle="Moneda">
      <calculatedColumnFormula>+N268-O268</calculatedColumnFormula>
    </tableColumn>
    <tableColumn id="15" xr3:uid="{8CE75E3B-C614-416C-B620-88F1BC3B783C}" name="% " dataDxfId="12117" totalsRowDxfId="12116" dataCellStyle="Porcentaje">
      <calculatedColumnFormula>+D268/P268</calculatedColumnFormula>
    </tableColumn>
    <tableColumn id="16" xr3:uid="{5500264C-A2B1-4217-A137-B418A33EA2A6}" name="RATION" totalsRowFunction="sum" dataDxfId="12115" totalsRowDxfId="12114">
      <calculatedColumnFormula>+P268/D268</calculatedColumnFormula>
    </tableColumn>
    <tableColumn id="18" xr3:uid="{27CD6661-A2CA-4330-84E8-B2EA259B4BD7}" name="Incremento 13%" dataDxfId="12113" totalsRowDxfId="12112">
      <calculatedColumnFormula>+Tabla55572795152747376[[#This Row],[VENTA]]*13%+Tabla55572795152747376[[#This Row],[VENTA]]</calculatedColumnFormula>
    </tableColumn>
    <tableColumn id="19" xr3:uid="{16486805-5D5A-4F41-BD55-B02A8DF55643}" name="Costo2" dataDxfId="12111" totalsRowDxfId="12110" dataCellStyle="Porcentaje">
      <calculatedColumnFormula>+D268/S268</calculatedColumnFormula>
    </tableColumn>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1B49A614-10F5-48F2-945D-92BF24DFBC6E}" name="Tabla55572795152747383" displayName="Tabla55572795152747383" ref="B292:T299" totalsRowCount="1" headerRowDxfId="12109" dataDxfId="12108" totalsRowDxfId="12107" totalsRowBorderDxfId="12106">
  <autoFilter ref="B292:T298" xr:uid="{1B49A614-10F5-48F2-945D-92BF24DFBC6E}"/>
  <sortState xmlns:xlrd2="http://schemas.microsoft.com/office/spreadsheetml/2017/richdata2" ref="B293:T298">
    <sortCondition ref="B295:B298"/>
  </sortState>
  <tableColumns count="19">
    <tableColumn id="1" xr3:uid="{BC4F590C-9C78-4000-BB91-6789BE63AD57}" name="VODKA" totalsRowLabel="Total" dataDxfId="12105" totalsRowDxfId="12104"/>
    <tableColumn id="17" xr3:uid="{09C02BF5-356E-4AAF-B407-B11352871E78}" name="DESCRIPCION" dataDxfId="12103" totalsRowDxfId="12102"/>
    <tableColumn id="2" xr3:uid="{15661E9E-B92B-44AC-B967-A2F312B35170}" name="COSTO" dataDxfId="12101" totalsRowDxfId="12100" dataCellStyle="Moneda"/>
    <tableColumn id="3" xr3:uid="{934CFC67-FF9E-4211-8C83-EBFD88DA2CB9}" name="VENTA" dataDxfId="12099" totalsRowDxfId="12098" dataCellStyle="Moneda"/>
    <tableColumn id="4" xr3:uid="{53CEE45C-8C1C-42DF-B338-42FB177D363C}" name="ICO 8%" dataDxfId="12097" totalsRowDxfId="12096" dataCellStyle="Moneda">
      <calculatedColumnFormula>+E293/1.08*0.08</calculatedColumnFormula>
    </tableColumn>
    <tableColumn id="5" xr3:uid="{764EEE55-7FC0-40B7-A2A8-32292B65BEFB}" name="BASE" dataDxfId="12095" totalsRowDxfId="12094" dataCellStyle="Moneda">
      <calculatedColumnFormula>+Tabla55572795152747383[[#This Row],[VENTA]]-Tabla55572795152747383[[#This Row],[ICO 8%]]</calculatedColumnFormula>
    </tableColumn>
    <tableColumn id="6" xr3:uid="{A27E1F92-7CD0-440F-98D2-CA9D23A86C83}" name="%" totalsRowFunction="average" dataDxfId="12093" totalsRowDxfId="12092" dataCellStyle="Porcentaje">
      <calculatedColumnFormula>+Tabla55572795152747383[[#This Row],[COSTO]]/Tabla55572795152747383[[#This Row],[BASE]]</calculatedColumnFormula>
    </tableColumn>
    <tableColumn id="7" xr3:uid="{E38F9D97-98A1-40F8-853C-BDD8BE71EA79}" name="RENTABILIDAD" dataDxfId="12091" totalsRowDxfId="12090">
      <calculatedColumnFormula>+Tabla55572795152747383[[#This Row],[BASE]]/Tabla55572795152747383[[#This Row],[COSTO]]</calculatedColumnFormula>
    </tableColumn>
    <tableColumn id="8" xr3:uid="{F659AB03-937B-4B8C-9931-651E5751735D}" name="ROTACION" dataDxfId="12089" totalsRowDxfId="12088">
      <calculatedColumnFormula>+VLOOKUP(Tabla55572795152747383[[#This Row],[VODKA]],#REF!,2,0)</calculatedColumnFormula>
    </tableColumn>
    <tableColumn id="9" xr3:uid="{6056218C-FE60-4EBB-8D2C-57132AC18CD8}" name="PRECIO SUGERIDO" dataDxfId="12087" totalsRowDxfId="12086" dataCellStyle="Moneda">
      <calculatedColumnFormula>+D293/(100-75)*100</calculatedColumnFormula>
    </tableColumn>
    <tableColumn id="10" xr3:uid="{849D0B52-740A-47EE-952C-196D300AFBC7}" name="ICO2" dataDxfId="12085" totalsRowDxfId="12084" dataCellStyle="Moneda">
      <calculatedColumnFormula>+K293/1.08*0.08</calculatedColumnFormula>
    </tableColumn>
    <tableColumn id="11" xr3:uid="{808A989A-3133-4A01-8DAC-08668CE2075E}" name="CARTA " dataDxfId="12083" totalsRowDxfId="12082">
      <calculatedColumnFormula>+Tabla55572795152747383[[#This Row],[PRECIO SUGERIDO]]+Tabla55572795152747383[[#This Row],[ICO2]]</calculatedColumnFormula>
    </tableColumn>
    <tableColumn id="12" xr3:uid="{2A12C2EA-3907-4B32-9656-A4F9BE9ACED8}" name="PRECIO N" dataDxfId="12081" totalsRowDxfId="12080" dataCellStyle="Moneda"/>
    <tableColumn id="13" xr3:uid="{58744E4E-561B-49ED-BC66-8E3390D9E175}" name="ICO 8%2" dataDxfId="12079" totalsRowDxfId="12078" dataCellStyle="Moneda">
      <calculatedColumnFormula>+N293/1.08*0.08</calculatedColumnFormula>
    </tableColumn>
    <tableColumn id="14" xr3:uid="{2759D16F-98CE-4ED6-8069-D65E5DFA9E33}" name="CARTA" dataDxfId="12077" totalsRowDxfId="12076" dataCellStyle="Moneda">
      <calculatedColumnFormula>+N293-O293</calculatedColumnFormula>
    </tableColumn>
    <tableColumn id="15" xr3:uid="{0820EA01-858D-460A-9C10-46014ECB2F4C}" name="% " totalsRowFunction="average" dataDxfId="12075" totalsRowDxfId="12074" dataCellStyle="Porcentaje">
      <calculatedColumnFormula>+D293/P293</calculatedColumnFormula>
    </tableColumn>
    <tableColumn id="16" xr3:uid="{7B255767-EB11-48CF-B09D-D6A83AA36B26}" name="RATION" totalsRowFunction="sum" dataDxfId="12073" totalsRowDxfId="12072">
      <calculatedColumnFormula>+P293/D293</calculatedColumnFormula>
    </tableColumn>
    <tableColumn id="18" xr3:uid="{62D4DF32-1797-4AA9-A218-3EACF2D4E977}" name="Incremento 13%" dataDxfId="12071" totalsRowDxfId="12070">
      <calculatedColumnFormula>+Tabla55572795152747383[[#This Row],[VENTA]]*13%+Tabla55572795152747383[[#This Row],[VENTA]]</calculatedColumnFormula>
    </tableColumn>
    <tableColumn id="19" xr3:uid="{7A212E3F-3084-4086-B1D7-7CF10F012D3A}" name="Costo2" dataDxfId="12069" totalsRowDxfId="12068" dataCellStyle="Porcentaje">
      <calculatedColumnFormula>+D293/S293</calculatedColumnFormula>
    </tableColumn>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2DC25EB-6B4E-48F7-8D36-FAB9BA91831B}" name="Tabla55572795152747384" displayName="Tabla55572795152747384" ref="B302:T319" totalsRowCount="1" headerRowDxfId="12067" dataDxfId="12066" totalsRowDxfId="12065" totalsRowBorderDxfId="12064">
  <autoFilter ref="B302:T318" xr:uid="{B2DC25EB-6B4E-48F7-8D36-FAB9BA91831B}"/>
  <sortState xmlns:xlrd2="http://schemas.microsoft.com/office/spreadsheetml/2017/richdata2" ref="B303:T318">
    <sortCondition ref="B308:B318"/>
  </sortState>
  <tableColumns count="19">
    <tableColumn id="1" xr3:uid="{E5CBDDE4-F642-4B04-AAB9-202126DA0068}" name="WISKHY" totalsRowLabel="Total" dataDxfId="12063" totalsRowDxfId="12062"/>
    <tableColumn id="17" xr3:uid="{044DCF08-FDCD-46FD-B714-5B2634C9FE9B}" name="DESCRIPCION" dataDxfId="12061" totalsRowDxfId="12060"/>
    <tableColumn id="2" xr3:uid="{FD444DE6-FBCB-4330-94DC-154C019BE41A}" name="COSTO" dataDxfId="12059" totalsRowDxfId="12058" dataCellStyle="Moneda"/>
    <tableColumn id="3" xr3:uid="{3677C49C-92E0-4837-839D-F0FA3B8FFBF7}" name="VENTA" dataDxfId="12057" totalsRowDxfId="12056" dataCellStyle="Moneda"/>
    <tableColumn id="4" xr3:uid="{8ED8CC18-B7A9-4890-A955-C2CE43582B06}" name="ICO 8%" dataDxfId="12055" totalsRowDxfId="12054" dataCellStyle="Moneda">
      <calculatedColumnFormula>+E303/1.08*0.08</calculatedColumnFormula>
    </tableColumn>
    <tableColumn id="5" xr3:uid="{418B6D06-44AE-44E3-A4F2-B1CCBE9DFF2D}" name="BASE" dataDxfId="12053" totalsRowDxfId="12052" dataCellStyle="Moneda">
      <calculatedColumnFormula>+Tabla55572795152747384[[#This Row],[VENTA]]-Tabla55572795152747384[[#This Row],[ICO 8%]]</calculatedColumnFormula>
    </tableColumn>
    <tableColumn id="6" xr3:uid="{65DD54D4-3B26-48E7-982C-9C259F3763F7}" name="%" totalsRowFunction="average" dataDxfId="12051" totalsRowDxfId="12050" dataCellStyle="Porcentaje">
      <calculatedColumnFormula>+Tabla55572795152747384[[#This Row],[COSTO]]/Tabla55572795152747384[[#This Row],[BASE]]</calculatedColumnFormula>
    </tableColumn>
    <tableColumn id="7" xr3:uid="{4A4BCB4D-8BDD-4110-9B94-CE3012984B72}" name="RENTABILIDAD" dataDxfId="12049" totalsRowDxfId="12048">
      <calculatedColumnFormula>+Tabla55572795152747384[[#This Row],[BASE]]/Tabla55572795152747384[[#This Row],[COSTO]]</calculatedColumnFormula>
    </tableColumn>
    <tableColumn id="8" xr3:uid="{D72F550D-97A6-406E-9EA9-6FB52DBBFC09}" name="ROTACION" dataDxfId="12047" totalsRowDxfId="12046">
      <calculatedColumnFormula>+VLOOKUP(Tabla55572795152747384[[#This Row],[WISKHY]],#REF!,2,0)</calculatedColumnFormula>
    </tableColumn>
    <tableColumn id="9" xr3:uid="{AB9FE040-F284-4775-9036-13D90FE284C2}" name="PRECIO SUGERIDO" dataDxfId="12045" totalsRowDxfId="12044" dataCellStyle="Moneda">
      <calculatedColumnFormula>+D303/(100-60)*100</calculatedColumnFormula>
    </tableColumn>
    <tableColumn id="10" xr3:uid="{55E6C68A-8DCB-4C5A-9BDF-C1F07706BAEB}" name="ICO2" dataDxfId="12043" totalsRowDxfId="12042" dataCellStyle="Moneda">
      <calculatedColumnFormula>+K303/1.08*0.08</calculatedColumnFormula>
    </tableColumn>
    <tableColumn id="11" xr3:uid="{29441829-349B-448F-B67D-8465C31323EE}" name="CARTA " dataDxfId="12041" totalsRowDxfId="12040">
      <calculatedColumnFormula>+Tabla55572795152747384[[#This Row],[PRECIO SUGERIDO]]+Tabla55572795152747384[[#This Row],[ICO2]]</calculatedColumnFormula>
    </tableColumn>
    <tableColumn id="12" xr3:uid="{B75670EB-21B1-40FF-A7C8-B33F665C426F}" name="PRECIO N" dataDxfId="12039" totalsRowDxfId="12038" dataCellStyle="Moneda">
      <calculatedColumnFormula>+Tabla55572795152747384[[#This Row],[VENTA]]</calculatedColumnFormula>
    </tableColumn>
    <tableColumn id="13" xr3:uid="{66E16F62-5F3F-400C-AD20-8E57B3F1D03E}" name="ICO 8%2" dataDxfId="12037" totalsRowDxfId="12036" dataCellStyle="Moneda">
      <calculatedColumnFormula>+N303/1.08*0.08</calculatedColumnFormula>
    </tableColumn>
    <tableColumn id="14" xr3:uid="{4E3C3E1A-3BE6-4D62-898E-48986167C92D}" name="CARTA" dataDxfId="12035" totalsRowDxfId="12034" dataCellStyle="Moneda">
      <calculatedColumnFormula>+N303-O303</calculatedColumnFormula>
    </tableColumn>
    <tableColumn id="15" xr3:uid="{591CB842-40DE-4304-93A5-7464524428E4}" name="% " dataDxfId="12033" totalsRowDxfId="12032" dataCellStyle="Porcentaje">
      <calculatedColumnFormula>+D303/P303</calculatedColumnFormula>
    </tableColumn>
    <tableColumn id="16" xr3:uid="{5A4175E2-13AA-46E8-98B9-F88DB97E7C32}" name="RATION" totalsRowFunction="sum" dataDxfId="12031" totalsRowDxfId="12030">
      <calculatedColumnFormula>+P303/D303</calculatedColumnFormula>
    </tableColumn>
    <tableColumn id="18" xr3:uid="{B3A43DBC-688D-4641-B0B4-BF207D746EFD}" name="Incremento 13%" dataDxfId="12029" totalsRowDxfId="12028">
      <calculatedColumnFormula>+Tabla55572795152747384[[#This Row],[VENTA]]*13%+Tabla55572795152747384[[#This Row],[VENTA]]</calculatedColumnFormula>
    </tableColumn>
    <tableColumn id="19" xr3:uid="{907C6F30-9418-4077-B80B-533E4DDC2FA9}" name="Costo2" dataDxfId="12027" totalsRowDxfId="12026" dataCellStyle="Porcentaje">
      <calculatedColumnFormula>+D303/S303</calculatedColumnFormula>
    </tableColumn>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5F940B2-03D5-4366-879E-179A6E09D1F7}" name="Tabla55572795152747385" displayName="Tabla55572795152747385" ref="B323:T329" totalsRowCount="1" headerRowDxfId="12025" dataDxfId="12024" totalsRowDxfId="12023" totalsRowBorderDxfId="12022">
  <autoFilter ref="B323:T328" xr:uid="{65F940B2-03D5-4366-879E-179A6E09D1F7}"/>
  <tableColumns count="19">
    <tableColumn id="1" xr3:uid="{1B0C54FB-7C88-416F-BEB5-AA4BEAFF44A8}" name="MALTAS" totalsRowLabel="Total" dataDxfId="12021" totalsRowDxfId="12020"/>
    <tableColumn id="17" xr3:uid="{F0C95A81-ACE0-4421-B6A3-5D1FFA9EDA15}" name="DESCRIPCION" dataDxfId="12019" totalsRowDxfId="12018"/>
    <tableColumn id="2" xr3:uid="{B46BB18E-132D-451D-8DC4-2CADE2C319FA}" name="COSTO" dataDxfId="12017" totalsRowDxfId="12016" dataCellStyle="Moneda"/>
    <tableColumn id="3" xr3:uid="{31C421A9-011A-4DEC-A0E8-AA4FC48E5618}" name="VENTA" dataDxfId="12015" totalsRowDxfId="12014" dataCellStyle="Moneda"/>
    <tableColumn id="4" xr3:uid="{56884956-D5AA-4C03-8000-06526BF0CAC8}" name="ICO 8%" dataDxfId="12013" totalsRowDxfId="12012" dataCellStyle="Moneda">
      <calculatedColumnFormula>+E324/1.08*0.08</calculatedColumnFormula>
    </tableColumn>
    <tableColumn id="5" xr3:uid="{6303C271-6FCD-44E2-B497-84BD92D292B0}" name="BASE" dataDxfId="12011" totalsRowDxfId="12010" dataCellStyle="Moneda">
      <calculatedColumnFormula>+Tabla55572795152747385[[#This Row],[VENTA]]-Tabla55572795152747385[[#This Row],[ICO 8%]]</calculatedColumnFormula>
    </tableColumn>
    <tableColumn id="6" xr3:uid="{10B44420-62F8-4B28-BFB8-BD177CD5365C}" name="%" totalsRowFunction="average" dataDxfId="12009" totalsRowDxfId="12008" dataCellStyle="Porcentaje">
      <calculatedColumnFormula>+Tabla55572795152747385[[#This Row],[COSTO]]/Tabla55572795152747385[[#This Row],[BASE]]</calculatedColumnFormula>
    </tableColumn>
    <tableColumn id="7" xr3:uid="{65D1A111-B01C-4358-A25C-F360C48E8C11}" name="RENTABILIDAD" dataDxfId="12007" totalsRowDxfId="12006">
      <calculatedColumnFormula>+Tabla55572795152747385[[#This Row],[BASE]]/Tabla55572795152747385[[#This Row],[COSTO]]</calculatedColumnFormula>
    </tableColumn>
    <tableColumn id="8" xr3:uid="{05469577-34DE-44CA-827E-029FD523FB44}" name="ROTACION" dataDxfId="12005" totalsRowDxfId="12004">
      <calculatedColumnFormula>+VLOOKUP(Tabla55572795152747385[[#This Row],[MALTAS]],#REF!,2,0)</calculatedColumnFormula>
    </tableColumn>
    <tableColumn id="9" xr3:uid="{F9C9B889-0F8A-4566-A1DF-389FFFD7EEB1}" name="PRECIO SUGERIDO" dataDxfId="12003" totalsRowDxfId="12002" dataCellStyle="Moneda">
      <calculatedColumnFormula>+D324/(100-50)*100</calculatedColumnFormula>
    </tableColumn>
    <tableColumn id="10" xr3:uid="{930347BE-9085-4209-8BE7-DEF90CF34F21}" name="ICO2" dataDxfId="12001" totalsRowDxfId="12000" dataCellStyle="Moneda">
      <calculatedColumnFormula>+K324/1.08*0.08</calculatedColumnFormula>
    </tableColumn>
    <tableColumn id="11" xr3:uid="{33EE27B8-D31E-4FAD-9119-CB594B22B442}" name="CARTA " dataDxfId="11999" totalsRowDxfId="11998">
      <calculatedColumnFormula>+Tabla55572795152747385[[#This Row],[PRECIO SUGERIDO]]+Tabla55572795152747385[[#This Row],[ICO2]]</calculatedColumnFormula>
    </tableColumn>
    <tableColumn id="12" xr3:uid="{77C72F7B-F29E-4AE1-AD35-4A6928C95ABE}" name="PRECIO N" dataDxfId="11997" totalsRowDxfId="11996" dataCellStyle="Moneda">
      <calculatedColumnFormula>+Tabla55572795152747385[[#This Row],[VENTA]]</calculatedColumnFormula>
    </tableColumn>
    <tableColumn id="13" xr3:uid="{256B3409-3BC6-4505-9E50-301B300A9C1F}" name="ICO 8%2" dataDxfId="11995" totalsRowDxfId="11994" dataCellStyle="Moneda">
      <calculatedColumnFormula>+N324/1.08*0.08</calculatedColumnFormula>
    </tableColumn>
    <tableColumn id="14" xr3:uid="{26F8A0CD-57EB-429E-97C0-C5C16E982284}" name="CARTA" dataDxfId="11993" totalsRowDxfId="11992" dataCellStyle="Moneda">
      <calculatedColumnFormula>+N324-O324</calculatedColumnFormula>
    </tableColumn>
    <tableColumn id="15" xr3:uid="{4558FD95-BBF4-42B9-B2F6-A62256AD9B7E}" name="% " dataDxfId="11991" totalsRowDxfId="11990" dataCellStyle="Porcentaje">
      <calculatedColumnFormula>+D324/P324</calculatedColumnFormula>
    </tableColumn>
    <tableColumn id="16" xr3:uid="{8C0EA345-4370-4507-A79C-8E2E5B756C6C}" name="RATION" totalsRowFunction="sum" dataDxfId="11989" totalsRowDxfId="11988">
      <calculatedColumnFormula>+P324/D324</calculatedColumnFormula>
    </tableColumn>
    <tableColumn id="18" xr3:uid="{2AC0852D-FEFB-4D66-B46E-AAD3CD9B6C3E}" name="Incremento 13%" dataDxfId="11987" totalsRowDxfId="11986">
      <calculatedColumnFormula>+Tabla55572795152747385[[#This Row],[VENTA]]*13%+Tabla55572795152747385[[#This Row],[VENTA]]</calculatedColumnFormula>
    </tableColumn>
    <tableColumn id="19" xr3:uid="{D94CD300-A7FE-4B29-863F-C26A7B41F834}" name="Costo2" dataDxfId="11985" totalsRowDxfId="11984" dataCellStyle="Porcentaje">
      <calculatedColumnFormula>+D324/S324</calculatedColumnFormula>
    </tableColumn>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BDE34D55-B46C-4CA8-96E2-965EE77FC5AE}" name="Tabla555727951527473112" displayName="Tabla555727951527473112" ref="B332:T341" totalsRowCount="1" headerRowDxfId="11983" dataDxfId="11982" totalsRowDxfId="11981" totalsRowBorderDxfId="11980">
  <autoFilter ref="B332:T340" xr:uid="{BDE34D55-B46C-4CA8-96E2-965EE77FC5AE}"/>
  <sortState xmlns:xlrd2="http://schemas.microsoft.com/office/spreadsheetml/2017/richdata2" ref="B333:R340">
    <sortCondition ref="B334"/>
  </sortState>
  <tableColumns count="19">
    <tableColumn id="1" xr3:uid="{52808693-D72B-4705-A8B7-50AA5816B532}" name="GINEBRA" totalsRowLabel="Total" dataDxfId="11979" totalsRowDxfId="11978"/>
    <tableColumn id="17" xr3:uid="{0E7C3D33-7121-44A1-9930-80C840E42984}" name="DESCRIPCION" dataDxfId="11977" totalsRowDxfId="11976"/>
    <tableColumn id="2" xr3:uid="{B2EF0795-1E8A-47F7-8B58-ED53E32B142D}" name="COSTO" dataDxfId="11975" totalsRowDxfId="11974" dataCellStyle="Moneda"/>
    <tableColumn id="3" xr3:uid="{C3019A62-82C5-4349-AC3A-6176D7A81C63}" name="VENTA" dataDxfId="11973" totalsRowDxfId="11972" dataCellStyle="Moneda"/>
    <tableColumn id="4" xr3:uid="{FEA47E43-F802-49A5-9400-0DB7F0B83D5B}" name="ICO 8%" dataDxfId="11971" totalsRowDxfId="11970" dataCellStyle="Moneda">
      <calculatedColumnFormula>+E333/1.08*0.08</calculatedColumnFormula>
    </tableColumn>
    <tableColumn id="5" xr3:uid="{7895E049-37D3-4B59-B217-39141F3090DF}" name="BASE" dataDxfId="11969" totalsRowDxfId="11968" dataCellStyle="Moneda">
      <calculatedColumnFormula>+Tabla555727951527473112[[#This Row],[VENTA]]-Tabla555727951527473112[[#This Row],[ICO 8%]]</calculatedColumnFormula>
    </tableColumn>
    <tableColumn id="6" xr3:uid="{C5A3BDB3-F080-400B-A8A2-653B69F87BE6}" name="%" totalsRowFunction="average" dataDxfId="11967" totalsRowDxfId="11966" dataCellStyle="Porcentaje">
      <calculatedColumnFormula>+Tabla555727951527473112[[#This Row],[COSTO]]/Tabla555727951527473112[[#This Row],[BASE]]</calculatedColumnFormula>
    </tableColumn>
    <tableColumn id="7" xr3:uid="{FB94645D-72F3-415E-B663-7CA2B356D5DD}" name="RENTABILIDAD" dataDxfId="11965" totalsRowDxfId="11964">
      <calculatedColumnFormula>+Tabla555727951527473112[[#This Row],[BASE]]/Tabla555727951527473112[[#This Row],[COSTO]]</calculatedColumnFormula>
    </tableColumn>
    <tableColumn id="8" xr3:uid="{D6CF0C9E-8693-45D8-B8C6-11D3A273FFC9}" name="ROTACION" dataDxfId="11963" totalsRowDxfId="11962">
      <calculatedColumnFormula>+VLOOKUP(Tabla555727951527473112[[#This Row],[GINEBRA]],#REF!,2,0)</calculatedColumnFormula>
    </tableColumn>
    <tableColumn id="9" xr3:uid="{EB738955-89F6-49BD-9F55-0492F1161DDF}" name="PRECIO SUGERIDO" dataDxfId="11961" totalsRowDxfId="11960" dataCellStyle="Moneda">
      <calculatedColumnFormula>+D333/(100-50)*100</calculatedColumnFormula>
    </tableColumn>
    <tableColumn id="10" xr3:uid="{975DC096-BB01-4498-8633-74BA5832A466}" name="ICO2" dataDxfId="11959" totalsRowDxfId="11958" dataCellStyle="Moneda">
      <calculatedColumnFormula>+K333/1.08*0.08</calculatedColumnFormula>
    </tableColumn>
    <tableColumn id="11" xr3:uid="{49DFA557-196D-4DB1-BC43-088E28D319C6}" name="CARTA " dataDxfId="11957" totalsRowDxfId="11956">
      <calculatedColumnFormula>+Tabla555727951527473112[[#This Row],[PRECIO SUGERIDO]]+Tabla555727951527473112[[#This Row],[ICO2]]</calculatedColumnFormula>
    </tableColumn>
    <tableColumn id="12" xr3:uid="{2663E0AB-2D21-4227-8852-1F3B46AC410D}" name="PRECIO N" dataDxfId="11955" totalsRowDxfId="11954" dataCellStyle="Moneda"/>
    <tableColumn id="13" xr3:uid="{5E8E032D-EE65-4499-B162-440629F9325B}" name="ICO 8%2" dataDxfId="11953" totalsRowDxfId="11952" dataCellStyle="Moneda">
      <calculatedColumnFormula>+N333/1.08*0.08</calculatedColumnFormula>
    </tableColumn>
    <tableColumn id="14" xr3:uid="{3DDC5DDC-A7B2-4EA8-9BDD-95F3728A14CC}" name="CARTA" dataDxfId="11951" totalsRowDxfId="11950" dataCellStyle="Moneda">
      <calculatedColumnFormula>+N333-O333</calculatedColumnFormula>
    </tableColumn>
    <tableColumn id="15" xr3:uid="{E480C219-E03C-48FA-ABBC-98A8659B6155}" name="% " dataDxfId="11949" totalsRowDxfId="11948" dataCellStyle="Porcentaje">
      <calculatedColumnFormula>+D333/P333</calculatedColumnFormula>
    </tableColumn>
    <tableColumn id="16" xr3:uid="{C4FE3564-2257-455C-9D51-47D9945D0EF0}" name="RATION" totalsRowFunction="sum" dataDxfId="11947" totalsRowDxfId="11946">
      <calculatedColumnFormula>+P333/D333</calculatedColumnFormula>
    </tableColumn>
    <tableColumn id="18" xr3:uid="{A7883AC3-DB31-48AB-AA61-82B511C16FF4}" name="Incremento 13%" dataDxfId="11945" totalsRowDxfId="11944">
      <calculatedColumnFormula>+Tabla555727951527473112[[#This Row],[VENTA]]*13%+Tabla555727951527473112[[#This Row],[VENTA]]</calculatedColumnFormula>
    </tableColumn>
    <tableColumn id="19" xr3:uid="{5891B7CF-9395-42E1-9274-E07A88C361EB}" name="Costo2" dataDxfId="11943" totalsRowDxfId="11942" dataCellStyle="Porcentaje">
      <calculatedColumnFormula>+D333/S333</calculatedColumnFormula>
    </tableColum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32EF650E-D60E-4970-A2F2-C07805BE3510}" name="Tabla555727951527473113" displayName="Tabla555727951527473113" ref="B345:T352" totalsRowCount="1" headerRowDxfId="11941" dataDxfId="11940" totalsRowDxfId="11939" totalsRowBorderDxfId="11938">
  <autoFilter ref="B345:T351" xr:uid="{32EF650E-D60E-4970-A2F2-C07805BE3510}"/>
  <sortState xmlns:xlrd2="http://schemas.microsoft.com/office/spreadsheetml/2017/richdata2" ref="B346:R350">
    <sortCondition ref="B348"/>
  </sortState>
  <tableColumns count="19">
    <tableColumn id="1" xr3:uid="{C6BC4064-2C79-4A86-A738-F43EEBC084CF}" name="AGUARDIENTE" totalsRowLabel="Total" dataDxfId="11937" totalsRowDxfId="11936"/>
    <tableColumn id="17" xr3:uid="{4F775173-DE7A-4880-A591-7CE0F370B153}" name="DESCRIPCION" dataDxfId="11935" totalsRowDxfId="11934"/>
    <tableColumn id="2" xr3:uid="{1A2CE8A6-F842-4370-BAD8-AFD9F33E6176}" name="COSTO" dataDxfId="11933" totalsRowDxfId="11932" dataCellStyle="Moneda"/>
    <tableColumn id="3" xr3:uid="{F4B83EEB-9E56-4E93-B404-402495777495}" name="VENTA" dataDxfId="11931" totalsRowDxfId="11930" dataCellStyle="Moneda"/>
    <tableColumn id="4" xr3:uid="{B088B2AD-5394-4FEB-8898-F4C37E1708CA}" name="ICO 8%" dataDxfId="11929" totalsRowDxfId="11928" dataCellStyle="Moneda">
      <calculatedColumnFormula>+E346/1.08*0.08</calculatedColumnFormula>
    </tableColumn>
    <tableColumn id="5" xr3:uid="{31D9BFA3-84BD-4C6E-9F47-9966418862BB}" name="BASE" dataDxfId="11927" totalsRowDxfId="11926" dataCellStyle="Moneda">
      <calculatedColumnFormula>+Tabla555727951527473113[[#This Row],[VENTA]]-Tabla555727951527473113[[#This Row],[ICO 8%]]</calculatedColumnFormula>
    </tableColumn>
    <tableColumn id="6" xr3:uid="{3E449BB6-355F-44CB-A4EF-8BD4579C8069}" name="%" totalsRowFunction="average" dataDxfId="11925" totalsRowDxfId="11924" dataCellStyle="Porcentaje">
      <calculatedColumnFormula>+Tabla555727951527473113[[#This Row],[COSTO]]/Tabla555727951527473113[[#This Row],[BASE]]</calculatedColumnFormula>
    </tableColumn>
    <tableColumn id="7" xr3:uid="{303E2717-4649-46BE-9FF5-207056828C14}" name="RENTABILIDAD" dataDxfId="11923" totalsRowDxfId="11922">
      <calculatedColumnFormula>+Tabla555727951527473113[[#This Row],[BASE]]/Tabla555727951527473113[[#This Row],[COSTO]]</calculatedColumnFormula>
    </tableColumn>
    <tableColumn id="8" xr3:uid="{652A3870-DC93-40D4-903D-21F4C947AF98}" name="ROTACION" dataDxfId="11921" totalsRowDxfId="11920">
      <calculatedColumnFormula>+VLOOKUP(Tabla555727951527473113[[#This Row],[AGUARDIENTE]],#REF!,2,0)</calculatedColumnFormula>
    </tableColumn>
    <tableColumn id="9" xr3:uid="{E76D6855-6468-4FDB-A440-D1A60B53F468}" name="PRECIO SUGERIDO" dataDxfId="11919" totalsRowDxfId="11918" dataCellStyle="Moneda">
      <calculatedColumnFormula>+D346/(100-75)*100</calculatedColumnFormula>
    </tableColumn>
    <tableColumn id="10" xr3:uid="{B7105748-74A9-449C-B0A2-7C6303DD0E5A}" name="ICO2" dataDxfId="11917" totalsRowDxfId="11916" dataCellStyle="Moneda">
      <calculatedColumnFormula>+K346/1.08*0.08</calculatedColumnFormula>
    </tableColumn>
    <tableColumn id="11" xr3:uid="{1DBB609B-E8A6-4EE4-A42B-3AFA0C9C320D}" name="CARTA " dataDxfId="11915" totalsRowDxfId="11914">
      <calculatedColumnFormula>+Tabla555727951527473113[[#This Row],[PRECIO SUGERIDO]]+Tabla555727951527473113[[#This Row],[ICO2]]</calculatedColumnFormula>
    </tableColumn>
    <tableColumn id="12" xr3:uid="{6FA9141D-F265-4EC5-8B4D-1D15A39F30CF}" name="PRECIO N" dataDxfId="11913" totalsRowDxfId="11912" dataCellStyle="Moneda"/>
    <tableColumn id="13" xr3:uid="{D4DD3482-1A6A-460A-8D82-9B5FB87434D8}" name="ICO 8%2" dataDxfId="11911" totalsRowDxfId="11910" dataCellStyle="Moneda">
      <calculatedColumnFormula>+N346/1.08*0.08</calculatedColumnFormula>
    </tableColumn>
    <tableColumn id="14" xr3:uid="{F61A2928-EF31-48D2-B5E9-CC5BF8672984}" name="CARTA" dataDxfId="11909" totalsRowDxfId="11908" dataCellStyle="Moneda">
      <calculatedColumnFormula>+N346-O346</calculatedColumnFormula>
    </tableColumn>
    <tableColumn id="15" xr3:uid="{C5445733-4B8D-4F1F-A901-38F3F7CDFF82}" name="% " dataDxfId="11907" totalsRowDxfId="11906" dataCellStyle="Porcentaje">
      <calculatedColumnFormula>+D346/P346</calculatedColumnFormula>
    </tableColumn>
    <tableColumn id="16" xr3:uid="{A22A6B6E-25E1-48EF-B702-2E7870D5AF07}" name="RATION" totalsRowFunction="sum" dataDxfId="11905" totalsRowDxfId="11904">
      <calculatedColumnFormula>+P346/D346</calculatedColumnFormula>
    </tableColumn>
    <tableColumn id="18" xr3:uid="{AB681A47-545E-444C-BE88-C24B95C9DCF7}" name="Incremento 13%" dataDxfId="11903" totalsRowDxfId="11902">
      <calculatedColumnFormula>+Tabla555727951527473113[[#This Row],[VENTA]]*13%+Tabla555727951527473113[[#This Row],[VENTA]]</calculatedColumnFormula>
    </tableColumn>
    <tableColumn id="19" xr3:uid="{2966CD17-60C8-4E42-B5C7-4F5E59E4C63C}" name="Costo2" dataDxfId="11901" totalsRowDxfId="11900" dataCellStyle="Porcentaje">
      <calculatedColumnFormula>+D346/S346</calculatedColumnFormula>
    </tableColumn>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6" xr:uid="{60B467A0-5A35-4D81-A2AE-2556171C5E9A}" name="Tabla555727951527473113407" displayName="Tabla555727951527473113407" ref="B356:T361" totalsRowCount="1" headerRowDxfId="11899" dataDxfId="11898" totalsRowDxfId="11897" totalsRowBorderDxfId="11896">
  <autoFilter ref="B356:T360" xr:uid="{60B467A0-5A35-4D81-A2AE-2556171C5E9A}"/>
  <tableColumns count="19">
    <tableColumn id="1" xr3:uid="{9730CA1F-AAB1-40AD-B80F-37A144DB9CC6}" name="MEZCAL" totalsRowLabel="Total" dataDxfId="11895" totalsRowDxfId="11894"/>
    <tableColumn id="17" xr3:uid="{20DED9B5-224E-4823-8BC7-18F845666608}" name="DESCRIPCION" dataDxfId="11893" totalsRowDxfId="11892"/>
    <tableColumn id="2" xr3:uid="{95B87EEC-31F5-486D-9C7F-D00D52A25090}" name="COSTO" dataDxfId="11891" totalsRowDxfId="11890" dataCellStyle="Moneda"/>
    <tableColumn id="3" xr3:uid="{4124157A-5FE9-4856-B7A9-EBF260BE12DC}" name="VENTA" dataDxfId="11889" totalsRowDxfId="11888" dataCellStyle="Moneda"/>
    <tableColumn id="4" xr3:uid="{78AB32CD-F935-4977-9FDD-23DA9A1CE3DC}" name="ICO 8%" dataDxfId="11887" totalsRowDxfId="11886" dataCellStyle="Moneda">
      <calculatedColumnFormula>+E357/1.08*0.08</calculatedColumnFormula>
    </tableColumn>
    <tableColumn id="5" xr3:uid="{BFDE039C-0B52-4CB6-ADB6-7D91AC693FA0}" name="BASE" dataDxfId="11885" totalsRowDxfId="11884" dataCellStyle="Moneda">
      <calculatedColumnFormula>+Tabla555727951527473113407[[#This Row],[VENTA]]-Tabla555727951527473113407[[#This Row],[ICO 8%]]</calculatedColumnFormula>
    </tableColumn>
    <tableColumn id="6" xr3:uid="{FA0C0DA5-96BE-4590-B7B2-BD8FAD15755C}" name="%" totalsRowFunction="average" dataDxfId="11883" totalsRowDxfId="11882" dataCellStyle="Porcentaje">
      <calculatedColumnFormula>+Tabla555727951527473113407[[#This Row],[COSTO]]/Tabla555727951527473113407[[#This Row],[BASE]]</calculatedColumnFormula>
    </tableColumn>
    <tableColumn id="7" xr3:uid="{22397AFB-C129-43B4-B5DA-B805B503896A}" name="RENTABILIDAD" dataDxfId="11881" totalsRowDxfId="11880">
      <calculatedColumnFormula>+Tabla555727951527473113407[[#This Row],[BASE]]/Tabla555727951527473113407[[#This Row],[COSTO]]</calculatedColumnFormula>
    </tableColumn>
    <tableColumn id="8" xr3:uid="{8EC735B3-6BE8-47FE-8DCD-3D8D728A73EF}" name="ROTACION" dataDxfId="11879" totalsRowDxfId="11878">
      <calculatedColumnFormula>+VLOOKUP(Tabla555727951527473113407[[#This Row],[MEZCAL]],#REF!,2,0)</calculatedColumnFormula>
    </tableColumn>
    <tableColumn id="9" xr3:uid="{C2B917A3-43DE-4E19-B350-AC6535D5ECC9}" name="PRECIO SUGERIDO" dataDxfId="11877" totalsRowDxfId="11876" dataCellStyle="Moneda">
      <calculatedColumnFormula>+D357/(100-75)*100</calculatedColumnFormula>
    </tableColumn>
    <tableColumn id="10" xr3:uid="{B38C07D0-C0EA-4EBE-99CB-6A4BF88F61A3}" name="ICO2" dataDxfId="11875" totalsRowDxfId="11874" dataCellStyle="Moneda">
      <calculatedColumnFormula>+K357/1.08*0.08</calculatedColumnFormula>
    </tableColumn>
    <tableColumn id="11" xr3:uid="{EBD4A206-67D8-480D-9EA4-67161DF5980F}" name="CARTA " dataDxfId="11873" totalsRowDxfId="11872">
      <calculatedColumnFormula>+Tabla555727951527473113407[[#This Row],[PRECIO SUGERIDO]]+Tabla555727951527473113407[[#This Row],[ICO2]]</calculatedColumnFormula>
    </tableColumn>
    <tableColumn id="12" xr3:uid="{8D63A9E5-2E9A-434D-9CF5-2F5B36A23F55}" name="PRECIO N" dataDxfId="11871" totalsRowDxfId="11870" dataCellStyle="Moneda"/>
    <tableColumn id="13" xr3:uid="{16DD845B-6E22-4BBE-AEDB-D4AEDFE71614}" name="ICO 8%2" dataDxfId="11869" totalsRowDxfId="11868" dataCellStyle="Moneda">
      <calculatedColumnFormula>+N357/1.08*0.08</calculatedColumnFormula>
    </tableColumn>
    <tableColumn id="14" xr3:uid="{39B79949-CA6C-4D91-BBBA-8880D706A1B8}" name="CARTA" dataDxfId="11867" totalsRowDxfId="11866" dataCellStyle="Moneda">
      <calculatedColumnFormula>+N357-O357</calculatedColumnFormula>
    </tableColumn>
    <tableColumn id="15" xr3:uid="{D78C3F10-09FE-4DF9-852F-26707FC325D4}" name="% " dataDxfId="11865" totalsRowDxfId="11864" dataCellStyle="Porcentaje">
      <calculatedColumnFormula>+D357/P357</calculatedColumnFormula>
    </tableColumn>
    <tableColumn id="16" xr3:uid="{6F603633-9390-4E77-AC46-BB3963BE9575}" name="RATION" totalsRowFunction="sum" dataDxfId="11863" totalsRowDxfId="11862">
      <calculatedColumnFormula>+P357/D357</calculatedColumnFormula>
    </tableColumn>
    <tableColumn id="18" xr3:uid="{6BB22617-F7D8-4353-A2CA-7F34F019E7FA}" name="Incremento 13%" dataDxfId="11861" totalsRowDxfId="11860">
      <calculatedColumnFormula>+Tabla555727951527473113407[[#This Row],[VENTA]]*13%+Tabla555727951527473113407[[#This Row],[VENTA]]</calculatedColumnFormula>
    </tableColumn>
    <tableColumn id="19" xr3:uid="{32EBBDCF-6919-4EFC-8321-1FA802C1D1D7}" name="Costo2" dataDxfId="11859" totalsRowDxfId="11858" dataCellStyle="Porcentaje">
      <calculatedColumnFormula>+D357/S357</calculatedColumnFormula>
    </tableColumn>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7" xr:uid="{50513631-5205-4C3F-A88C-E8AE04FAC50A}" name="Tabla555727951527473113408" displayName="Tabla555727951527473113408" ref="B365:T372" totalsRowCount="1" headerRowDxfId="11857" dataDxfId="11856" totalsRowDxfId="11855" totalsRowBorderDxfId="11854">
  <autoFilter ref="B365:T371" xr:uid="{50513631-5205-4C3F-A88C-E8AE04FAC50A}"/>
  <sortState xmlns:xlrd2="http://schemas.microsoft.com/office/spreadsheetml/2017/richdata2" ref="B366:R371">
    <sortCondition descending="1" ref="J368:J371"/>
  </sortState>
  <tableColumns count="19">
    <tableColumn id="1" xr3:uid="{30C6ECE2-3E68-4B1B-96F2-8091F19EF71D}" name="CERVEZA " totalsRowLabel="Total" dataDxfId="11853" totalsRowDxfId="11852"/>
    <tableColumn id="17" xr3:uid="{01029383-9276-4158-8B1D-3C15A721595C}" name="DESCRIPCION" dataDxfId="11851" totalsRowDxfId="11850"/>
    <tableColumn id="2" xr3:uid="{72C0F6D4-4BC5-40E6-8BCC-9AE690571373}" name="COSTO" dataDxfId="11849" totalsRowDxfId="11848" dataCellStyle="Moneda"/>
    <tableColumn id="3" xr3:uid="{06E6C947-A0C6-45CD-AB51-5927D66BFAE4}" name="VENTA" dataDxfId="11847" totalsRowDxfId="11846" dataCellStyle="Moneda"/>
    <tableColumn id="4" xr3:uid="{47552F22-D79F-4968-B956-93D8967702A5}" name="ICO 8%" dataDxfId="11845" totalsRowDxfId="11844" dataCellStyle="Moneda">
      <calculatedColumnFormula>+E366/1.08*0.08</calculatedColumnFormula>
    </tableColumn>
    <tableColumn id="5" xr3:uid="{DA105537-DA52-4A13-B3D7-2500F9FD7E13}" name="BASE" dataDxfId="11843" totalsRowDxfId="11842" dataCellStyle="Moneda">
      <calculatedColumnFormula>+Tabla555727951527473113408[[#This Row],[VENTA]]-Tabla555727951527473113408[[#This Row],[ICO 8%]]</calculatedColumnFormula>
    </tableColumn>
    <tableColumn id="6" xr3:uid="{0FE42EFD-609A-44CA-BCB2-07E7F680A375}" name="%" totalsRowFunction="average" dataDxfId="11841" totalsRowDxfId="11840" dataCellStyle="Porcentaje">
      <calculatedColumnFormula>+Tabla555727951527473113408[[#This Row],[COSTO]]/Tabla555727951527473113408[[#This Row],[BASE]]</calculatedColumnFormula>
    </tableColumn>
    <tableColumn id="7" xr3:uid="{34E17C62-C999-435F-86D3-8B40598C6A47}" name="RENTABILIDAD" dataDxfId="11839" totalsRowDxfId="11838">
      <calculatedColumnFormula>+Tabla555727951527473113408[[#This Row],[BASE]]/Tabla555727951527473113408[[#This Row],[COSTO]]</calculatedColumnFormula>
    </tableColumn>
    <tableColumn id="8" xr3:uid="{732030EB-4C00-464F-8EB2-59C26D300066}" name="ROTACION" dataDxfId="11837" totalsRowDxfId="11836">
      <calculatedColumnFormula>+VLOOKUP(Tabla555727951527473113408[[#This Row],[CERVEZA ]],#REF!,2,0)</calculatedColumnFormula>
    </tableColumn>
    <tableColumn id="9" xr3:uid="{921236A9-31CD-4FCB-A337-B78918C3C43B}" name="PRECIO SUGERIDO" dataDxfId="11835" totalsRowDxfId="11834" dataCellStyle="Moneda">
      <calculatedColumnFormula>+D366/(100-75)*100</calculatedColumnFormula>
    </tableColumn>
    <tableColumn id="10" xr3:uid="{5A8681ED-652C-4F41-9195-05450FB1B8F8}" name="ICO2" dataDxfId="11833" totalsRowDxfId="11832" dataCellStyle="Moneda">
      <calculatedColumnFormula>+K366/1.08*0.08</calculatedColumnFormula>
    </tableColumn>
    <tableColumn id="11" xr3:uid="{AE8AE338-BD52-46CE-9FCA-5F0A7ACC53CC}" name="CARTA " dataDxfId="11831" totalsRowDxfId="11830">
      <calculatedColumnFormula>+Tabla555727951527473113408[[#This Row],[PRECIO SUGERIDO]]+Tabla555727951527473113408[[#This Row],[ICO2]]</calculatedColumnFormula>
    </tableColumn>
    <tableColumn id="12" xr3:uid="{9D7EEE13-1EFC-4350-B5F0-6493F731B891}" name="PRECIO N" dataDxfId="11829" totalsRowDxfId="11828" dataCellStyle="Moneda"/>
    <tableColumn id="13" xr3:uid="{4C381F67-EB6D-4FB2-9530-2B884156A1FA}" name="ICO 8%2" dataDxfId="11827" totalsRowDxfId="11826" dataCellStyle="Moneda">
      <calculatedColumnFormula>+N366/1.08*0.08</calculatedColumnFormula>
    </tableColumn>
    <tableColumn id="14" xr3:uid="{BDE97CD8-26A2-4B6D-85FC-10276E30DCE4}" name="CARTA" dataDxfId="11825" totalsRowDxfId="11824" dataCellStyle="Moneda">
      <calculatedColumnFormula>+N366-O366</calculatedColumnFormula>
    </tableColumn>
    <tableColumn id="15" xr3:uid="{67BF2234-BD28-470A-B72D-CFB8A4351BD2}" name="% " dataDxfId="11823" totalsRowDxfId="11822" dataCellStyle="Porcentaje">
      <calculatedColumnFormula>+D366/P366</calculatedColumnFormula>
    </tableColumn>
    <tableColumn id="16" xr3:uid="{51FE9F80-B76F-4644-835F-2482D9804CF4}" name="RATION" totalsRowFunction="sum" dataDxfId="11821" totalsRowDxfId="11820">
      <calculatedColumnFormula>+P366/D366</calculatedColumnFormula>
    </tableColumn>
    <tableColumn id="18" xr3:uid="{768955A4-32FC-488C-A224-B0E402731320}" name="Incremento 13%" dataDxfId="11819" totalsRowDxfId="11818"/>
    <tableColumn id="19" xr3:uid="{FDF0FF9A-3D9A-45E4-BBBB-9B74CF8807E9}" name="Costo2" dataDxfId="11817" totalsRowDxfId="11816" dataCellStyle="Porcentaje">
      <calculatedColumnFormula>+D366/S366</calculatedColumnFormula>
    </tableColumn>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8" xr:uid="{CF33BDBD-7CBF-446F-95BB-50DBC5FD97C8}" name="Tabla555727951527473113409" displayName="Tabla555727951527473113409" ref="B376:T387" totalsRowCount="1" headerRowDxfId="11815" dataDxfId="11814" totalsRowDxfId="11813" totalsRowBorderDxfId="11812">
  <autoFilter ref="B376:T386" xr:uid="{CF33BDBD-7CBF-446F-95BB-50DBC5FD97C8}"/>
  <sortState xmlns:xlrd2="http://schemas.microsoft.com/office/spreadsheetml/2017/richdata2" ref="B377:T386">
    <sortCondition ref="B380:B386"/>
  </sortState>
  <tableColumns count="19">
    <tableColumn id="1" xr3:uid="{37413B65-C825-4435-8F25-D8985FBEEB25}" name="VINO TINTO" totalsRowLabel="Total" dataDxfId="11811" totalsRowDxfId="11810"/>
    <tableColumn id="17" xr3:uid="{317134F3-428C-460B-ACC2-46274A046A02}" name="DESCRIPCION" dataDxfId="11809" totalsRowDxfId="11808"/>
    <tableColumn id="2" xr3:uid="{E3160116-95A1-4438-A89F-CF4FD03FDAF5}" name="COSTO" dataDxfId="11807" totalsRowDxfId="11806" dataCellStyle="Moneda"/>
    <tableColumn id="3" xr3:uid="{D1D686E4-B038-4A88-9A3B-D7E1276C3FF9}" name="VENTA" dataDxfId="11805" totalsRowDxfId="11804" dataCellStyle="Moneda"/>
    <tableColumn id="4" xr3:uid="{6BEC8A2E-DAEE-4AEC-97CE-B2C4C11BDE8A}" name="ICO 8%" dataDxfId="11803" totalsRowDxfId="11802" dataCellStyle="Moneda">
      <calculatedColumnFormula>+E377/1.08*0.08</calculatedColumnFormula>
    </tableColumn>
    <tableColumn id="5" xr3:uid="{2949AC4B-ADE8-4B0C-963A-D6E1A711878B}" name="BASE" dataDxfId="11801" totalsRowDxfId="11800" dataCellStyle="Moneda">
      <calculatedColumnFormula>+Tabla555727951527473113409[[#This Row],[VENTA]]-Tabla555727951527473113409[[#This Row],[ICO 8%]]</calculatedColumnFormula>
    </tableColumn>
    <tableColumn id="6" xr3:uid="{4BEFD93D-65A7-4B41-A6CB-1AD5A1663745}" name="%" totalsRowFunction="average" dataDxfId="11799" totalsRowDxfId="11798" dataCellStyle="Porcentaje">
      <calculatedColumnFormula>+Tabla555727951527473113409[[#This Row],[COSTO]]/Tabla555727951527473113409[[#This Row],[BASE]]</calculatedColumnFormula>
    </tableColumn>
    <tableColumn id="7" xr3:uid="{B409F963-2EA1-462C-B518-DDF9347EA8B4}" name="RENTABILIDAD" dataDxfId="11797" totalsRowDxfId="11796">
      <calculatedColumnFormula>+Tabla555727951527473113409[[#This Row],[BASE]]/Tabla555727951527473113409[[#This Row],[COSTO]]</calculatedColumnFormula>
    </tableColumn>
    <tableColumn id="8" xr3:uid="{74C053D6-8B96-4988-9896-3C5E4B57003E}" name="ROTACION" dataDxfId="11795" totalsRowDxfId="11794">
      <calculatedColumnFormula>+VLOOKUP(Tabla555727951527473113409[[#This Row],[VINO TINTO]],#REF!,2,0)</calculatedColumnFormula>
    </tableColumn>
    <tableColumn id="9" xr3:uid="{4B05C89E-2327-421E-83DA-3AB29E39FBFF}" name="PRECIO SUGERIDO" dataDxfId="11793" totalsRowDxfId="11792" dataCellStyle="Moneda">
      <calculatedColumnFormula>+D377/(100-75)*100</calculatedColumnFormula>
    </tableColumn>
    <tableColumn id="10" xr3:uid="{8BB880A3-5826-40CE-A8D7-6411790D4F4B}" name="ICO2" dataDxfId="11791" totalsRowDxfId="11790" dataCellStyle="Moneda">
      <calculatedColumnFormula>+K377/1.08*0.08</calculatedColumnFormula>
    </tableColumn>
    <tableColumn id="11" xr3:uid="{4BCD5A80-1BC4-46F4-8BB7-A80ED62F6902}" name="CARTA " dataDxfId="11789" totalsRowDxfId="11788">
      <calculatedColumnFormula>+Tabla555727951527473113409[[#This Row],[PRECIO SUGERIDO]]+Tabla555727951527473113409[[#This Row],[ICO2]]</calculatedColumnFormula>
    </tableColumn>
    <tableColumn id="12" xr3:uid="{ABF893D3-869E-4B21-BA0D-6AD5C5650A57}" name="PRECIO N" dataDxfId="11787" totalsRowDxfId="11786" dataCellStyle="Moneda"/>
    <tableColumn id="13" xr3:uid="{900E8341-ACA3-46BF-8CB8-0503432523C5}" name="ICO 8%2" dataDxfId="11785" totalsRowDxfId="11784" dataCellStyle="Moneda">
      <calculatedColumnFormula>+N377/1.08*0.08</calculatedColumnFormula>
    </tableColumn>
    <tableColumn id="14" xr3:uid="{04933247-7547-4E74-B83D-24D540C6170B}" name="CARTA" dataDxfId="11783" totalsRowDxfId="11782" dataCellStyle="Moneda">
      <calculatedColumnFormula>+N377-O377</calculatedColumnFormula>
    </tableColumn>
    <tableColumn id="15" xr3:uid="{F2E3D0BB-C374-4D26-A025-1EEA9EC06760}" name="% " dataDxfId="11781" totalsRowDxfId="11780" dataCellStyle="Porcentaje">
      <calculatedColumnFormula>+D377/P377</calculatedColumnFormula>
    </tableColumn>
    <tableColumn id="16" xr3:uid="{6B0C7C96-66FE-42F1-B5CB-F453DCB434F9}" name="RATION" totalsRowFunction="sum" dataDxfId="11779" totalsRowDxfId="11778">
      <calculatedColumnFormula>+P377/D377</calculatedColumnFormula>
    </tableColumn>
    <tableColumn id="18" xr3:uid="{0CFCA773-F7F6-42DF-B992-1AD7E6B97D56}" name="Incremento 13%" dataDxfId="11777" totalsRowDxfId="11776">
      <calculatedColumnFormula>+Tabla555727951527473113409[[#This Row],[VENTA]]*13%+Tabla555727951527473113409[[#This Row],[VENTA]]</calculatedColumnFormula>
    </tableColumn>
    <tableColumn id="19" xr3:uid="{991060D7-1DDA-4061-B927-88A01BDEF776}" name="Costo2" dataDxfId="11775" totalsRowDxfId="11774" dataCellStyle="Porcentaje">
      <calculatedColumnFormula>+D377/S377</calculatedColumnFormula>
    </tableColumn>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9" xr:uid="{116E01C0-3C30-4F64-87BC-186BC2D5E043}" name="Tabla555727951527473113410" displayName="Tabla555727951527473113410" ref="B391:T395" totalsRowCount="1" headerRowDxfId="11773" dataDxfId="11772" totalsRowDxfId="11771" totalsRowBorderDxfId="11770">
  <autoFilter ref="B391:T394" xr:uid="{116E01C0-3C30-4F64-87BC-186BC2D5E043}"/>
  <tableColumns count="19">
    <tableColumn id="1" xr3:uid="{EC60D16C-0E05-4E92-85F5-9599584C5360}" name="VINO ROSADO" totalsRowLabel="Total" dataDxfId="11769" totalsRowDxfId="11768"/>
    <tableColumn id="17" xr3:uid="{3273905B-8E67-4D44-B8D2-B2269284BFE1}" name="DESCRIPCION" dataDxfId="11767" totalsRowDxfId="11766"/>
    <tableColumn id="2" xr3:uid="{C1E924A2-F3BC-4738-A218-FC103F4EE3F6}" name="COSTO" dataDxfId="11765" totalsRowDxfId="11764" dataCellStyle="Moneda"/>
    <tableColumn id="3" xr3:uid="{6DFED7CF-338F-431C-977A-DFA3119527B8}" name="VENTA" dataDxfId="11763" totalsRowDxfId="11762" dataCellStyle="Moneda"/>
    <tableColumn id="4" xr3:uid="{2C727E37-1590-4F5F-9602-B4731DAEF5CE}" name="ICO 8%" dataDxfId="11761" totalsRowDxfId="11760" dataCellStyle="Moneda">
      <calculatedColumnFormula>+E392/1.08*0.08</calculatedColumnFormula>
    </tableColumn>
    <tableColumn id="5" xr3:uid="{8EFC03A4-D80A-4FF3-B1C4-84AC66B4B7C0}" name="BASE" dataDxfId="11759" totalsRowDxfId="11758" dataCellStyle="Moneda">
      <calculatedColumnFormula>+Tabla555727951527473113410[[#This Row],[VENTA]]-Tabla555727951527473113410[[#This Row],[ICO 8%]]</calculatedColumnFormula>
    </tableColumn>
    <tableColumn id="6" xr3:uid="{76AE6E00-4543-4361-9E44-19A5AA31D0B2}" name="%" totalsRowFunction="average" dataDxfId="11757" totalsRowDxfId="11756" dataCellStyle="Porcentaje">
      <calculatedColumnFormula>+Tabla555727951527473113410[[#This Row],[COSTO]]/Tabla555727951527473113410[[#This Row],[BASE]]</calculatedColumnFormula>
    </tableColumn>
    <tableColumn id="7" xr3:uid="{BBA9CC65-0ECF-4E7A-A5D0-DD6C8892083E}" name="RENTABILIDAD" dataDxfId="11755" totalsRowDxfId="11754">
      <calculatedColumnFormula>+Tabla555727951527473113410[[#This Row],[BASE]]/Tabla555727951527473113410[[#This Row],[COSTO]]</calculatedColumnFormula>
    </tableColumn>
    <tableColumn id="8" xr3:uid="{89E606F1-293C-4E00-ABC6-E1EE45D8C2BD}" name="ROTACION" dataDxfId="11753" totalsRowDxfId="11752"/>
    <tableColumn id="9" xr3:uid="{0279EF77-E70E-47F7-B350-0B26C200C0E0}" name="PRECIO SUGERIDO" dataDxfId="11751" totalsRowDxfId="11750" dataCellStyle="Moneda">
      <calculatedColumnFormula>+D392/(100-75)*100</calculatedColumnFormula>
    </tableColumn>
    <tableColumn id="10" xr3:uid="{BE9C3AA7-5129-4F0D-A318-20E7A4108FFF}" name="ICO2" dataDxfId="11749" totalsRowDxfId="11748" dataCellStyle="Moneda">
      <calculatedColumnFormula>+K392/1.08*0.08</calculatedColumnFormula>
    </tableColumn>
    <tableColumn id="11" xr3:uid="{1B86950E-852D-471A-BB4C-1A43FFFB5BB2}" name="CARTA " dataDxfId="11747" totalsRowDxfId="11746">
      <calculatedColumnFormula>+Tabla555727951527473113410[[#This Row],[PRECIO SUGERIDO]]+Tabla555727951527473113410[[#This Row],[ICO2]]</calculatedColumnFormula>
    </tableColumn>
    <tableColumn id="12" xr3:uid="{0FC240F2-8D61-46F6-91DD-18537E1AFC7C}" name="PRECIO N" dataDxfId="11745" totalsRowDxfId="11744" dataCellStyle="Moneda">
      <calculatedColumnFormula>+Tabla555727951527473113410[[#This Row],[VENTA]]</calculatedColumnFormula>
    </tableColumn>
    <tableColumn id="13" xr3:uid="{E48BC0D4-22B3-4A2E-B6E8-86B13BED89A8}" name="ICO 8%2" dataDxfId="11743" totalsRowDxfId="11742" dataCellStyle="Moneda">
      <calculatedColumnFormula>+N392/1.08*0.08</calculatedColumnFormula>
    </tableColumn>
    <tableColumn id="14" xr3:uid="{093828F0-3DD8-42F0-AC27-8E1D5B5675F9}" name="CARTA" dataDxfId="11741" totalsRowDxfId="11740" dataCellStyle="Moneda">
      <calculatedColumnFormula>+N392-O392</calculatedColumnFormula>
    </tableColumn>
    <tableColumn id="15" xr3:uid="{3ACC688A-D3EF-45A5-A7F6-4D92FB55B92C}" name="% " dataDxfId="11739" totalsRowDxfId="11738" dataCellStyle="Porcentaje">
      <calculatedColumnFormula>+D392/P392</calculatedColumnFormula>
    </tableColumn>
    <tableColumn id="16" xr3:uid="{BADF0EF4-CFAA-4DA6-8C23-85E83F9E14F3}" name="RATION" totalsRowFunction="sum" dataDxfId="11737" totalsRowDxfId="11736">
      <calculatedColumnFormula>+P392/D392</calculatedColumnFormula>
    </tableColumn>
    <tableColumn id="18" xr3:uid="{F00E65F2-71DC-458C-AA96-BA2730A32AD1}" name="Incremento 13%" dataDxfId="11735" totalsRowDxfId="11734">
      <calculatedColumnFormula>+Tabla555727951527473113410[[#This Row],[VENTA]]*13%+Tabla555727951527473113410[[#This Row],[VENTA]]</calculatedColumnFormula>
    </tableColumn>
    <tableColumn id="19" xr3:uid="{5A50E41A-A134-4D68-A98B-E953BF6B7776}" name="Costo2" dataDxfId="11733" totalsRowDxfId="11732" dataCellStyle="Porcentaje">
      <calculatedColumnFormula>+D392/S392</calculatedColumnFormula>
    </tableColumn>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0" xr:uid="{A7C0E4B7-2933-4F6D-B103-1F41B801A035}" name="Tabla555727951527473113411" displayName="Tabla555727951527473113411" ref="B419:T426" totalsRowCount="1" headerRowDxfId="11731" dataDxfId="11730" totalsRowDxfId="11729" totalsRowBorderDxfId="11728">
  <autoFilter ref="B419:T425" xr:uid="{A7C0E4B7-2933-4F6D-B103-1F41B801A035}"/>
  <tableColumns count="19">
    <tableColumn id="1" xr3:uid="{C54FD828-8BCE-482F-8C7A-668B0E1A48F1}" name="CHAPAÑAS Y ESPUMOSOSO" totalsRowLabel="Total" dataDxfId="11727" totalsRowDxfId="11726"/>
    <tableColumn id="17" xr3:uid="{6A6225A6-C932-47E9-87D1-20ECC187E4B8}" name="Columna2" dataDxfId="11725" totalsRowDxfId="11724"/>
    <tableColumn id="2" xr3:uid="{09B13519-9010-4CD2-9A9C-CEED1BC4884F}" name="COSTO" dataDxfId="11723" totalsRowDxfId="11722" dataCellStyle="Moneda"/>
    <tableColumn id="3" xr3:uid="{0A8F348B-4867-47D1-8483-E347F1EBFD8B}" name="VENTA" dataDxfId="11721" totalsRowDxfId="11720" dataCellStyle="Moneda"/>
    <tableColumn id="4" xr3:uid="{62B18FFB-FF43-4297-BCF3-79085C153521}" name="ICO 8%" dataDxfId="11719" totalsRowDxfId="11718" dataCellStyle="Moneda">
      <calculatedColumnFormula>+E420/1.08*0.08</calculatedColumnFormula>
    </tableColumn>
    <tableColumn id="5" xr3:uid="{52E71925-1859-4C2E-8ED5-521075D7642E}" name="BASE" dataDxfId="11717" totalsRowDxfId="11716" dataCellStyle="Moneda">
      <calculatedColumnFormula>+Tabla555727951527473113411[[#This Row],[VENTA]]-Tabla555727951527473113411[[#This Row],[ICO 8%]]</calculatedColumnFormula>
    </tableColumn>
    <tableColumn id="6" xr3:uid="{75A3FC08-273C-419A-838A-8958D124DB31}" name="%" totalsRowFunction="average" dataDxfId="11715" totalsRowDxfId="11714" dataCellStyle="Porcentaje">
      <calculatedColumnFormula>+Tabla555727951527473113411[[#This Row],[COSTO]]/Tabla555727951527473113411[[#This Row],[BASE]]</calculatedColumnFormula>
    </tableColumn>
    <tableColumn id="7" xr3:uid="{113EB2F0-BE2C-4467-A682-762C774D9285}" name="RENTABILIDAD" dataDxfId="11713" totalsRowDxfId="11712">
      <calculatedColumnFormula>+Tabla555727951527473113411[[#This Row],[BASE]]/Tabla555727951527473113411[[#This Row],[COSTO]]</calculatedColumnFormula>
    </tableColumn>
    <tableColumn id="8" xr3:uid="{3783AC42-2DBD-48C5-9CBC-53059779853F}" name="ROTACION" dataDxfId="11711" totalsRowDxfId="11710">
      <calculatedColumnFormula>+VLOOKUP(Tabla555727951527473113411[[#This Row],[CHAPAÑAS Y ESPUMOSOSO]],#REF!,2,0)</calculatedColumnFormula>
    </tableColumn>
    <tableColumn id="9" xr3:uid="{694FB4D9-7241-4251-B7D2-BD64011CCE08}" name="PRECIO SUGERIDO" dataDxfId="11709" totalsRowDxfId="11708" dataCellStyle="Moneda">
      <calculatedColumnFormula>+D420/(100-75)*100</calculatedColumnFormula>
    </tableColumn>
    <tableColumn id="10" xr3:uid="{8B267D68-87F1-4085-B152-A1008AB39D16}" name="ICO2" dataDxfId="11707" totalsRowDxfId="11706" dataCellStyle="Moneda">
      <calculatedColumnFormula>+K420/1.08*0.08</calculatedColumnFormula>
    </tableColumn>
    <tableColumn id="11" xr3:uid="{8E56A96E-C5DC-4B3A-AB25-BA002A81BE13}" name="CARTA " dataDxfId="11705" totalsRowDxfId="11704">
      <calculatedColumnFormula>+Tabla555727951527473113411[[#This Row],[PRECIO SUGERIDO]]+Tabla555727951527473113411[[#This Row],[ICO2]]</calculatedColumnFormula>
    </tableColumn>
    <tableColumn id="12" xr3:uid="{2622982A-8AC5-4839-BDE7-4141B75474F7}" name="PRECIO N" dataDxfId="11703" totalsRowDxfId="11702" dataCellStyle="Moneda">
      <calculatedColumnFormula>+Tabla555727951527473113411[[#This Row],[VENTA]]</calculatedColumnFormula>
    </tableColumn>
    <tableColumn id="13" xr3:uid="{CD660741-1C68-4F19-974A-BF9BA276713C}" name="ICO 8%2" dataDxfId="11701" totalsRowDxfId="11700" dataCellStyle="Moneda">
      <calculatedColumnFormula>+N420/1.08*0.08</calculatedColumnFormula>
    </tableColumn>
    <tableColumn id="14" xr3:uid="{2543F9BD-D5C3-41EC-A64F-E358762F165E}" name="CARTA" dataDxfId="11699" totalsRowDxfId="11698" dataCellStyle="Moneda">
      <calculatedColumnFormula>+N420-O420</calculatedColumnFormula>
    </tableColumn>
    <tableColumn id="15" xr3:uid="{1D7021F4-E98B-4984-B558-C091F15D6FA5}" name="% " dataDxfId="11697" totalsRowDxfId="11696" dataCellStyle="Porcentaje">
      <calculatedColumnFormula>+D420/P420</calculatedColumnFormula>
    </tableColumn>
    <tableColumn id="16" xr3:uid="{085B50FE-9ECE-4F5B-9B3B-7BB851F5BE44}" name="RATION" totalsRowFunction="sum" dataDxfId="11695" totalsRowDxfId="11694">
      <calculatedColumnFormula>+P420/D420</calculatedColumnFormula>
    </tableColumn>
    <tableColumn id="18" xr3:uid="{F052867C-9743-4BBB-8E33-9ED51B63DC10}" name="Incremento 13%" dataDxfId="11693" totalsRowDxfId="11692">
      <calculatedColumnFormula>+Tabla555727951527473113411[[#This Row],[VENTA]]*13%+Tabla555727951527473113411[[#This Row],[VENTA]]</calculatedColumnFormula>
    </tableColumn>
    <tableColumn id="19" xr3:uid="{D9AE91B4-C586-4D97-A27C-8D843D63539A}" name="Costo2" dataDxfId="11691" totalsRowDxfId="11690" dataCellStyle="Porcentaje">
      <calculatedColumnFormula>+D420/S420</calculatedColumnFormula>
    </tableColumn>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7" xr:uid="{D1281855-75D2-4840-B174-132FEF8C9BDB}" name="Tabla555727951527473113411318" displayName="Tabla555727951527473113411318" ref="B430:T432" totalsRowCount="1" headerRowDxfId="11689" dataDxfId="11688" totalsRowDxfId="11687" totalsRowBorderDxfId="11686">
  <autoFilter ref="B430:T431" xr:uid="{D1281855-75D2-4840-B174-132FEF8C9BDB}"/>
  <tableColumns count="19">
    <tableColumn id="1" xr3:uid="{0324E3C0-1E10-4B32-A598-59BF6283E5BF}" name="REFAJO" totalsRowLabel="Total" dataDxfId="11685" totalsRowDxfId="11684"/>
    <tableColumn id="17" xr3:uid="{61833130-7520-4C9E-9E51-76925DFF1645}" name="DESCRIPCION" dataDxfId="11683" totalsRowDxfId="11682"/>
    <tableColumn id="2" xr3:uid="{F7AF028C-5C86-4EF4-8130-3DB2C6B44F23}" name="COSTO" dataDxfId="11681" totalsRowDxfId="11680" dataCellStyle="Moneda"/>
    <tableColumn id="3" xr3:uid="{EFCBF79B-7B3F-47C8-B030-9FE2D169B46A}" name="VENTA" dataDxfId="11679" totalsRowDxfId="11678" dataCellStyle="Moneda">
      <calculatedColumnFormula>+REFAJO!K10</calculatedColumnFormula>
    </tableColumn>
    <tableColumn id="4" xr3:uid="{ACB9F016-A808-4455-8002-A23C69F3A8B4}" name="ICO 8%" dataDxfId="11677" totalsRowDxfId="11676" dataCellStyle="Moneda">
      <calculatedColumnFormula>+E431/1.08*0.08</calculatedColumnFormula>
    </tableColumn>
    <tableColumn id="5" xr3:uid="{EAF50FD0-1B0C-4CA2-9D6C-DA9B0AE8A886}" name="BASE" dataDxfId="11675" totalsRowDxfId="11674" dataCellStyle="Moneda">
      <calculatedColumnFormula>+Tabla555727951527473113411318[[#This Row],[VENTA]]-Tabla555727951527473113411318[[#This Row],[ICO 8%]]</calculatedColumnFormula>
    </tableColumn>
    <tableColumn id="6" xr3:uid="{E71DB2A8-2EDC-4090-9429-39905157C159}" name="%" totalsRowFunction="average" dataDxfId="11673" totalsRowDxfId="11672" dataCellStyle="Porcentaje">
      <calculatedColumnFormula>+Tabla555727951527473113411318[[#This Row],[COSTO]]/Tabla555727951527473113411318[[#This Row],[BASE]]</calculatedColumnFormula>
    </tableColumn>
    <tableColumn id="7" xr3:uid="{2F4F816B-500C-4E6E-81D5-3228933DC73B}" name="RENTABILIDAD" dataDxfId="11671" totalsRowDxfId="11670">
      <calculatedColumnFormula>+Tabla555727951527473113411318[[#This Row],[BASE]]/Tabla555727951527473113411318[[#This Row],[COSTO]]</calculatedColumnFormula>
    </tableColumn>
    <tableColumn id="8" xr3:uid="{9E2AF84B-B9B4-4871-828C-292B40987476}" name="ROTACION" dataDxfId="11669" totalsRowDxfId="11668">
      <calculatedColumnFormula>+VLOOKUP(Tabla555727951527473113411318[[#This Row],[REFAJO]],#REF!,2,0)</calculatedColumnFormula>
    </tableColumn>
    <tableColumn id="9" xr3:uid="{CA8AF457-9575-4239-8B6D-DAEF0C112D04}" name="PRECIO SUGERIDO" dataDxfId="11667" totalsRowDxfId="11666" dataCellStyle="Moneda">
      <calculatedColumnFormula>+D431/(100-75)*100</calculatedColumnFormula>
    </tableColumn>
    <tableColumn id="10" xr3:uid="{2BB3F224-6593-4495-B3FD-38E71036070D}" name="ICO2" dataDxfId="11665" totalsRowDxfId="11664" dataCellStyle="Moneda">
      <calculatedColumnFormula>+K431/1.08*0.08</calculatedColumnFormula>
    </tableColumn>
    <tableColumn id="11" xr3:uid="{7DB9E744-4E51-47B7-A714-BCC4B49A901B}" name="CARTA " dataDxfId="11663" totalsRowDxfId="11662">
      <calculatedColumnFormula>+Tabla555727951527473113411318[[#This Row],[PRECIO SUGERIDO]]+Tabla555727951527473113411318[[#This Row],[ICO2]]</calculatedColumnFormula>
    </tableColumn>
    <tableColumn id="12" xr3:uid="{75172EC4-6536-4677-9B5B-D92E6A1D8F66}" name="PRECIO N" dataDxfId="11661" totalsRowDxfId="11660" dataCellStyle="Moneda"/>
    <tableColumn id="13" xr3:uid="{9DCC07D9-6A0A-4D50-8958-1E3AEB8F8651}" name="ICO 8%2" dataDxfId="11659" totalsRowDxfId="11658" dataCellStyle="Moneda">
      <calculatedColumnFormula>+N431/1.08*0.08</calculatedColumnFormula>
    </tableColumn>
    <tableColumn id="14" xr3:uid="{057ED520-299D-4EDD-80D8-E6832E66EBBC}" name="CARTA" dataDxfId="11657" totalsRowDxfId="11656" dataCellStyle="Moneda">
      <calculatedColumnFormula>+N431-O431</calculatedColumnFormula>
    </tableColumn>
    <tableColumn id="15" xr3:uid="{0196D7F8-3C4E-4F0F-9733-35D11AC0D6A7}" name="% " dataDxfId="11655" totalsRowDxfId="11654" dataCellStyle="Porcentaje">
      <calculatedColumnFormula>+D431/P431</calculatedColumnFormula>
    </tableColumn>
    <tableColumn id="16" xr3:uid="{9F61949D-5A4F-4A28-9846-F1BCBF02E44D}" name="RATION" totalsRowFunction="sum" dataDxfId="11653" totalsRowDxfId="11652">
      <calculatedColumnFormula>+P431/D431</calculatedColumnFormula>
    </tableColumn>
    <tableColumn id="18" xr3:uid="{912816BB-943E-4755-A7F8-E7A970968023}" name="Incremento 13%" dataDxfId="11651" totalsRowDxfId="11650"/>
    <tableColumn id="19" xr3:uid="{C32984CD-B5AE-427F-8F43-4935AB02ECCC}" name="Costo2" dataDxfId="11649" totalsRowDxfId="11648" dataCellStyle="Porcentaje">
      <calculatedColumnFormula>+D431/S431</calculatedColumnFormula>
    </tableColumn>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2" xr:uid="{9004D75F-A4A1-431C-97CD-AE0B57C27251}" name="Tabla555727951527473113411318323" displayName="Tabla555727951527473113411318323" ref="B436:T442" totalsRowCount="1" headerRowDxfId="11647" dataDxfId="11646" totalsRowDxfId="11645" totalsRowBorderDxfId="11644">
  <autoFilter ref="B436:T441" xr:uid="{9004D75F-A4A1-431C-97CD-AE0B57C27251}"/>
  <sortState xmlns:xlrd2="http://schemas.microsoft.com/office/spreadsheetml/2017/richdata2" ref="B437:R441">
    <sortCondition descending="1" ref="J439:J441"/>
  </sortState>
  <tableColumns count="19">
    <tableColumn id="1" xr3:uid="{9E0B708B-4D3D-4CB3-BB03-AF715FC60CF2}" name="MEZCLADORES" totalsRowLabel="Total" dataDxfId="11643" totalsRowDxfId="11642"/>
    <tableColumn id="17" xr3:uid="{BCA76EF4-E9A9-4699-8FB2-E603A4427D56}" name="DESCRIPCION" dataDxfId="11641" totalsRowDxfId="11640"/>
    <tableColumn id="2" xr3:uid="{AAE787B3-8D0E-4CE6-938C-063E81E68CFA}" name="COSTO" dataDxfId="11639" totalsRowDxfId="11638" dataCellStyle="Moneda"/>
    <tableColumn id="3" xr3:uid="{D6D0E7EE-CEBD-40F7-89E3-53FF4E4F46AF}" name="VENTA" dataDxfId="11637" totalsRowDxfId="11636" dataCellStyle="Moneda"/>
    <tableColumn id="4" xr3:uid="{ED2119BB-9691-4192-A734-8EEB00808EA7}" name="ICO 8%" dataDxfId="11635" totalsRowDxfId="11634" dataCellStyle="Moneda">
      <calculatedColumnFormula>+E437/1.08*0.08</calculatedColumnFormula>
    </tableColumn>
    <tableColumn id="5" xr3:uid="{55943D3B-855F-4515-B77F-34950070D22A}" name="BASE" dataDxfId="11633" totalsRowDxfId="11632" dataCellStyle="Moneda">
      <calculatedColumnFormula>+Tabla555727951527473113411318323[[#This Row],[VENTA]]-Tabla555727951527473113411318323[[#This Row],[ICO 8%]]</calculatedColumnFormula>
    </tableColumn>
    <tableColumn id="6" xr3:uid="{9F21F312-7907-4A1D-8C7E-E891B66C841A}" name="%" totalsRowFunction="average" dataDxfId="11631" totalsRowDxfId="11630" dataCellStyle="Porcentaje">
      <calculatedColumnFormula>+Tabla555727951527473113411318323[[#This Row],[COSTO]]/Tabla555727951527473113411318323[[#This Row],[BASE]]</calculatedColumnFormula>
    </tableColumn>
    <tableColumn id="7" xr3:uid="{16E514B7-CAA4-4DFC-A5B1-24F8E8AA714D}" name="RENTABILIDAD" dataDxfId="11629" totalsRowDxfId="11628">
      <calculatedColumnFormula>+Tabla555727951527473113411318323[[#This Row],[BASE]]/Tabla555727951527473113411318323[[#This Row],[COSTO]]</calculatedColumnFormula>
    </tableColumn>
    <tableColumn id="8" xr3:uid="{AE12E28B-45B2-4046-A350-E557B5BA14A6}" name="ROTACION" dataDxfId="11627" totalsRowDxfId="11626">
      <calculatedColumnFormula>+VLOOKUP(Tabla555727951527473113411318323[[#This Row],[MEZCLADORES]],#REF!,2,0)</calculatedColumnFormula>
    </tableColumn>
    <tableColumn id="9" xr3:uid="{9EF3CD06-755C-4BF6-A560-1BD6549387E2}" name="PRECIO SUGERIDO" dataDxfId="11625" totalsRowDxfId="11624" dataCellStyle="Moneda">
      <calculatedColumnFormula>+D437/(100-75)*100</calculatedColumnFormula>
    </tableColumn>
    <tableColumn id="10" xr3:uid="{FB44D95B-E01D-4783-9B13-48462D0B4B79}" name="ICO2" dataDxfId="11623" totalsRowDxfId="11622" dataCellStyle="Moneda">
      <calculatedColumnFormula>+K437/1.08*0.08</calculatedColumnFormula>
    </tableColumn>
    <tableColumn id="11" xr3:uid="{DA0455A8-9969-42A9-8791-C0A3279E570F}" name="CARTA " dataDxfId="11621" totalsRowDxfId="11620">
      <calculatedColumnFormula>+Tabla555727951527473113411318323[[#This Row],[PRECIO SUGERIDO]]+Tabla555727951527473113411318323[[#This Row],[ICO2]]</calculatedColumnFormula>
    </tableColumn>
    <tableColumn id="12" xr3:uid="{1AFAEDFD-4E6C-4BA2-8796-43E384496958}" name="PRECIO N" dataDxfId="11619" totalsRowDxfId="11618" dataCellStyle="Moneda"/>
    <tableColumn id="13" xr3:uid="{FAB5231B-897D-447E-BE1C-121DAC00C0D9}" name="ICO 8%2" dataDxfId="11617" totalsRowDxfId="11616" dataCellStyle="Moneda">
      <calculatedColumnFormula>+N437/1.08*0.08</calculatedColumnFormula>
    </tableColumn>
    <tableColumn id="14" xr3:uid="{314AC707-22F5-4FD8-8DD7-F8429FF91118}" name="CARTA" dataDxfId="11615" totalsRowDxfId="11614" dataCellStyle="Moneda">
      <calculatedColumnFormula>+N437-O437</calculatedColumnFormula>
    </tableColumn>
    <tableColumn id="15" xr3:uid="{4DA909EF-33BD-4D6A-8EA7-F4A84248B417}" name="% " dataDxfId="11613" totalsRowDxfId="11612" dataCellStyle="Porcentaje">
      <calculatedColumnFormula>+D437/P437</calculatedColumnFormula>
    </tableColumn>
    <tableColumn id="16" xr3:uid="{B0F15894-977A-45E0-9E5B-B4BC310930A0}" name="RATION" totalsRowFunction="sum" dataDxfId="11611" totalsRowDxfId="11610">
      <calculatedColumnFormula>+P437/D437</calculatedColumnFormula>
    </tableColumn>
    <tableColumn id="18" xr3:uid="{5705CFA8-0F2D-424C-84BB-B1566E0EBB2D}" name="Incremento 13%" dataDxfId="11609" totalsRowDxfId="11608">
      <calculatedColumnFormula>+Tabla555727951527473113411318323[[#This Row],[VENTA]]*13%+Tabla555727951527473113411318323[[#This Row],[VENTA]]</calculatedColumnFormula>
    </tableColumn>
    <tableColumn id="19" xr3:uid="{C9FE9A23-D040-4428-9EA9-CB51BFD09AFC}" name="Costo2" dataDxfId="11607" totalsRowDxfId="11606" dataCellStyle="Porcentaje">
      <calculatedColumnFormula>+D437/S437</calculatedColumnFormula>
    </tableColumn>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5" xr:uid="{DA532D09-889B-40E0-BDAF-F98DBCD94DF7}" name="Tabla555727951527473113411318323326" displayName="Tabla555727951527473113411318323326" ref="B446:T452" totalsRowCount="1" headerRowDxfId="11605" dataDxfId="11604" totalsRowDxfId="11603" totalsRowBorderDxfId="11602">
  <autoFilter ref="B446:T451" xr:uid="{DA532D09-889B-40E0-BDAF-F98DBCD94DF7}"/>
  <sortState xmlns:xlrd2="http://schemas.microsoft.com/office/spreadsheetml/2017/richdata2" ref="B447:R450">
    <sortCondition descending="1" ref="J448:J450"/>
  </sortState>
  <tableColumns count="19">
    <tableColumn id="1" xr3:uid="{C3B74C40-A630-4B6A-A3F4-044714C7D310}" name="SODAS" totalsRowLabel="Total" dataDxfId="11601" totalsRowDxfId="11600"/>
    <tableColumn id="17" xr3:uid="{87FF82F5-17D0-4CE3-9222-E974E0710CD6}" name="DESCRIPCION" dataDxfId="11599" totalsRowDxfId="11598"/>
    <tableColumn id="2" xr3:uid="{2A3199C4-A73A-487E-8C21-15C4488E7071}" name="COSTO" dataDxfId="11597" totalsRowDxfId="11596" dataCellStyle="Moneda"/>
    <tableColumn id="3" xr3:uid="{1A13D062-A7B2-4A08-8597-520E5908D8AC}" name="VENTA" dataDxfId="11595" totalsRowDxfId="11594" dataCellStyle="Moneda"/>
    <tableColumn id="4" xr3:uid="{D8400C54-FA01-4F84-9BE3-6A789DB67FD8}" name="ICO 8%" dataDxfId="11593" totalsRowDxfId="11592" dataCellStyle="Moneda">
      <calculatedColumnFormula>+E447/1.08*0.08</calculatedColumnFormula>
    </tableColumn>
    <tableColumn id="5" xr3:uid="{634006A5-6B40-4427-AAA0-57FAF141DDD0}" name="BASE" dataDxfId="11591" totalsRowDxfId="11590" dataCellStyle="Moneda">
      <calculatedColumnFormula>+Tabla555727951527473113411318323326[[#This Row],[VENTA]]-Tabla555727951527473113411318323326[[#This Row],[ICO 8%]]</calculatedColumnFormula>
    </tableColumn>
    <tableColumn id="6" xr3:uid="{6193A330-1C2D-4465-BB4C-9C38B151A4CF}" name="%" totalsRowFunction="average" dataDxfId="11589" totalsRowDxfId="11588" dataCellStyle="Porcentaje">
      <calculatedColumnFormula>+Tabla555727951527473113411318323326[[#This Row],[COSTO]]/Tabla555727951527473113411318323326[[#This Row],[BASE]]</calculatedColumnFormula>
    </tableColumn>
    <tableColumn id="7" xr3:uid="{A6C37AD1-8596-4EB1-A225-4E2168F2D4B6}" name="RENTABILIDAD" dataDxfId="11587" totalsRowDxfId="11586">
      <calculatedColumnFormula>+Tabla555727951527473113411318323326[[#This Row],[BASE]]/Tabla555727951527473113411318323326[[#This Row],[COSTO]]</calculatedColumnFormula>
    </tableColumn>
    <tableColumn id="8" xr3:uid="{288F4F1A-777A-4969-A156-C87E15DB9901}" name="ROTACION" dataDxfId="11585" totalsRowDxfId="11584">
      <calculatedColumnFormula>+VLOOKUP(Tabla555727951527473113411318323326[[#This Row],[SODAS]],#REF!,2,0)</calculatedColumnFormula>
    </tableColumn>
    <tableColumn id="9" xr3:uid="{A44547B9-D0DB-4254-9F35-A24C61EF5666}" name="PRECIO SUGERIDO" dataDxfId="11583" totalsRowDxfId="11582" dataCellStyle="Moneda">
      <calculatedColumnFormula>+D447/(100-75)*100</calculatedColumnFormula>
    </tableColumn>
    <tableColumn id="10" xr3:uid="{5BB61BAD-119A-4361-8CCB-731722DB5E0F}" name="ICO2" dataDxfId="11581" totalsRowDxfId="11580" dataCellStyle="Moneda">
      <calculatedColumnFormula>+K447/1.08*0.08</calculatedColumnFormula>
    </tableColumn>
    <tableColumn id="11" xr3:uid="{E47C8D58-3AA1-4572-AA3D-225C5FE525F5}" name="CARTA " dataDxfId="11579" totalsRowDxfId="11578">
      <calculatedColumnFormula>+Tabla555727951527473113411318323326[[#This Row],[PRECIO SUGERIDO]]+Tabla555727951527473113411318323326[[#This Row],[ICO2]]</calculatedColumnFormula>
    </tableColumn>
    <tableColumn id="12" xr3:uid="{4E53BE54-4B97-47D7-B94F-3D868E5DDC16}" name="PRECIO N" dataDxfId="11577" totalsRowDxfId="11576" dataCellStyle="Moneda"/>
    <tableColumn id="13" xr3:uid="{9BB5905A-88EF-4ACD-BBE3-9492F0D146E5}" name="ICO 8%2" dataDxfId="11575" totalsRowDxfId="11574" dataCellStyle="Moneda">
      <calculatedColumnFormula>+N447/1.08*0.08</calculatedColumnFormula>
    </tableColumn>
    <tableColumn id="14" xr3:uid="{647F35E3-E947-4EE5-8314-C0AD09723F47}" name="CARTA" dataDxfId="11573" totalsRowDxfId="11572" dataCellStyle="Moneda">
      <calculatedColumnFormula>+N447-O447</calculatedColumnFormula>
    </tableColumn>
    <tableColumn id="15" xr3:uid="{5C8E5175-BF40-4722-90C5-9BEAE0207833}" name="% " dataDxfId="11571" totalsRowDxfId="11570" dataCellStyle="Porcentaje">
      <calculatedColumnFormula>+D447/P447</calculatedColumnFormula>
    </tableColumn>
    <tableColumn id="16" xr3:uid="{02971B36-A99F-419C-A596-CBEB9D487A9D}" name="RATION" totalsRowFunction="sum" dataDxfId="11569" totalsRowDxfId="11568">
      <calculatedColumnFormula>+P447/D447</calculatedColumnFormula>
    </tableColumn>
    <tableColumn id="18" xr3:uid="{BA9DA987-116E-4AD4-BEB2-2AB5F8E6B661}" name="Incremento 13%" dataDxfId="11567" totalsRowDxfId="11566">
      <calculatedColumnFormula>+Tabla555727951527473113411318323326[[#This Row],[VENTA]]*13%+Tabla555727951527473113411318323326[[#This Row],[VENTA]]</calculatedColumnFormula>
    </tableColumn>
    <tableColumn id="19" xr3:uid="{DEAF43D4-72CD-46DC-9B5B-2E92F758F30C}" name="Costo2" dataDxfId="11565" totalsRowDxfId="11564" dataCellStyle="Porcentaje">
      <calculatedColumnFormula>+D447/S447</calculatedColumnFormula>
    </tableColumn>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0" xr:uid="{C8A2AA24-4882-4F38-8354-4AAC3B325F87}" name="Tabla555727951527473113411318323331" displayName="Tabla555727951527473113411318323331" ref="B457:T467" totalsRowCount="1" headerRowDxfId="11563" dataDxfId="11562" totalsRowDxfId="11561" totalsRowBorderDxfId="11560">
  <autoFilter ref="B457:T466" xr:uid="{C8A2AA24-4882-4F38-8354-4AAC3B325F87}"/>
  <sortState xmlns:xlrd2="http://schemas.microsoft.com/office/spreadsheetml/2017/richdata2" ref="B458:R466">
    <sortCondition descending="1" ref="J461:J466"/>
  </sortState>
  <tableColumns count="19">
    <tableColumn id="1" xr3:uid="{774D170B-7567-48E4-9DAE-C6DEBC50DE39}" name="BEBIDAS" totalsRowLabel="Total" dataDxfId="11559" totalsRowDxfId="11558"/>
    <tableColumn id="17" xr3:uid="{B539BC03-AA8E-4DE7-96D3-B802CBE28D07}" name="DESCRIPCION" dataDxfId="11557" totalsRowDxfId="11556"/>
    <tableColumn id="2" xr3:uid="{ECA3451C-A831-4DF0-867C-B74907A2E8DB}" name="COSTO" dataDxfId="11555" totalsRowDxfId="11554" dataCellStyle="Moneda"/>
    <tableColumn id="3" xr3:uid="{BDCEC985-232B-4F16-AF47-EEBF149274D6}" name="VENTA" dataDxfId="11553" totalsRowDxfId="11552" dataCellStyle="Moneda"/>
    <tableColumn id="4" xr3:uid="{6AEAE8B2-1943-416E-9790-083CE47B43C9}" name="ICO 8%" dataDxfId="11551" totalsRowDxfId="11550" dataCellStyle="Moneda">
      <calculatedColumnFormula>+E458/1.08*0.08</calculatedColumnFormula>
    </tableColumn>
    <tableColumn id="5" xr3:uid="{72B09467-2D09-4CCE-B0FD-E35D5C3F0DEF}" name="BASE" dataDxfId="11549" totalsRowDxfId="11548" dataCellStyle="Moneda">
      <calculatedColumnFormula>+Tabla555727951527473113411318323331[[#This Row],[VENTA]]-Tabla555727951527473113411318323331[[#This Row],[ICO 8%]]</calculatedColumnFormula>
    </tableColumn>
    <tableColumn id="6" xr3:uid="{D695D946-E69F-4A64-B069-38540EB2CEFF}" name="%" totalsRowFunction="average" dataDxfId="11547" totalsRowDxfId="11546" dataCellStyle="Porcentaje">
      <calculatedColumnFormula>+Tabla555727951527473113411318323331[[#This Row],[COSTO]]/Tabla555727951527473113411318323331[[#This Row],[BASE]]</calculatedColumnFormula>
    </tableColumn>
    <tableColumn id="7" xr3:uid="{2209DC2C-030C-4F1C-87AD-7ACD8781FCF9}" name="RENTABILIDAD" dataDxfId="11545" totalsRowDxfId="11544">
      <calculatedColumnFormula>+Tabla555727951527473113411318323331[[#This Row],[BASE]]/Tabla555727951527473113411318323331[[#This Row],[COSTO]]</calculatedColumnFormula>
    </tableColumn>
    <tableColumn id="8" xr3:uid="{0E9F3958-1E6D-4373-BEC9-CA7E4D8F8BB4}" name="ROTACION" totalsRowFunction="sum" dataDxfId="11543" totalsRowDxfId="11542">
      <calculatedColumnFormula>+VLOOKUP(Tabla555727951527473113411318323331[[#This Row],[BEBIDAS]],#REF!,2,0)</calculatedColumnFormula>
    </tableColumn>
    <tableColumn id="9" xr3:uid="{B29BEEF0-4FEA-4007-A94B-4BF3CC94217D}" name="PRECIO SUGERIDO" dataDxfId="11541" totalsRowDxfId="11540" dataCellStyle="Moneda">
      <calculatedColumnFormula>+D458/(100-75)*100</calculatedColumnFormula>
    </tableColumn>
    <tableColumn id="10" xr3:uid="{BA923B8D-01AC-49F3-ACBF-AA7E77C96C27}" name="ICO2" dataDxfId="11539" totalsRowDxfId="11538" dataCellStyle="Moneda">
      <calculatedColumnFormula>+K458/1.08*0.08</calculatedColumnFormula>
    </tableColumn>
    <tableColumn id="11" xr3:uid="{9995DF16-12FD-4326-82BC-F3778BB185CB}" name="CARTA " dataDxfId="11537" totalsRowDxfId="11536">
      <calculatedColumnFormula>+Tabla555727951527473113411318323331[[#This Row],[PRECIO SUGERIDO]]+Tabla555727951527473113411318323331[[#This Row],[ICO2]]</calculatedColumnFormula>
    </tableColumn>
    <tableColumn id="12" xr3:uid="{21EEAF9B-2554-4F1C-9325-4BF7B685DA67}" name="PRECIO N" dataDxfId="11535" totalsRowDxfId="11534" dataCellStyle="Moneda">
      <calculatedColumnFormula>+Tabla555727951527473113411318323331[[#This Row],[VENTA]]</calculatedColumnFormula>
    </tableColumn>
    <tableColumn id="13" xr3:uid="{F048285D-C051-403A-BE49-E6EDC69615A5}" name="ICO 8%2" dataDxfId="11533" totalsRowDxfId="11532" dataCellStyle="Moneda">
      <calculatedColumnFormula>+N458/1.08*0.08</calculatedColumnFormula>
    </tableColumn>
    <tableColumn id="14" xr3:uid="{A76207FE-25C0-4B56-B56A-F6E42403D318}" name="CARTA" dataDxfId="11531" totalsRowDxfId="11530" dataCellStyle="Moneda">
      <calculatedColumnFormula>+N458-O458</calculatedColumnFormula>
    </tableColumn>
    <tableColumn id="15" xr3:uid="{A4A575E6-77F9-4D17-88C2-B40C56D87DAC}" name="% " dataDxfId="11529" totalsRowDxfId="11528" dataCellStyle="Porcentaje">
      <calculatedColumnFormula>+D458/P458</calculatedColumnFormula>
    </tableColumn>
    <tableColumn id="16" xr3:uid="{5B108972-DAC0-4CAB-B027-40487A8A2FDC}" name="RATION" totalsRowFunction="sum" dataDxfId="11527" totalsRowDxfId="11526">
      <calculatedColumnFormula>+P458/D458</calculatedColumnFormula>
    </tableColumn>
    <tableColumn id="18" xr3:uid="{B0C9E628-864C-451F-AB6A-EF0304C1BBE8}" name="Incremento 13%" dataDxfId="11525" totalsRowDxfId="11524">
      <calculatedColumnFormula>+Tabla555727951527473113411318323331[[#This Row],[VENTA]]*13%+Tabla555727951527473113411318323331[[#This Row],[VENTA]]</calculatedColumnFormula>
    </tableColumn>
    <tableColumn id="19" xr3:uid="{E0932ACB-5421-43DD-BF4E-F10CA477B20D}" name="Costo2" dataDxfId="11523" totalsRowDxfId="11522" dataCellStyle="Porcentaje">
      <calculatedColumnFormula>+D458/S458</calculatedColumnFormula>
    </tableColumn>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6" xr:uid="{68CA262B-D176-4720-A48F-ED0DF5AE99B3}" name="Tabla555727951527473113411318323331367" displayName="Tabla555727951527473113411318323331367" ref="B473:T478" totalsRowCount="1" headerRowDxfId="11521" dataDxfId="11520" totalsRowDxfId="11519" totalsRowBorderDxfId="11518">
  <autoFilter ref="B473:T477" xr:uid="{68CA262B-D176-4720-A48F-ED0DF5AE99B3}"/>
  <sortState xmlns:xlrd2="http://schemas.microsoft.com/office/spreadsheetml/2017/richdata2" ref="B474:R476">
    <sortCondition descending="1" ref="J474:J476"/>
  </sortState>
  <tableColumns count="19">
    <tableColumn id="1" xr3:uid="{FEE2E2BF-7044-495C-82EA-83E3803A77AC}" name="MOCKTAILS" totalsRowLabel="Total" dataDxfId="11517" totalsRowDxfId="11516"/>
    <tableColumn id="17" xr3:uid="{9EC0F805-4D1B-4CBA-8F16-C56D47AC27D0}" name="DESCRIPCION" dataDxfId="11515" totalsRowDxfId="11514"/>
    <tableColumn id="2" xr3:uid="{10C40E86-788E-4A44-8833-B2A48AE5C677}" name="COSTO" dataDxfId="11513" totalsRowDxfId="11512" dataCellStyle="Moneda"/>
    <tableColumn id="3" xr3:uid="{F48B4E3A-DE62-4F30-8927-EE3787E5777C}" name="VENTA" dataDxfId="11511" totalsRowDxfId="11510" dataCellStyle="Moneda"/>
    <tableColumn id="4" xr3:uid="{5746A8B7-0B08-4286-AB1B-469ADFAED547}" name="ICO 8%" dataDxfId="11509" totalsRowDxfId="11508" dataCellStyle="Moneda">
      <calculatedColumnFormula>+E474/1.08*0.08</calculatedColumnFormula>
    </tableColumn>
    <tableColumn id="5" xr3:uid="{1FE24AEE-9DB4-4B3E-8BBA-22BA12AF0EF7}" name="BASE" dataDxfId="11507" totalsRowDxfId="11506" dataCellStyle="Moneda">
      <calculatedColumnFormula>+Tabla555727951527473113411318323331367[[#This Row],[VENTA]]-Tabla555727951527473113411318323331367[[#This Row],[ICO 8%]]</calculatedColumnFormula>
    </tableColumn>
    <tableColumn id="6" xr3:uid="{B99ED3FB-36C6-44E8-B459-73786142732A}" name="%" totalsRowFunction="average" dataDxfId="11505" totalsRowDxfId="11504" dataCellStyle="Porcentaje">
      <calculatedColumnFormula>+Tabla555727951527473113411318323331367[[#This Row],[COSTO]]/Tabla555727951527473113411318323331367[[#This Row],[BASE]]</calculatedColumnFormula>
    </tableColumn>
    <tableColumn id="7" xr3:uid="{135119E5-F89B-48AC-ABAD-5B1916B6A616}" name="RENTABILIDAD" dataDxfId="11503" totalsRowDxfId="11502">
      <calculatedColumnFormula>+Tabla555727951527473113411318323331367[[#This Row],[BASE]]/Tabla555727951527473113411318323331367[[#This Row],[COSTO]]</calculatedColumnFormula>
    </tableColumn>
    <tableColumn id="8" xr3:uid="{F9125815-F43E-4BA1-8D49-1745F9BCEB91}" name="ROTACION" dataDxfId="11501" totalsRowDxfId="11500">
      <calculatedColumnFormula>+VLOOKUP(Tabla555727951527473113411318323331367[[#This Row],[MOCKTAILS]],#REF!,2,0)</calculatedColumnFormula>
    </tableColumn>
    <tableColumn id="9" xr3:uid="{E1C26B01-B874-4FD4-A893-9A30E28B6473}" name="PRECIO SUGERIDO" dataDxfId="11499" totalsRowDxfId="11498" dataCellStyle="Moneda">
      <calculatedColumnFormula>+D474/(100-75)*100</calculatedColumnFormula>
    </tableColumn>
    <tableColumn id="10" xr3:uid="{28CD1D02-FE96-46D7-B03C-AEAF06500BCA}" name="ICO2" dataDxfId="11497" totalsRowDxfId="11496" dataCellStyle="Moneda">
      <calculatedColumnFormula>+K474/1.08*0.08</calculatedColumnFormula>
    </tableColumn>
    <tableColumn id="11" xr3:uid="{CB6A7F27-2FFB-4C6D-9E95-D2FDD464B0A1}" name="CARTA " dataDxfId="11495" totalsRowDxfId="11494">
      <calculatedColumnFormula>+Tabla555727951527473113411318323331367[[#This Row],[PRECIO SUGERIDO]]+Tabla555727951527473113411318323331367[[#This Row],[ICO2]]</calculatedColumnFormula>
    </tableColumn>
    <tableColumn id="12" xr3:uid="{FC8FEC8A-AD41-4BFC-B393-F4AF428D54DD}" name="PRECIO N" dataDxfId="11493" totalsRowDxfId="11492" dataCellStyle="Moneda"/>
    <tableColumn id="13" xr3:uid="{BF34AA33-3B0D-48F9-88D8-BF45967ABE93}" name="ICO 8%2" dataDxfId="11491" totalsRowDxfId="11490" dataCellStyle="Moneda">
      <calculatedColumnFormula>+N474/1.08*0.08</calculatedColumnFormula>
    </tableColumn>
    <tableColumn id="14" xr3:uid="{019F67A8-1E6C-44E4-9B68-C36E658612BD}" name="CARTA" dataDxfId="11489" totalsRowDxfId="11488" dataCellStyle="Moneda">
      <calculatedColumnFormula>+N474-O474</calculatedColumnFormula>
    </tableColumn>
    <tableColumn id="15" xr3:uid="{1165DC47-D20D-489F-833C-A68AEABDB4C1}" name="% " dataDxfId="11487" totalsRowDxfId="11486" dataCellStyle="Porcentaje">
      <calculatedColumnFormula>+D474/P474</calculatedColumnFormula>
    </tableColumn>
    <tableColumn id="16" xr3:uid="{E3C4924D-3F99-478D-A4DB-109B6F886589}" name="RATION" totalsRowFunction="sum" dataDxfId="11485" totalsRowDxfId="11484">
      <calculatedColumnFormula>+P474/D474</calculatedColumnFormula>
    </tableColumn>
    <tableColumn id="18" xr3:uid="{A6AAC91D-C912-4FAC-AAFB-1CFF230B7D58}" name="Incremento 13%" dataDxfId="11483" totalsRowDxfId="11482">
      <calculatedColumnFormula>+Tabla555727951527473113411318323331367[[#This Row],[VENTA]]*13%+Tabla555727951527473113411318323331367[[#This Row],[VENTA]]</calculatedColumnFormula>
    </tableColumn>
    <tableColumn id="19" xr3:uid="{2AD34E54-667B-44FB-A87C-E061B782A8C3}" name="Costo2" dataDxfId="11481" totalsRowDxfId="11480" dataCellStyle="Porcentaje">
      <calculatedColumnFormula>+D474/S474</calculatedColumnFormula>
    </tableColumn>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7" xr:uid="{E4CC168A-F8BE-4F81-80F0-BCC6ADD77CDB}" name="Tabla555727951527473113411318323331367368" displayName="Tabla555727951527473113411318323331367368" ref="B481:T487" totalsRowCount="1" headerRowDxfId="11479" dataDxfId="11478" totalsRowDxfId="11477" totalsRowBorderDxfId="11476">
  <autoFilter ref="B481:T486" xr:uid="{E4CC168A-F8BE-4F81-80F0-BCC6ADD77CDB}"/>
  <sortState xmlns:xlrd2="http://schemas.microsoft.com/office/spreadsheetml/2017/richdata2" ref="B482:R485">
    <sortCondition descending="1" ref="J482:J485"/>
  </sortState>
  <tableColumns count="19">
    <tableColumn id="1" xr3:uid="{E3D07DC5-DE19-4C5F-8E6D-3FEE25DAF974}" name="JUGOS" totalsRowLabel="Total" dataDxfId="11475" totalsRowDxfId="11474"/>
    <tableColumn id="17" xr3:uid="{BC1FB51E-2025-4F2B-9C22-44BEBDFABB3A}" name="DESCRIPCION" dataDxfId="11473" totalsRowDxfId="11472"/>
    <tableColumn id="2" xr3:uid="{128D9019-98B4-445E-8E2D-962C692D0985}" name="COSTO" dataDxfId="11471" totalsRowDxfId="11470" dataCellStyle="Moneda"/>
    <tableColumn id="3" xr3:uid="{9A3BF1F2-7EFC-4CF7-93F7-93B025B33BD9}" name="VENTA" dataDxfId="11469" totalsRowDxfId="11468" dataCellStyle="Moneda"/>
    <tableColumn id="4" xr3:uid="{6EF8EA83-1140-4203-8F08-3BF34ECD0F43}" name="ICO 8%" dataDxfId="11467" totalsRowDxfId="11466" dataCellStyle="Moneda">
      <calculatedColumnFormula>+E482/1.08*0.08</calculatedColumnFormula>
    </tableColumn>
    <tableColumn id="5" xr3:uid="{B1DCE195-A053-42AB-857B-C51A710F4E22}" name="BASE" dataDxfId="11465" totalsRowDxfId="11464" dataCellStyle="Moneda">
      <calculatedColumnFormula>+Tabla555727951527473113411318323331367368[[#This Row],[VENTA]]-Tabla555727951527473113411318323331367368[[#This Row],[ICO 8%]]</calculatedColumnFormula>
    </tableColumn>
    <tableColumn id="6" xr3:uid="{B3CF372E-E4C5-4696-8CDF-F02592A85FAF}" name="%" totalsRowFunction="average" dataDxfId="11463" totalsRowDxfId="11462" dataCellStyle="Porcentaje">
      <calculatedColumnFormula>+Tabla555727951527473113411318323331367368[[#This Row],[COSTO]]/Tabla555727951527473113411318323331367368[[#This Row],[BASE]]</calculatedColumnFormula>
    </tableColumn>
    <tableColumn id="7" xr3:uid="{81F06425-03BC-4A8B-93BA-6EB11998989E}" name="RENTABILIDAD" dataDxfId="11461" totalsRowDxfId="11460">
      <calculatedColumnFormula>+Tabla555727951527473113411318323331367368[[#This Row],[BASE]]/Tabla555727951527473113411318323331367368[[#This Row],[COSTO]]</calculatedColumnFormula>
    </tableColumn>
    <tableColumn id="8" xr3:uid="{D2507EE7-DB3C-4F45-805B-4028C34CB5AC}" name="ROTACION" dataDxfId="11459" totalsRowDxfId="11458">
      <calculatedColumnFormula>+VLOOKUP(Tabla555727951527473113411318323331367368[[#This Row],[JUGOS]],#REF!,2,0)</calculatedColumnFormula>
    </tableColumn>
    <tableColumn id="9" xr3:uid="{C084C6E1-118E-4DAB-9D26-87FD3538949B}" name="PRECIO SUGERIDO" dataDxfId="11457" totalsRowDxfId="11456" dataCellStyle="Moneda">
      <calculatedColumnFormula>+D482/(100-75)*100</calculatedColumnFormula>
    </tableColumn>
    <tableColumn id="10" xr3:uid="{DD649939-856E-4248-A438-EC4527BD9FD3}" name="ICO2" dataDxfId="11455" totalsRowDxfId="11454" dataCellStyle="Moneda">
      <calculatedColumnFormula>+K482/1.08*0.08</calculatedColumnFormula>
    </tableColumn>
    <tableColumn id="11" xr3:uid="{7EC30A55-0B9A-4B89-9C8F-3A228827BFCE}" name="CARTA " dataDxfId="11453" totalsRowDxfId="11452">
      <calculatedColumnFormula>+Tabla555727951527473113411318323331367368[[#This Row],[PRECIO SUGERIDO]]+Tabla555727951527473113411318323331367368[[#This Row],[ICO2]]</calculatedColumnFormula>
    </tableColumn>
    <tableColumn id="12" xr3:uid="{20284646-271A-4917-A51D-02F2043F1350}" name="PRECIO N" dataDxfId="11451" totalsRowDxfId="11450" dataCellStyle="Moneda"/>
    <tableColumn id="13" xr3:uid="{4D50C4A6-7D4D-439A-AE34-2685C0152CF7}" name="ICO 8%2" dataDxfId="11449" totalsRowDxfId="11448" dataCellStyle="Moneda">
      <calculatedColumnFormula>+N482/1.08*0.08</calculatedColumnFormula>
    </tableColumn>
    <tableColumn id="14" xr3:uid="{0AC97116-5DAF-454E-A6FA-7A156FC1A4E7}" name="CARTA" dataDxfId="11447" totalsRowDxfId="11446" dataCellStyle="Moneda">
      <calculatedColumnFormula>+N482-O482</calculatedColumnFormula>
    </tableColumn>
    <tableColumn id="15" xr3:uid="{498A592B-7FAB-4E4C-9293-9C53E3607E47}" name="% " dataDxfId="11445" totalsRowDxfId="11444" dataCellStyle="Porcentaje">
      <calculatedColumnFormula>+D482/P482</calculatedColumnFormula>
    </tableColumn>
    <tableColumn id="16" xr3:uid="{4B6F6C37-0B8E-42C0-8BD9-78D77204E5E7}" name="RATION" totalsRowFunction="sum" dataDxfId="11443" totalsRowDxfId="11442">
      <calculatedColumnFormula>+P482/D482</calculatedColumnFormula>
    </tableColumn>
    <tableColumn id="18" xr3:uid="{FAC272B8-CD97-43CC-8A41-84997F11F0B0}" name="Incremento 13%" dataDxfId="11441" totalsRowDxfId="11440">
      <calculatedColumnFormula>+Tabla555727951527473113411318323331367368[[#This Row],[VENTA]]*13%+Tabla555727951527473113411318323331367368[[#This Row],[VENTA]]</calculatedColumnFormula>
    </tableColumn>
    <tableColumn id="19" xr3:uid="{EB03992A-3216-40E5-8C06-44E9030EC47B}" name="Costo2" dataDxfId="11439" totalsRowDxfId="11438" dataCellStyle="Porcentaje">
      <calculatedColumnFormula>+D482/S482</calculatedColumnFormula>
    </tableColumn>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19309E26-04EB-4FCC-9F2D-898D1E0FF045}" name="Tabla5557279288" displayName="Tabla5557279288" ref="B121:T125" totalsRowCount="1" headerRowDxfId="11437" dataDxfId="11436" totalsRowDxfId="11435" totalsRowBorderDxfId="11434">
  <autoFilter ref="B121:T124" xr:uid="{50C09F7D-A7AF-402A-B64F-F368692EF9E9}"/>
  <sortState xmlns:xlrd2="http://schemas.microsoft.com/office/spreadsheetml/2017/richdata2" ref="B122:R124">
    <sortCondition descending="1" ref="J123:J124"/>
  </sortState>
  <tableColumns count="19">
    <tableColumn id="1" xr3:uid="{B2A59768-F643-499D-8799-E6BD535F683A}" name="MENU INFANTIL" totalsRowLabel="Total" dataDxfId="11433" totalsRowDxfId="11432"/>
    <tableColumn id="17" xr3:uid="{FC91EBA1-2D95-4209-929E-C6910244D514}" name="DESCRIPCION" dataDxfId="11431" totalsRowDxfId="11430"/>
    <tableColumn id="2" xr3:uid="{6F7FA656-6290-49E1-B7FA-6F8E0B11AFE1}" name="COSTO" dataDxfId="11429" totalsRowDxfId="11428" dataCellStyle="Moneda"/>
    <tableColumn id="3" xr3:uid="{995E4477-8D78-43EB-87E1-55DB9E36627E}" name="VENTA" dataDxfId="11427" totalsRowDxfId="11426" dataCellStyle="Moneda"/>
    <tableColumn id="4" xr3:uid="{4D463DBA-A4B5-4493-B7A2-66F37E550EC1}" name="ICO 8%" dataDxfId="11425" totalsRowDxfId="11424" dataCellStyle="Moneda">
      <calculatedColumnFormula>+E122/1.08*0.08</calculatedColumnFormula>
    </tableColumn>
    <tableColumn id="5" xr3:uid="{C76CA836-5363-4B1F-A5C5-A91DB3B77EA1}" name="BASE" dataDxfId="11423" totalsRowDxfId="11422" dataCellStyle="Moneda">
      <calculatedColumnFormula>+Tabla5557279288[[#This Row],[VENTA]]-Tabla5557279288[[#This Row],[ICO 8%]]</calculatedColumnFormula>
    </tableColumn>
    <tableColumn id="6" xr3:uid="{B71E7764-B612-46E8-8421-E4029BB2D8D5}" name="%" totalsRowFunction="average" dataDxfId="11421" totalsRowDxfId="11420" dataCellStyle="Porcentaje">
      <calculatedColumnFormula>+Tabla5557279288[[#This Row],[COSTO]]/Tabla5557279288[[#This Row],[BASE]]</calculatedColumnFormula>
    </tableColumn>
    <tableColumn id="7" xr3:uid="{67986132-AED9-40EF-A297-00300A1EEF56}" name="RENTABILIDAD" dataDxfId="11419" totalsRowDxfId="11418">
      <calculatedColumnFormula>+Tabla5557279288[[#This Row],[BASE]]/Tabla5557279288[[#This Row],[COSTO]]</calculatedColumnFormula>
    </tableColumn>
    <tableColumn id="8" xr3:uid="{2836A55B-4115-4F6A-9890-062E4D3E9C9E}" name="ROTACION" totalsRowFunction="sum" dataDxfId="11417" totalsRowDxfId="11416">
      <calculatedColumnFormula>+VLOOKUP(Tabla5557279288[[#This Row],[MENU INFANTIL]],#REF!,2,0)</calculatedColumnFormula>
    </tableColumn>
    <tableColumn id="9" xr3:uid="{ACA22D2E-CDCF-43F3-B345-2AAFA6928407}" name="PRECIO SUGERIDO" dataDxfId="11415" totalsRowDxfId="11414" dataCellStyle="Moneda">
      <calculatedColumnFormula>+D122/(100-67)*100</calculatedColumnFormula>
    </tableColumn>
    <tableColumn id="10" xr3:uid="{7B992C35-35ED-4EC5-90FB-4A75FBBE6CA2}" name="ICO2" dataDxfId="11413" totalsRowDxfId="11412" dataCellStyle="Moneda">
      <calculatedColumnFormula>+K122/1.08*0.08</calculatedColumnFormula>
    </tableColumn>
    <tableColumn id="11" xr3:uid="{C0CAA993-47B5-4B07-9F1B-D0CC1FFDAE57}" name="CARTA " dataDxfId="11411" totalsRowDxfId="11410">
      <calculatedColumnFormula>+Tabla5557279288[[#This Row],[PRECIO SUGERIDO]]+Tabla5557279288[[#This Row],[ICO2]]</calculatedColumnFormula>
    </tableColumn>
    <tableColumn id="12" xr3:uid="{32231D2D-4833-49DD-8980-6002551E4348}" name="PRECIO N" dataDxfId="11409" totalsRowDxfId="11408" dataCellStyle="Moneda"/>
    <tableColumn id="13" xr3:uid="{920C528E-7122-4049-9CEF-A53C2FEE3905}" name="ICO 8%2" dataDxfId="11407" totalsRowDxfId="11406" dataCellStyle="Moneda">
      <calculatedColumnFormula>+N122/1.08*0.08</calculatedColumnFormula>
    </tableColumn>
    <tableColumn id="14" xr3:uid="{34B96700-E59A-4571-A449-63CACB2E1F3B}" name="CARTA" dataDxfId="11405" totalsRowDxfId="11404" dataCellStyle="Moneda">
      <calculatedColumnFormula>+N122-O122</calculatedColumnFormula>
    </tableColumn>
    <tableColumn id="15" xr3:uid="{0895C4C6-8A93-42C7-B079-D8D6B42F8CCF}" name="% " dataDxfId="11403" totalsRowDxfId="11402" dataCellStyle="Porcentaje">
      <calculatedColumnFormula>+D122/P122</calculatedColumnFormula>
    </tableColumn>
    <tableColumn id="16" xr3:uid="{0940C3A8-5506-41E7-907E-C5B8EE47BBC5}" name="RATION" totalsRowFunction="sum" dataDxfId="11401" totalsRowDxfId="11400">
      <calculatedColumnFormula>+P122/D122</calculatedColumnFormula>
    </tableColumn>
    <tableColumn id="18" xr3:uid="{F030FB74-9307-4F1A-89AB-4CBE89213263}" name="Incremento 13%" dataDxfId="11399" totalsRowDxfId="11398">
      <calculatedColumnFormula>+Tabla5557279288[[#This Row],[VENTA]]*13%+Tabla5557279288[[#This Row],[VENTA]]</calculatedColumnFormula>
    </tableColumn>
    <tableColumn id="19" xr3:uid="{EA173BD3-E190-4A8B-9D70-027D8E039BBE}" name="Costo2" dataDxfId="11397" totalsRowDxfId="11396" dataCellStyle="Porcentaje">
      <calculatedColumnFormula>+Tabla5557279288[[#This Row],[COSTO]]/Tabla5557279288[[#This Row],[Incremento 13%]]</calculatedColumnFormula>
    </tableColumn>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21A9298F-CB51-493D-BC85-F4DE0DAF3833}" name="Tabla555727951527473113411318323331367368369289" displayName="Tabla555727951527473113411318323331367368369289" ref="B491:T496" totalsRowCount="1" headerRowDxfId="11395" dataDxfId="11394" totalsRowDxfId="11393" totalsRowBorderDxfId="11392">
  <autoFilter ref="B491:T495" xr:uid="{E4C43F18-E855-4A96-9F00-2C614C304526}"/>
  <sortState xmlns:xlrd2="http://schemas.microsoft.com/office/spreadsheetml/2017/richdata2" ref="B492:R495">
    <sortCondition descending="1" ref="J493:J495"/>
  </sortState>
  <tableColumns count="19">
    <tableColumn id="1" xr3:uid="{45D2B485-01F8-405E-8690-4F6FE2E403CB}" name="CAFES" totalsRowLabel="Total" dataDxfId="11391" totalsRowDxfId="11390"/>
    <tableColumn id="17" xr3:uid="{CD03E849-EE04-4E10-B343-33B6F5B3EBCA}" name="DESCRIPCION" dataDxfId="11389" totalsRowDxfId="11388"/>
    <tableColumn id="2" xr3:uid="{8535F8AF-3964-4D76-B29F-61E63D0198B2}" name="COSTO" dataDxfId="11387" totalsRowDxfId="11386" dataCellStyle="Moneda"/>
    <tableColumn id="3" xr3:uid="{C06AB330-5BB6-4CE6-B21A-4ED83567875B}" name="VENTA" dataDxfId="11385" totalsRowDxfId="11384" dataCellStyle="Moneda"/>
    <tableColumn id="4" xr3:uid="{6C46F011-9046-4778-8049-7B2F5D946832}" name="ICO 8%" dataDxfId="11383" totalsRowDxfId="11382" dataCellStyle="Moneda">
      <calculatedColumnFormula>+E492/1.08*0.08</calculatedColumnFormula>
    </tableColumn>
    <tableColumn id="5" xr3:uid="{BAE4F067-9A61-4121-A061-5FB66EC1CE8C}" name="BASE" dataDxfId="11381" totalsRowDxfId="11380" dataCellStyle="Moneda">
      <calculatedColumnFormula>+Tabla555727951527473113411318323331367368369289[[#This Row],[VENTA]]-Tabla555727951527473113411318323331367368369289[[#This Row],[ICO 8%]]</calculatedColumnFormula>
    </tableColumn>
    <tableColumn id="6" xr3:uid="{749A383F-8B56-449E-A0FB-C6247A09AD9A}" name="%" totalsRowFunction="average" dataDxfId="11379" totalsRowDxfId="11378" dataCellStyle="Porcentaje">
      <calculatedColumnFormula>+Tabla555727951527473113411318323331367368369289[[#This Row],[COSTO]]/Tabla555727951527473113411318323331367368369289[[#This Row],[BASE]]</calculatedColumnFormula>
    </tableColumn>
    <tableColumn id="7" xr3:uid="{D3DA562D-AB4C-4CDD-9384-3510E614AC54}" name="RENTABILIDAD" dataDxfId="11377" totalsRowDxfId="11376">
      <calculatedColumnFormula>+Tabla555727951527473113411318323331367368369289[[#This Row],[BASE]]/Tabla555727951527473113411318323331367368369289[[#This Row],[COSTO]]</calculatedColumnFormula>
    </tableColumn>
    <tableColumn id="8" xr3:uid="{F3A75561-073F-4F1C-9BAA-41D7A5434485}" name="ROTACION" dataDxfId="11375" totalsRowDxfId="11374">
      <calculatedColumnFormula>+VLOOKUP(Tabla555727951527473113411318323331367368369289[[#This Row],[CAFES]],#REF!,2,0)</calculatedColumnFormula>
    </tableColumn>
    <tableColumn id="9" xr3:uid="{73A504E4-9DE2-4870-9500-F2925D944992}" name="PRECIO SUGERIDO" dataDxfId="11373" totalsRowDxfId="11372" dataCellStyle="Moneda">
      <calculatedColumnFormula>+D492/(100-75)*100</calculatedColumnFormula>
    </tableColumn>
    <tableColumn id="10" xr3:uid="{79CC1465-5243-4A40-9E46-6524F594DA4A}" name="ICO2" dataDxfId="11371" totalsRowDxfId="11370" dataCellStyle="Moneda">
      <calculatedColumnFormula>+K492/1.08*0.08</calculatedColumnFormula>
    </tableColumn>
    <tableColumn id="11" xr3:uid="{10E86810-501E-440E-9D8F-600C845FAA02}" name="CARTA " dataDxfId="11369" totalsRowDxfId="11368">
      <calculatedColumnFormula>+Tabla555727951527473113411318323331367368369289[[#This Row],[PRECIO SUGERIDO]]+Tabla555727951527473113411318323331367368369289[[#This Row],[ICO2]]</calculatedColumnFormula>
    </tableColumn>
    <tableColumn id="12" xr3:uid="{1BBC5855-E400-4F2C-BC2C-FFA18DED7550}" name="PRECIO N" dataDxfId="11367" totalsRowDxfId="11366" dataCellStyle="Moneda"/>
    <tableColumn id="13" xr3:uid="{1FE58CF7-DFDB-4F20-B6C3-D5383DE1818C}" name="ICO 8%2" dataDxfId="11365" totalsRowDxfId="11364" dataCellStyle="Moneda">
      <calculatedColumnFormula>+N492/1.08*0.08</calculatedColumnFormula>
    </tableColumn>
    <tableColumn id="14" xr3:uid="{513A466B-C4E7-4321-9F28-077C9D797A7D}" name="CARTA" dataDxfId="11363" totalsRowDxfId="11362" dataCellStyle="Moneda">
      <calculatedColumnFormula>+N492-O492</calculatedColumnFormula>
    </tableColumn>
    <tableColumn id="15" xr3:uid="{9A21BB2B-41D3-456C-9AA9-7F2D893C0C29}" name="% " dataDxfId="11361" totalsRowDxfId="11360" dataCellStyle="Porcentaje">
      <calculatedColumnFormula>+D492/P492</calculatedColumnFormula>
    </tableColumn>
    <tableColumn id="16" xr3:uid="{045A3B67-5A33-4DFA-906E-1F78F9DBCE5A}" name="RATION" totalsRowFunction="sum" dataDxfId="11359" totalsRowDxfId="11358">
      <calculatedColumnFormula>+P492/D492</calculatedColumnFormula>
    </tableColumn>
    <tableColumn id="18" xr3:uid="{96ABECAD-E6C5-45AA-8525-035D4443C13E}" name="Incremento 13%" dataDxfId="11357" totalsRowDxfId="11356">
      <calculatedColumnFormula>+Tabla555727951527473113411318323331367368369289[[#This Row],[VENTA]]*13%+Tabla555727951527473113411318323331367368369289[[#This Row],[VENTA]]</calculatedColumnFormula>
    </tableColumn>
    <tableColumn id="19" xr3:uid="{F07C59D8-FEE7-45D6-BB6D-85DFCA28CF78}" name="Costo2" dataDxfId="11355" totalsRowDxfId="11354" dataCellStyle="Porcentaje">
      <calculatedColumnFormula>+D492/S492</calculatedColumnFormula>
    </tableColumn>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7109583C-A457-419D-A880-55B0F1395C24}" name="Tabla555727951527473113411318323331367368369289290" displayName="Tabla555727951527473113411318323331367368369289290" ref="B501:T505" totalsRowCount="1" headerRowDxfId="11353" dataDxfId="11352" totalsRowDxfId="11351" totalsRowBorderDxfId="11350">
  <autoFilter ref="B501:T504" xr:uid="{2741038C-0561-43E5-BFCC-D0879A20DDBD}"/>
  <tableColumns count="19">
    <tableColumn id="1" xr3:uid="{F02B170A-AE1F-46D7-8BA8-4187205DCF08}" name="AROMATICAS" totalsRowLabel="Total" dataDxfId="11349" totalsRowDxfId="11348"/>
    <tableColumn id="17" xr3:uid="{AD3AAD6B-614B-4FC1-9C6D-65EE42029984}" name="DESCRIPCION" dataDxfId="11347" totalsRowDxfId="11346"/>
    <tableColumn id="2" xr3:uid="{30A92AF7-9479-4187-AA2A-45BC7B644270}" name="COSTO" dataDxfId="11345" totalsRowDxfId="11344" dataCellStyle="Moneda"/>
    <tableColumn id="3" xr3:uid="{0DEAC4BA-AA23-4CF0-BD6E-B5C54FF09EA7}" name="VENTA" dataDxfId="11343" totalsRowDxfId="11342" dataCellStyle="Moneda"/>
    <tableColumn id="4" xr3:uid="{006CDDBB-C215-46BC-A831-11ED8BAF99E7}" name="ICO 8%" dataDxfId="11341" totalsRowDxfId="11340" dataCellStyle="Moneda">
      <calculatedColumnFormula>+E502/1.08*0.08</calculatedColumnFormula>
    </tableColumn>
    <tableColumn id="5" xr3:uid="{F80DA646-852B-46F3-AD41-70E6E481238B}" name="BASE" dataDxfId="11339" totalsRowDxfId="11338" dataCellStyle="Moneda">
      <calculatedColumnFormula>+Tabla555727951527473113411318323331367368369289290[[#This Row],[VENTA]]-Tabla555727951527473113411318323331367368369289290[[#This Row],[ICO 8%]]</calculatedColumnFormula>
    </tableColumn>
    <tableColumn id="6" xr3:uid="{8ACBB18D-8204-48E5-85D8-5ACDDACEDD49}" name="%" totalsRowFunction="average" dataDxfId="11337" totalsRowDxfId="11336" dataCellStyle="Porcentaje">
      <calculatedColumnFormula>+Tabla555727951527473113411318323331367368369289290[[#This Row],[COSTO]]/Tabla555727951527473113411318323331367368369289290[[#This Row],[BASE]]</calculatedColumnFormula>
    </tableColumn>
    <tableColumn id="7" xr3:uid="{B6A1E794-F7BA-4360-9CF4-4D98CCBB14C9}" name="RENTABILIDAD" dataDxfId="11335" totalsRowDxfId="11334">
      <calculatedColumnFormula>+Tabla555727951527473113411318323331367368369289290[[#This Row],[BASE]]/Tabla555727951527473113411318323331367368369289290[[#This Row],[COSTO]]</calculatedColumnFormula>
    </tableColumn>
    <tableColumn id="8" xr3:uid="{49671A39-E988-4A2D-BFEC-BE1B244EC313}" name="ROTACION" dataDxfId="11333" totalsRowDxfId="11332">
      <calculatedColumnFormula>+VLOOKUP(Tabla555727951527473113411318323331367368369289290[[#This Row],[AROMATICAS]],#REF!,2,0)</calculatedColumnFormula>
    </tableColumn>
    <tableColumn id="9" xr3:uid="{DC39DF52-8A3E-495C-B02D-1C84209D6C8C}" name="PRECIO SUGERIDO" dataDxfId="11331" totalsRowDxfId="11330" dataCellStyle="Moneda">
      <calculatedColumnFormula>+D502/(100-75)*100</calculatedColumnFormula>
    </tableColumn>
    <tableColumn id="10" xr3:uid="{29ACFA14-B7E5-4F36-B56B-8E9C64C22580}" name="ICO2" dataDxfId="11329" totalsRowDxfId="11328" dataCellStyle="Moneda">
      <calculatedColumnFormula>+K502/1.08*0.08</calculatedColumnFormula>
    </tableColumn>
    <tableColumn id="11" xr3:uid="{A6991E48-96E0-4A11-94E8-B613B37446AB}" name="CARTA " dataDxfId="11327" totalsRowDxfId="11326">
      <calculatedColumnFormula>+Tabla555727951527473113411318323331367368369289290[[#This Row],[PRECIO SUGERIDO]]+Tabla555727951527473113411318323331367368369289290[[#This Row],[ICO2]]</calculatedColumnFormula>
    </tableColumn>
    <tableColumn id="12" xr3:uid="{06D49050-8ED0-4EA6-815C-32833BCFE88F}" name="PRECIO N" dataDxfId="11325" totalsRowDxfId="11324" dataCellStyle="Moneda"/>
    <tableColumn id="13" xr3:uid="{DC1682FA-4CD5-4AFB-9828-154703D7F045}" name="ICO 8%2" dataDxfId="11323" totalsRowDxfId="11322" dataCellStyle="Moneda">
      <calculatedColumnFormula>+N502/1.08*0.08</calculatedColumnFormula>
    </tableColumn>
    <tableColumn id="14" xr3:uid="{F81B7912-5000-4ED9-8EDC-9FE196CF1485}" name="CARTA" dataDxfId="11321" totalsRowDxfId="11320" dataCellStyle="Moneda">
      <calculatedColumnFormula>+N502-O502</calculatedColumnFormula>
    </tableColumn>
    <tableColumn id="15" xr3:uid="{298DC037-6B0E-4E08-95A9-CC1D8704CD71}" name="% " dataDxfId="11319" totalsRowDxfId="11318" dataCellStyle="Porcentaje">
      <calculatedColumnFormula>+D502/P502</calculatedColumnFormula>
    </tableColumn>
    <tableColumn id="16" xr3:uid="{BB0BA68C-1FDF-4B4D-8FA0-9FE2CCDFC466}" name="RATION" totalsRowFunction="sum" dataDxfId="11317" totalsRowDxfId="11316">
      <calculatedColumnFormula>+P502/D502</calculatedColumnFormula>
    </tableColumn>
    <tableColumn id="18" xr3:uid="{B78D410F-8975-4D5F-BEED-462C33133712}" name="Incremento 13%" dataDxfId="11315" totalsRowDxfId="11314">
      <calculatedColumnFormula>+Tabla555727951527473113411318323331367368369289290[[#This Row],[VENTA]]*13%+Tabla555727951527473113411318323331367368369289290[[#This Row],[VENTA]]</calculatedColumnFormula>
    </tableColumn>
    <tableColumn id="19" xr3:uid="{D6FA5556-768C-47F4-A5E7-A0722CD918E7}" name="Costo2" dataDxfId="11313" totalsRowDxfId="11312" dataCellStyle="Porcentaje">
      <calculatedColumnFormula>+D502/S502</calculatedColumnFormula>
    </tableColumn>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8" xr:uid="{C1992D11-2D60-443A-9837-E055FFA1432A}" name="Tabla5557319" displayName="Tabla5557319" ref="B27:T33" totalsRowCount="1" headerRowDxfId="11311" dataDxfId="11309" totalsRowDxfId="11307" headerRowBorderDxfId="11310" tableBorderDxfId="11308" totalsRowBorderDxfId="11306">
  <autoFilter ref="B27:T32" xr:uid="{6B4F9306-30DE-4682-BFF7-FB2B856C92C3}"/>
  <sortState xmlns:xlrd2="http://schemas.microsoft.com/office/spreadsheetml/2017/richdata2" ref="B28:R29">
    <sortCondition descending="1" ref="J29"/>
  </sortState>
  <tableColumns count="19">
    <tableColumn id="1" xr3:uid="{9BF471E8-6499-4890-943F-1DE79AF023F2}" name="LOS ARREBATOS DEL CHEF" dataDxfId="11305" totalsRowDxfId="11304"/>
    <tableColumn id="17" xr3:uid="{856AAA4A-8360-4E9D-A191-040062FE6500}" name="DESCRIPCION" dataDxfId="11303" totalsRowDxfId="11302"/>
    <tableColumn id="2" xr3:uid="{76F26BE1-1306-448A-AE31-E616B5EB208C}" name="COSTO" dataDxfId="11301" totalsRowDxfId="11300" dataCellStyle="Moneda"/>
    <tableColumn id="3" xr3:uid="{9022541F-CFFC-4C03-A023-2CA42FD35763}" name="VENTA" dataDxfId="11299" totalsRowDxfId="11298" dataCellStyle="Moneda"/>
    <tableColumn id="4" xr3:uid="{E5292B4B-4E15-4862-AE5F-92CEE3AEF249}" name="ICO 8%" dataDxfId="11297" totalsRowDxfId="11296" dataCellStyle="Moneda">
      <calculatedColumnFormula>+E28/1.08*0.08</calculatedColumnFormula>
    </tableColumn>
    <tableColumn id="5" xr3:uid="{F54C95ED-919F-4289-B56E-D23419482678}" name="BASE" dataDxfId="11295" totalsRowDxfId="11294" dataCellStyle="Moneda">
      <calculatedColumnFormula>+Tabla5557319[[#This Row],[VENTA]]-Tabla5557319[[#This Row],[ICO 8%]]</calculatedColumnFormula>
    </tableColumn>
    <tableColumn id="6" xr3:uid="{D10907E5-E978-4E85-9A12-421BD418DFBA}" name="%" totalsRowFunction="average" dataDxfId="11293" totalsRowDxfId="11292" dataCellStyle="Porcentaje">
      <calculatedColumnFormula>+Tabla5557319[[#This Row],[COSTO]]/Tabla5557319[[#This Row],[BASE]]</calculatedColumnFormula>
    </tableColumn>
    <tableColumn id="7" xr3:uid="{9F1EC6B3-9784-4342-A908-ECB21DAF7809}" name="RENTABILIDAD" dataDxfId="11291" totalsRowDxfId="11290">
      <calculatedColumnFormula>+Tabla5557319[[#This Row],[BASE]]/Tabla5557319[[#This Row],[COSTO]]</calculatedColumnFormula>
    </tableColumn>
    <tableColumn id="8" xr3:uid="{4F590B29-5F4F-43B4-832E-4B2712E27A81}" name="ROTACION" totalsRowFunction="sum" dataDxfId="11289" totalsRowDxfId="11288">
      <calculatedColumnFormula>+VLOOKUP(Tabla5557319[[#This Row],[LOS ARREBATOS DEL CHEF]],#REF!,2,0)</calculatedColumnFormula>
    </tableColumn>
    <tableColumn id="9" xr3:uid="{72A404CB-A2CC-4E74-9FBA-85FCBB1A4138}" name="PRECIO SUGERIDO" dataDxfId="11287" totalsRowDxfId="11286" dataCellStyle="Moneda">
      <calculatedColumnFormula>+D28/(100-65)*100</calculatedColumnFormula>
    </tableColumn>
    <tableColumn id="10" xr3:uid="{F5AC2417-1782-4C90-93FD-72BC23C501DE}" name="ICO2" dataDxfId="11285" totalsRowDxfId="11284" dataCellStyle="Moneda">
      <calculatedColumnFormula>+K28/1.08*0.08</calculatedColumnFormula>
    </tableColumn>
    <tableColumn id="11" xr3:uid="{70600492-4454-4EAF-9D9D-41CF564496B5}" name="CARTA " dataDxfId="11283" totalsRowDxfId="11282">
      <calculatedColumnFormula>+Tabla5557319[[#This Row],[PRECIO SUGERIDO]]+Tabla5557319[[#This Row],[ICO2]]</calculatedColumnFormula>
    </tableColumn>
    <tableColumn id="12" xr3:uid="{D44F1F01-E1F6-43D8-A3AB-358FB5C202E9}" name="PRECIO N" dataDxfId="11281" totalsRowDxfId="11280" dataCellStyle="Moneda"/>
    <tableColumn id="13" xr3:uid="{42885F14-3BEA-4411-B862-6358C1B6840C}" name="ICO 8%2" dataDxfId="11279" totalsRowDxfId="11278" dataCellStyle="Moneda">
      <calculatedColumnFormula>+N28/1.08*0.08</calculatedColumnFormula>
    </tableColumn>
    <tableColumn id="14" xr3:uid="{07DCAC10-7835-4142-9B6B-A162964FB2C9}" name="CARTA" dataDxfId="11277" totalsRowDxfId="11276" dataCellStyle="Moneda">
      <calculatedColumnFormula>+N28-O28</calculatedColumnFormula>
    </tableColumn>
    <tableColumn id="15" xr3:uid="{5DF769A8-27BA-4553-86DA-3C6FFB4651B9}" name="% " dataDxfId="11275" totalsRowDxfId="11274" dataCellStyle="Porcentaje">
      <calculatedColumnFormula>+D28/P28</calculatedColumnFormula>
    </tableColumn>
    <tableColumn id="16" xr3:uid="{D9F1F259-7745-41DF-B043-FFA60E2D3B91}" name="RATION" totalsRowFunction="sum" dataDxfId="11273" totalsRowDxfId="11272">
      <calculatedColumnFormula>+P28/D28</calculatedColumnFormula>
    </tableColumn>
    <tableColumn id="18" xr3:uid="{1250BCF0-55F4-4865-AD4D-1182ADE25C50}" name="Incremento 13%" dataDxfId="11271" totalsRowDxfId="11270" dataCellStyle="Moneda">
      <calculatedColumnFormula>+Tabla5557319[[#This Row],[PRECIO N]]*13%+Tabla5557319[[#This Row],[PRECIO N]]</calculatedColumnFormula>
    </tableColumn>
    <tableColumn id="19" xr3:uid="{CB06B928-B2ED-46F1-B0D1-D1887E478D31}" name="Costo2" dataDxfId="11269" totalsRowDxfId="11268" dataCellStyle="Porcentaje">
      <calculatedColumnFormula>+Tabla5557319[[#This Row],[COSTO]]/Tabla5557319[[#This Row],[Incremento 13%]]</calculatedColumnFormula>
    </tableColumn>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9" xr:uid="{A09CEEE9-5DF0-4364-8C59-B1E3FD6EC14D}" name="Tabla555727951527473113410370" displayName="Tabla555727951527473113410370" ref="B400:T410" totalsRowCount="1" headerRowDxfId="11267" dataDxfId="11266" totalsRowDxfId="11265" totalsRowBorderDxfId="11264">
  <autoFilter ref="B400:T409" xr:uid="{56416A6F-1B09-4D30-BEDB-7EE0F8D9489F}"/>
  <sortState xmlns:xlrd2="http://schemas.microsoft.com/office/spreadsheetml/2017/richdata2" ref="B401:R409">
    <sortCondition ref="B403"/>
  </sortState>
  <tableColumns count="19">
    <tableColumn id="1" xr3:uid="{3B2CA30C-1D3B-4410-8028-9E778CFAC0B5}" name="VINO BLANCO" totalsRowLabel="Total" dataDxfId="11263" totalsRowDxfId="11262"/>
    <tableColumn id="17" xr3:uid="{6FD457A7-C57B-49F9-A372-3FD843F28A58}" name="DESCRIPCION" dataDxfId="11261" totalsRowDxfId="11260"/>
    <tableColumn id="2" xr3:uid="{B35BD71C-F2B3-464E-99DE-E5DD4C689EF7}" name="COSTO" dataDxfId="11259" totalsRowDxfId="11258" dataCellStyle="Moneda"/>
    <tableColumn id="3" xr3:uid="{81E39DE5-D9A9-4D1D-92DB-FD6F3E829E79}" name="VENTA" dataDxfId="11257" totalsRowDxfId="11256" dataCellStyle="Moneda"/>
    <tableColumn id="4" xr3:uid="{2F76445F-5E65-4023-AB20-A45313D5D52D}" name="ICO 8%" dataDxfId="11255" totalsRowDxfId="11254" dataCellStyle="Moneda">
      <calculatedColumnFormula>+E401/1.08*0.08</calculatedColumnFormula>
    </tableColumn>
    <tableColumn id="5" xr3:uid="{384EDB88-18BC-4E7E-AF55-B7024482E90A}" name="BASE" dataDxfId="11253" totalsRowDxfId="11252" dataCellStyle="Moneda">
      <calculatedColumnFormula>+Tabla555727951527473113410370[[#This Row],[VENTA]]-Tabla555727951527473113410370[[#This Row],[ICO 8%]]</calculatedColumnFormula>
    </tableColumn>
    <tableColumn id="6" xr3:uid="{6EC6D06F-15B8-4EA7-A70C-E0F3F8E07EC7}" name="%" totalsRowFunction="average" dataDxfId="11251" totalsRowDxfId="11250" dataCellStyle="Porcentaje">
      <calculatedColumnFormula>+Tabla555727951527473113410370[[#This Row],[COSTO]]/Tabla555727951527473113410370[[#This Row],[BASE]]</calculatedColumnFormula>
    </tableColumn>
    <tableColumn id="7" xr3:uid="{CCA8D285-D379-4D0D-824B-2F1FED9FD4D4}" name="RENTABILIDAD" dataDxfId="11249" totalsRowDxfId="11248">
      <calculatedColumnFormula>+Tabla555727951527473113410370[[#This Row],[BASE]]/Tabla555727951527473113410370[[#This Row],[COSTO]]</calculatedColumnFormula>
    </tableColumn>
    <tableColumn id="8" xr3:uid="{5CDC3C1E-474D-4C6F-872E-FBCE5B102286}" name="ROTACION" dataDxfId="11247" totalsRowDxfId="11246">
      <calculatedColumnFormula>+VLOOKUP(Tabla555727951527473113410370[[#This Row],[VINO BLANCO]],#REF!,2,0)</calculatedColumnFormula>
    </tableColumn>
    <tableColumn id="9" xr3:uid="{BC415481-8157-4E2C-A759-7F991325666C}" name="PRECIO SUGERIDO" dataDxfId="11245" totalsRowDxfId="11244" dataCellStyle="Moneda">
      <calculatedColumnFormula>+D401/(100-75)*100</calculatedColumnFormula>
    </tableColumn>
    <tableColumn id="10" xr3:uid="{18CDA98C-F021-4E24-A535-2A665158CB1D}" name="ICO2" dataDxfId="11243" totalsRowDxfId="11242" dataCellStyle="Moneda">
      <calculatedColumnFormula>+K401/1.08*0.08</calculatedColumnFormula>
    </tableColumn>
    <tableColumn id="11" xr3:uid="{4119AB10-7657-4901-916B-09F30F0B15DA}" name="CARTA " dataDxfId="11241" totalsRowDxfId="11240">
      <calculatedColumnFormula>+Tabla555727951527473113410370[[#This Row],[PRECIO SUGERIDO]]+Tabla555727951527473113410370[[#This Row],[ICO2]]</calculatedColumnFormula>
    </tableColumn>
    <tableColumn id="12" xr3:uid="{EE697137-BAFC-45FC-BA2B-F504101D5D91}" name="PRECIO N" dataDxfId="11239" totalsRowDxfId="11238" dataCellStyle="Moneda"/>
    <tableColumn id="13" xr3:uid="{0CD72CB6-ACF0-4BCC-8135-11365D1CBBB4}" name="ICO 8%2" dataDxfId="11237" totalsRowDxfId="11236" dataCellStyle="Moneda">
      <calculatedColumnFormula>+N401/1.08*0.08</calculatedColumnFormula>
    </tableColumn>
    <tableColumn id="14" xr3:uid="{FC231378-272A-48D7-AE10-BD008BEF57D7}" name="CARTA" dataDxfId="11235" totalsRowDxfId="11234" dataCellStyle="Moneda">
      <calculatedColumnFormula>+N401-O401</calculatedColumnFormula>
    </tableColumn>
    <tableColumn id="15" xr3:uid="{41D44841-4EF2-404E-895B-7820F0E843C7}" name="% " dataDxfId="11233" totalsRowDxfId="11232" dataCellStyle="Porcentaje">
      <calculatedColumnFormula>+D401/P401</calculatedColumnFormula>
    </tableColumn>
    <tableColumn id="16" xr3:uid="{23E959D0-8EE9-44DE-A44F-2D2E2470C09D}" name="RATION" totalsRowFunction="sum" dataDxfId="11231" totalsRowDxfId="11230">
      <calculatedColumnFormula>+P401/D401</calculatedColumnFormula>
    </tableColumn>
    <tableColumn id="18" xr3:uid="{796D2F97-659A-4C17-A96B-7C9F874E17FB}" name="Incremento 13%" dataDxfId="11229" totalsRowDxfId="11228">
      <calculatedColumnFormula>+Tabla555727951527473113410370[[#This Row],[VENTA]]*13%+Tabla555727951527473113410370[[#This Row],[VENTA]]</calculatedColumnFormula>
    </tableColumn>
    <tableColumn id="19" xr3:uid="{1DDD638F-0D7A-44FC-936D-29B79A5EF7B5}" name="Costo2" dataDxfId="11227" totalsRowDxfId="11226" dataCellStyle="Porcentaje">
      <calculatedColumnFormula>+D401/S401</calculatedColumnFormula>
    </tableColumn>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9" xr:uid="{EBFDEE4F-6694-43F7-915A-0C9AC2B6077F}" name="Tabla5557279515274450" displayName="Tabla5557279515274450" ref="B218:T234" totalsRowCount="1" headerRowDxfId="11225" dataDxfId="11224" totalsRowDxfId="11223" totalsRowBorderDxfId="11222">
  <autoFilter ref="B218:T233" xr:uid="{1F422FFA-736F-4D32-A093-594C25757C9E}">
    <filterColumn colId="0">
      <filters>
        <filter val="SUBLIME"/>
      </filters>
    </filterColumn>
  </autoFilter>
  <sortState xmlns:xlrd2="http://schemas.microsoft.com/office/spreadsheetml/2017/richdata2" ref="B219:R226">
    <sortCondition descending="1" ref="J222:J226"/>
  </sortState>
  <tableColumns count="19">
    <tableColumn id="1" xr3:uid="{DBA4A9E4-7EAE-4F8B-9738-D5D8B041FFC3}" name="COCTELES MALANGA" totalsRowLabel="Total" dataDxfId="11221" totalsRowDxfId="11220"/>
    <tableColumn id="17" xr3:uid="{A1A5A728-F7D8-46FC-A77B-2B7AF0DDA7FF}" name="DESCRIPCION" dataDxfId="11219" totalsRowDxfId="11218"/>
    <tableColumn id="2" xr3:uid="{D2BB8CB8-E5BD-49B2-959F-1C9E1DA017F7}" name="COSTO" dataDxfId="11217" totalsRowDxfId="11216" dataCellStyle="Moneda"/>
    <tableColumn id="3" xr3:uid="{68A3DA69-4ED0-4D89-AD54-B865085393E5}" name="VENTA" dataDxfId="11215" totalsRowDxfId="11214" dataCellStyle="Moneda"/>
    <tableColumn id="4" xr3:uid="{3AB1AA52-E506-40F5-A362-84D3142FCF84}" name="ICO 8%" dataDxfId="11213" totalsRowDxfId="11212" dataCellStyle="Moneda">
      <calculatedColumnFormula>+E219/1.08*0.08</calculatedColumnFormula>
    </tableColumn>
    <tableColumn id="5" xr3:uid="{7719B964-8779-43C7-9119-9A0337062886}" name="BASE" dataDxfId="11211" totalsRowDxfId="11210" dataCellStyle="Moneda">
      <calculatedColumnFormula>+Tabla5557279515274450[[#This Row],[VENTA]]-Tabla5557279515274450[[#This Row],[ICO 8%]]</calculatedColumnFormula>
    </tableColumn>
    <tableColumn id="6" xr3:uid="{79455420-3CC6-4410-A138-859E89A7D5B7}" name="%" totalsRowFunction="average" dataDxfId="11209" totalsRowDxfId="11208" dataCellStyle="Porcentaje">
      <calculatedColumnFormula>+Tabla5557279515274450[[#This Row],[COSTO]]/Tabla5557279515274450[[#This Row],[BASE]]</calculatedColumnFormula>
    </tableColumn>
    <tableColumn id="7" xr3:uid="{BB52F42C-46AE-49E5-BD5D-0D8A6615057E}" name="RENTABILIDAD" dataDxfId="11207" totalsRowDxfId="11206">
      <calculatedColumnFormula>+Tabla5557279515274450[[#This Row],[BASE]]/Tabla5557279515274450[[#This Row],[COSTO]]</calculatedColumnFormula>
    </tableColumn>
    <tableColumn id="8" xr3:uid="{FAD098A7-C4F9-43F7-BDE3-D07F5EF6351B}" name="ROTACION" totalsRowFunction="sum" dataDxfId="11205" totalsRowDxfId="11204">
      <calculatedColumnFormula>+VLOOKUP(Tabla5557279515274450[[#This Row],[COCTELES MALANGA]],#REF!,2,0)</calculatedColumnFormula>
    </tableColumn>
    <tableColumn id="9" xr3:uid="{4A8E7532-4152-4395-8CE1-47B44716D678}" name="PRECIO SUGERIDO" dataDxfId="11203" totalsRowDxfId="11202" dataCellStyle="Moneda">
      <calculatedColumnFormula>+D219/(100-65)*100</calculatedColumnFormula>
    </tableColumn>
    <tableColumn id="10" xr3:uid="{15E40AAC-2C0B-46B1-A5D5-52E442A41903}" name="ICO2" dataDxfId="11201" totalsRowDxfId="11200" dataCellStyle="Moneda">
      <calculatedColumnFormula>+K219/1.08*0.08</calculatedColumnFormula>
    </tableColumn>
    <tableColumn id="11" xr3:uid="{30BAEF96-0970-49D9-BD67-6962988EFCAC}" name="CARTA " dataDxfId="11199" totalsRowDxfId="11198">
      <calculatedColumnFormula>+Tabla5557279515274450[[#This Row],[PRECIO SUGERIDO]]+Tabla5557279515274450[[#This Row],[ICO2]]</calculatedColumnFormula>
    </tableColumn>
    <tableColumn id="12" xr3:uid="{39143CC7-C4E7-4698-9CFD-60537D7386CA}" name="PRECIO N" dataDxfId="11197" totalsRowDxfId="11196" dataCellStyle="Moneda"/>
    <tableColumn id="13" xr3:uid="{968D6EE7-CFAD-481C-B1F8-8523CC63B7F0}" name="ICO 8%2" dataDxfId="11195" totalsRowDxfId="11194" dataCellStyle="Moneda">
      <calculatedColumnFormula>+N219/1.08*0.08</calculatedColumnFormula>
    </tableColumn>
    <tableColumn id="14" xr3:uid="{03A3A058-1160-45F1-9D6F-FED11982367A}" name="CARTA" dataDxfId="11193" totalsRowDxfId="11192" dataCellStyle="Moneda">
      <calculatedColumnFormula>+N219-O219</calculatedColumnFormula>
    </tableColumn>
    <tableColumn id="15" xr3:uid="{94C05434-A9FE-42F3-AEAF-6B1E4EFE69DA}" name="% " dataDxfId="11191" totalsRowDxfId="11190" dataCellStyle="Porcentaje">
      <calculatedColumnFormula>+D219/P219</calculatedColumnFormula>
    </tableColumn>
    <tableColumn id="16" xr3:uid="{37557483-5354-47BD-BE48-1277395B9F27}" name="RATION" totalsRowFunction="sum" dataDxfId="11189" totalsRowDxfId="11188">
      <calculatedColumnFormula>+P219/D219</calculatedColumnFormula>
    </tableColumn>
    <tableColumn id="18" xr3:uid="{77F34469-1E3E-442C-9D89-0B0C28539344}" name="Incremento 13%" dataDxfId="11187" totalsRowDxfId="11186">
      <calculatedColumnFormula>+Tabla5557279515274450[[#This Row],[VENTA]]*13%+Tabla5557279515274450[[#This Row],[VENTA]]</calculatedColumnFormula>
    </tableColumn>
    <tableColumn id="19" xr3:uid="{E058909D-4783-415E-9DF4-42091EAF5353}" name="Costo2" dataDxfId="11185" totalsRowDxfId="11184" dataCellStyle="Porcentaje">
      <calculatedColumnFormula>+D219/S219</calculatedColumnFormula>
    </tableColumn>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73837B6A-A5F0-480B-93B8-AC691CC47052}" name="Tabla1103453454455456479116117118120740126148156186" displayName="Tabla1103453454455456479116117118120740126148156186" ref="B8:H23" totalsRowCount="1" headerRowDxfId="1937" dataDxfId="1935" totalsRowDxfId="1936" headerRowBorderDxfId="9804" tableBorderDxfId="9803" totalsRowBorderDxfId="9802">
  <autoFilter ref="B8:H22" xr:uid="{73837B6A-A5F0-480B-93B8-AC691CC47052}"/>
  <sortState xmlns:xlrd2="http://schemas.microsoft.com/office/spreadsheetml/2017/richdata2" ref="B9:H9">
    <sortCondition descending="1" ref="H109:H125"/>
  </sortState>
  <tableColumns count="7">
    <tableColumn id="2" xr3:uid="{6F0E372C-2D9D-46CD-B31C-261F860862E7}" name="ArtÃ­culo" dataDxfId="1951" totalsRowDxfId="1950"/>
    <tableColumn id="3" xr3:uid="{D7A1A5C8-9427-454C-B569-9E5495FFFAB7}" name="Unidad Medida" dataDxfId="1949" totalsRowDxfId="1948"/>
    <tableColumn id="4" xr3:uid="{1224C304-52D0-4EFB-8377-8D7D3789150F}" name="Unidades Netas" dataDxfId="1947" totalsRowDxfId="1946"/>
    <tableColumn id="1" xr3:uid="{4900DFB1-870C-4A25-94E5-BF2DE1D3209A}" name="% Merma" dataDxfId="1945" totalsRowDxfId="1944"/>
    <tableColumn id="7" xr3:uid="{25FE28E0-4E1D-4FCE-8E50-2D1891381D2A}" name="Unidades" dataDxfId="1943" totalsRowDxfId="1942"/>
    <tableColumn id="5" xr3:uid="{15FF7634-251A-47E6-94E2-F7754CE644B1}" name="Coste Componente" dataDxfId="1941" totalsRowDxfId="1940" dataCellStyle="Moneda">
      <calculatedColumnFormula>+VLOOKUP(Tabla1103453454455456479116117118120740126148156186[[#This Row],[ArtÃ­culo]],Tabla34[#All],3,0)</calculatedColumnFormula>
    </tableColumn>
    <tableColumn id="6" xr3:uid="{6EF9A559-98EA-4C3D-B4BA-CAF750097796}" name="Coste LÃ­nea" totalsRowFunction="sum" dataDxfId="1939" totalsRowDxfId="1938" dataCellStyle="Moneda">
      <calculatedColumnFormula>+Tabla1103453454455456479116117118120740126148156186[[#This Row],[Coste Componente]]*Tabla1103453454455456479116117118120740126148156186[[#This Row],[Unidades]]</calculatedColumnFormula>
    </tableColumn>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61A0D7E5-4F92-4D62-ADCB-EAAE6EF33120}" name="Tabla1103453454455456479116117118120740126148156186184" displayName="Tabla1103453454455456479116117118120740126148156186184" ref="B27:H30" totalsRowCount="1" headerRowDxfId="1920" dataDxfId="1918" totalsRowDxfId="1919" headerRowBorderDxfId="9801" tableBorderDxfId="9800" totalsRowBorderDxfId="9799">
  <autoFilter ref="B27:H29" xr:uid="{61A0D7E5-4F92-4D62-ADCB-EAAE6EF33120}"/>
  <sortState xmlns:xlrd2="http://schemas.microsoft.com/office/spreadsheetml/2017/richdata2" ref="B28:H28">
    <sortCondition descending="1" ref="H109:H125"/>
  </sortState>
  <tableColumns count="7">
    <tableColumn id="2" xr3:uid="{4AC43997-A6CB-45DB-BC3E-1235B8CC6BBB}" name="ArtÃ­culo" dataDxfId="1934" totalsRowDxfId="1933"/>
    <tableColumn id="3" xr3:uid="{D5053716-AC09-4954-9B51-F8B1372841C8}" name="Unidad Medida" dataDxfId="1932" totalsRowDxfId="1931"/>
    <tableColumn id="4" xr3:uid="{01490ED1-64F1-41A0-A1B8-4DD052ECCEE1}" name="Unidades Netas" dataDxfId="1930" totalsRowDxfId="1929"/>
    <tableColumn id="1" xr3:uid="{FBEC3C03-24BB-4533-AD50-CA14E1C49594}" name="% Merma" dataDxfId="1928" totalsRowDxfId="1927"/>
    <tableColumn id="7" xr3:uid="{2DA8D7B4-477B-4881-8DE7-6199A22ED42E}" name="Unidades" dataDxfId="1926" totalsRowDxfId="1925"/>
    <tableColumn id="5" xr3:uid="{2C7411FB-3B5F-4552-8C6D-6E3938B99F31}" name="Coste Componente" dataDxfId="1924" totalsRowDxfId="1923" dataCellStyle="Moneda">
      <calculatedColumnFormula>+VLOOKUP(Tabla1103453454455456479116117118120740126148156186184[[#This Row],[ArtÃ­culo]],Tabla34[#All],3,0)</calculatedColumnFormula>
    </tableColumn>
    <tableColumn id="6" xr3:uid="{513F10B7-6EB5-45DD-81CA-89AFD1A723D1}" name="Coste LÃ­nea" totalsRowFunction="sum" dataDxfId="1922" totalsRowDxfId="1921" dataCellStyle="Moneda">
      <calculatedColumnFormula>+Tabla1103453454455456479116117118120740126148156186184[[#This Row],[Coste Componente]]*Tabla1103453454455456479116117118120740126148156186184[[#This Row],[Unidades]]</calculatedColumnFormula>
    </tableColumn>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DFED3E6-7DC4-4E4A-8D00-67664BD80327}" name="Tabla1103453454455456479116117118120740126148156186185" displayName="Tabla1103453454455456479116117118120740126148156186185" ref="B34:H41" totalsRowCount="1" headerRowDxfId="1903" dataDxfId="1901" totalsRowDxfId="1902" headerRowBorderDxfId="9798" tableBorderDxfId="9797" totalsRowBorderDxfId="9796">
  <autoFilter ref="B34:H40" xr:uid="{9DFED3E6-7DC4-4E4A-8D00-67664BD80327}"/>
  <sortState xmlns:xlrd2="http://schemas.microsoft.com/office/spreadsheetml/2017/richdata2" ref="B35:H35">
    <sortCondition descending="1" ref="H107:H123"/>
  </sortState>
  <tableColumns count="7">
    <tableColumn id="2" xr3:uid="{BF67DFB2-658A-4A0D-B207-063B04C31900}" name="ArtÃ­culo" dataDxfId="1917" totalsRowDxfId="1916"/>
    <tableColumn id="3" xr3:uid="{819CF3E5-D7F7-42C0-B328-BBCDE01646CD}" name="Unidad Medida" dataDxfId="1915" totalsRowDxfId="1914"/>
    <tableColumn id="4" xr3:uid="{EABAA6C4-E860-46F8-9E0D-3CC89E1642F5}" name="Unidades Netas" dataDxfId="1913" totalsRowDxfId="1912"/>
    <tableColumn id="1" xr3:uid="{14B6A92D-FF51-4753-A1FC-86DA5B4FFB79}" name="% Merma" dataDxfId="1911" totalsRowDxfId="1910"/>
    <tableColumn id="7" xr3:uid="{F3FEF4BC-DC8F-4244-BF38-630AC6534DF7}" name="Unidades" dataDxfId="1909" totalsRowDxfId="1908"/>
    <tableColumn id="5" xr3:uid="{77A35042-571B-4D4D-865C-540A6D41C93E}" name="Coste Componente" dataDxfId="1907" totalsRowDxfId="1906" dataCellStyle="Moneda">
      <calculatedColumnFormula>+VLOOKUP(Tabla1103453454455456479116117118120740126148156186185[[#This Row],[ArtÃ­culo]],Tabla34[#All],3,0)</calculatedColumnFormula>
    </tableColumn>
    <tableColumn id="6" xr3:uid="{2B1317AC-7EE7-4104-BF0D-9A2C2553AA5B}" name="Coste LÃ­nea" totalsRowFunction="sum" dataDxfId="1905" totalsRowDxfId="1904" dataCellStyle="Moneda">
      <calculatedColumnFormula>+Tabla1103453454455456479116117118120740126148156186185[[#This Row],[Coste Componente]]*Tabla1103453454455456479116117118120740126148156186185[[#This Row],[Unidades]]</calculatedColumnFormula>
    </tableColumn>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0C2D9DAC-578C-4897-A680-804803881957}" name="Tabla1103453454455456479116117118120740126148156186227" displayName="Tabla1103453454455456479116117118120740126148156186227" ref="B44:H51" totalsRowCount="1" headerRowDxfId="1886" dataDxfId="1884" totalsRowDxfId="1885" headerRowBorderDxfId="9795" tableBorderDxfId="9794" totalsRowBorderDxfId="9793">
  <autoFilter ref="B44:H50" xr:uid="{0C2D9DAC-578C-4897-A680-804803881957}"/>
  <sortState xmlns:xlrd2="http://schemas.microsoft.com/office/spreadsheetml/2017/richdata2" ref="B45:H45">
    <sortCondition descending="1" ref="H105:H121"/>
  </sortState>
  <tableColumns count="7">
    <tableColumn id="2" xr3:uid="{0053243C-275D-44FD-ACF8-B0D1EC8FE724}" name="ArtÃ­culo" dataDxfId="1900" totalsRowDxfId="1899"/>
    <tableColumn id="3" xr3:uid="{AA1B9228-E23C-44F0-8A14-8694C5D5F222}" name="Unidad Medida" dataDxfId="1898" totalsRowDxfId="1897"/>
    <tableColumn id="4" xr3:uid="{AA7FF19B-5CEE-440D-85FD-DF993B187BD0}" name="Unidades Netas" dataDxfId="1896" totalsRowDxfId="1895"/>
    <tableColumn id="1" xr3:uid="{8B708747-F0A0-43EA-AF18-EE5608D9C52D}" name="% Merma" dataDxfId="1894" totalsRowDxfId="1893"/>
    <tableColumn id="7" xr3:uid="{825D0391-1747-4DE0-880D-213B9C6306CB}" name="Unidades" dataDxfId="1892" totalsRowDxfId="1891"/>
    <tableColumn id="5" xr3:uid="{7E7AC1BB-2E7B-4566-B13D-FF525DBC6CC0}" name="Coste Componente" dataDxfId="1890" totalsRowDxfId="1889" dataCellStyle="Moneda">
      <calculatedColumnFormula>+VLOOKUP(Tabla1103453454455456479116117118120740126148156186227[[#This Row],[ArtÃ­culo]],Tabla34[#All],3,0)</calculatedColumnFormula>
    </tableColumn>
    <tableColumn id="6" xr3:uid="{9315D541-2A9F-41A5-A634-A01BEE94DB58}" name="Coste LÃ­nea" totalsRowFunction="sum" dataDxfId="1888" totalsRowDxfId="1887" dataCellStyle="Moneda">
      <calculatedColumnFormula>+Tabla1103453454455456479116117118120740126148156186227[[#This Row],[Coste Componente]]*Tabla1103453454455456479116117118120740126148156186227[[#This Row],[Unidades]]</calculatedColumnFormula>
    </tableColumn>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D1E2F307-D96A-4403-8F9C-B891941C15F7}" name="Tabla1103453454455456479116117118120740126148156186243" displayName="Tabla1103453454455456479116117118120740126148156186243" ref="B54:H58" totalsRowCount="1" headerRowDxfId="1869" dataDxfId="1867" totalsRowDxfId="1868" headerRowBorderDxfId="9792" tableBorderDxfId="9791" totalsRowBorderDxfId="9790">
  <autoFilter ref="B54:H57" xr:uid="{D1E2F307-D96A-4403-8F9C-B891941C15F7}"/>
  <sortState xmlns:xlrd2="http://schemas.microsoft.com/office/spreadsheetml/2017/richdata2" ref="B55:H55">
    <sortCondition descending="1" ref="H100:H116"/>
  </sortState>
  <tableColumns count="7">
    <tableColumn id="2" xr3:uid="{6B510F44-94C0-446A-8DBC-89CC76B1E0E4}" name="ArtÃ­culo" dataDxfId="1883" totalsRowDxfId="1882"/>
    <tableColumn id="3" xr3:uid="{B377E588-FAE4-41F7-B8ED-1887272FB94D}" name="Unidad Medida" dataDxfId="1881" totalsRowDxfId="1880"/>
    <tableColumn id="4" xr3:uid="{2770D613-A83D-4EF9-A6FC-D59F1B50BA90}" name="Unidades Netas" dataDxfId="1879" totalsRowDxfId="1878"/>
    <tableColumn id="1" xr3:uid="{7E855074-0445-4AAC-B47F-6566ED91704B}" name="% Merma" dataDxfId="1877" totalsRowDxfId="1876"/>
    <tableColumn id="7" xr3:uid="{39A5DED0-2414-4848-A632-5F1600B6C9BB}" name="Unidades" dataDxfId="1875" totalsRowDxfId="1874"/>
    <tableColumn id="5" xr3:uid="{B3D1045C-E4C2-4194-937F-9DD00A962963}" name="Coste Componente" dataDxfId="1873" totalsRowDxfId="1872" dataCellStyle="Moneda">
      <calculatedColumnFormula>+VLOOKUP(Tabla1103453454455456479116117118120740126148156186243[[#This Row],[ArtÃ­culo]],Tabla34[#All],3,0)</calculatedColumnFormula>
    </tableColumn>
    <tableColumn id="6" xr3:uid="{E9667460-788F-4486-B2FF-C80FF9EDF366}" name="Coste LÃ­nea" totalsRowFunction="sum" dataDxfId="1871" totalsRowDxfId="1870" dataCellStyle="Moneda">
      <calculatedColumnFormula>+Tabla1103453454455456479116117118120740126148156186243[[#This Row],[Coste Componente]]*Tabla1103453454455456479116117118120740126148156186243[[#This Row],[Unidades]]</calculatedColumnFormula>
    </tableColumn>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2CB4395F-A6DD-42FB-BB58-FD01F3944826}" name="Tabla1103453454455456479116117118120740126148156186246" displayName="Tabla1103453454455456479116117118120740126148156186246" ref="B62:H68" totalsRowCount="1" headerRowDxfId="1852" dataDxfId="1850" totalsRowDxfId="1851" headerRowBorderDxfId="9789" tableBorderDxfId="9788" totalsRowBorderDxfId="9787">
  <autoFilter ref="B62:H67" xr:uid="{2CB4395F-A6DD-42FB-BB58-FD01F3944826}"/>
  <sortState xmlns:xlrd2="http://schemas.microsoft.com/office/spreadsheetml/2017/richdata2" ref="B63:H63">
    <sortCondition descending="1" ref="H97:H113"/>
  </sortState>
  <tableColumns count="7">
    <tableColumn id="2" xr3:uid="{BBA30B0C-3646-4D67-AC79-0819A8E2C72A}" name="ArtÃ­culo" dataDxfId="1866" totalsRowDxfId="1865"/>
    <tableColumn id="3" xr3:uid="{22118EAC-B11D-4F68-8084-6B874D17B0F6}" name="Unidad Medida" dataDxfId="1864" totalsRowDxfId="1863"/>
    <tableColumn id="4" xr3:uid="{A2226D63-4A78-4399-BC7D-6276B322E001}" name="Unidades Netas" dataDxfId="1862" totalsRowDxfId="1861"/>
    <tableColumn id="1" xr3:uid="{C6FEFB75-792E-4909-B34E-E74B5AA5DEA4}" name="% Merma" dataDxfId="1860" totalsRowDxfId="1859"/>
    <tableColumn id="7" xr3:uid="{C529F41A-F1CB-4088-9C84-A052B0D12316}" name="Unidades" dataDxfId="1858" totalsRowDxfId="1857"/>
    <tableColumn id="5" xr3:uid="{A6B37ECC-EF1E-4048-8C77-94C824393C32}" name="Coste Componente" dataDxfId="1856" totalsRowDxfId="1855" dataCellStyle="Moneda">
      <calculatedColumnFormula>+VLOOKUP(Tabla1103453454455456479116117118120740126148156186246[[#This Row],[ArtÃ­culo]],Tabla34[#All],3,0)</calculatedColumnFormula>
    </tableColumn>
    <tableColumn id="6" xr3:uid="{76E436DF-FCE7-4AA1-AC6C-2131DBD601E7}" name="Coste LÃ­nea" totalsRowFunction="sum" dataDxfId="1854" totalsRowDxfId="1853" dataCellStyle="Moneda">
      <calculatedColumnFormula>+Tabla1103453454455456479116117118120740126148156186246[[#This Row],[Coste Componente]]*Tabla1103453454455456479116117118120740126148156186246[[#This Row],[Unidades]]</calculatedColumnFormula>
    </tableColumn>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8" xr:uid="{27293241-5EC8-4492-9046-34CAC6F20AB9}" name="Tabla1103453454455456479116117118120740126148156186249" displayName="Tabla1103453454455456479116117118120740126148156186249" ref="B72:H77" totalsRowCount="1" headerRowDxfId="1835" dataDxfId="1833" totalsRowDxfId="1834" headerRowBorderDxfId="9786" tableBorderDxfId="9785" totalsRowBorderDxfId="9784">
  <autoFilter ref="B72:H76" xr:uid="{27293241-5EC8-4492-9046-34CAC6F20AB9}"/>
  <sortState xmlns:xlrd2="http://schemas.microsoft.com/office/spreadsheetml/2017/richdata2" ref="B73:H73">
    <sortCondition descending="1" ref="H93:H109"/>
  </sortState>
  <tableColumns count="7">
    <tableColumn id="2" xr3:uid="{E2F93CD5-8D59-4FCF-BDD1-E647C325EB5B}" name="ArtÃ­culo" dataDxfId="1849" totalsRowDxfId="1848"/>
    <tableColumn id="3" xr3:uid="{F50AC1AD-2489-45D9-9620-F463D4213D6D}" name="Unidad Medida" dataDxfId="1847" totalsRowDxfId="1846"/>
    <tableColumn id="4" xr3:uid="{6104ACDE-BC10-4CD3-84BA-30B2B1D0C71F}" name="Unidades Netas" dataDxfId="1845" totalsRowDxfId="1844"/>
    <tableColumn id="1" xr3:uid="{8D78792E-847A-4CF3-90E9-45043F8681B8}" name="% Merma" dataDxfId="1843" totalsRowDxfId="1842"/>
    <tableColumn id="7" xr3:uid="{7EDF62FC-5AC0-4223-9C97-9F59006FC930}" name="Unidades" dataDxfId="1841" totalsRowDxfId="1840"/>
    <tableColumn id="5" xr3:uid="{0E11350F-256C-4F42-A53E-6533146BA930}" name="Coste Componente" dataDxfId="1839" totalsRowDxfId="1838" dataCellStyle="Moneda">
      <calculatedColumnFormula>+VLOOKUP(Tabla1103453454455456479116117118120740126148156186249[[#This Row],[ArtÃ­culo]],Tabla34[#All],3,0)</calculatedColumnFormula>
    </tableColumn>
    <tableColumn id="6" xr3:uid="{BCE4490B-38A6-4452-AFAB-898F0C4AB954}" name="Coste LÃ­nea" totalsRowFunction="sum" dataDxfId="1837" totalsRowDxfId="1836" dataCellStyle="Moneda">
      <calculatedColumnFormula>+Tabla1103453454455456479116117118120740126148156186249[[#This Row],[Coste Componente]]*Tabla1103453454455456479116117118120740126148156186249[[#This Row],[Unidades]]</calculatedColumnFormula>
    </tableColumn>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0" xr:uid="{E42AA044-1B28-4D1A-93B3-40964C6AD587}" name="Tabla1103453454455456479116117118120740126148156186251" displayName="Tabla1103453454455456479116117118120740126148156186251" ref="B81:H94" totalsRowCount="1" headerRowDxfId="1818" dataDxfId="1816" totalsRowDxfId="1817" headerRowBorderDxfId="9783" tableBorderDxfId="9782" totalsRowBorderDxfId="9781">
  <autoFilter ref="B81:H93" xr:uid="{E42AA044-1B28-4D1A-93B3-40964C6AD587}"/>
  <sortState xmlns:xlrd2="http://schemas.microsoft.com/office/spreadsheetml/2017/richdata2" ref="B82:H82">
    <sortCondition descending="1" ref="H93:H109"/>
  </sortState>
  <tableColumns count="7">
    <tableColumn id="2" xr3:uid="{A07746C0-CCD9-4540-B146-69282114C2B9}" name="ArtÃ­culo" dataDxfId="1832" totalsRowDxfId="1831"/>
    <tableColumn id="3" xr3:uid="{D5A5B136-D261-41FA-82E0-5B48FBA599EE}" name="Unidad Medida" dataDxfId="1830" totalsRowDxfId="1829"/>
    <tableColumn id="4" xr3:uid="{6EACBD0C-DFBA-456C-B45D-0305DD64CFC7}" name="Unidades Netas" dataDxfId="1828" totalsRowDxfId="1827"/>
    <tableColumn id="1" xr3:uid="{AFF0E5BD-D949-4EFD-B1C0-6262F77CBF01}" name="% Merma" dataDxfId="1826" totalsRowDxfId="1825"/>
    <tableColumn id="7" xr3:uid="{33EEB435-8665-4082-9247-DF48FAF8459D}" name="Unidades" dataDxfId="1824" totalsRowDxfId="1823"/>
    <tableColumn id="5" xr3:uid="{72D78ED2-6CE3-444C-8B97-3B203467901B}" name="Coste Componente" dataDxfId="1822" totalsRowDxfId="1821" dataCellStyle="Moneda">
      <calculatedColumnFormula>+VLOOKUP(Tabla1103453454455456479116117118120740126148156186251[[#This Row],[ArtÃ­culo]],Tabla34[#All],3,0)</calculatedColumnFormula>
    </tableColumn>
    <tableColumn id="6" xr3:uid="{44B46D4C-C54B-4630-ABF0-37AD2064D738}" name="Coste LÃ­nea" totalsRowFunction="sum" dataDxfId="1820" totalsRowDxfId="1819" dataCellStyle="Moneda">
      <calculatedColumnFormula>+Tabla1103453454455456479116117118120740126148156186251[[#This Row],[Coste Componente]]*Tabla1103453454455456479116117118120740126148156186251[[#This Row],[Unidades]]</calculatedColumnFormula>
    </tableColumn>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2" xr:uid="{7EB1A843-1070-43B8-8C60-C763F9CBF30C}" name="Tabla1103453454455456479116117118120740126148156186253" displayName="Tabla1103453454455456479116117118120740126148156186253" ref="B98:H105" totalsRowCount="1" headerRowDxfId="1801" dataDxfId="1799" totalsRowDxfId="1800" headerRowBorderDxfId="9780" tableBorderDxfId="9779" totalsRowBorderDxfId="9778">
  <autoFilter ref="B98:H104" xr:uid="{7EB1A843-1070-43B8-8C60-C763F9CBF30C}"/>
  <sortState xmlns:xlrd2="http://schemas.microsoft.com/office/spreadsheetml/2017/richdata2" ref="B99:H99">
    <sortCondition descending="1" ref="H97:H111"/>
  </sortState>
  <tableColumns count="7">
    <tableColumn id="2" xr3:uid="{BEBD5906-5692-4E03-B48B-0047EBC0651A}" name="ArtÃ­culo" dataDxfId="1815" totalsRowDxfId="1814"/>
    <tableColumn id="3" xr3:uid="{8E3BA51D-58B8-4D10-8813-28FA4D479B1D}" name="Unidad Medida" dataDxfId="1813" totalsRowDxfId="1812"/>
    <tableColumn id="4" xr3:uid="{E7DC7A1D-1055-4E37-8D1A-1B2A297DE18C}" name="Unidades Netas" dataDxfId="1811" totalsRowDxfId="1810"/>
    <tableColumn id="1" xr3:uid="{82E0AE88-FB06-4697-A1AD-281A9E6872A4}" name="% Merma" dataDxfId="1809" totalsRowDxfId="1808"/>
    <tableColumn id="7" xr3:uid="{6E7CB5C2-3CF5-4CA5-9955-CE6D5AB2DDAB}" name="Unidades" dataDxfId="1807" totalsRowDxfId="1806"/>
    <tableColumn id="5" xr3:uid="{CEF03978-AE46-4AD5-8E3E-5E52A164503F}" name="Coste Componente" dataDxfId="1805" totalsRowDxfId="1804" dataCellStyle="Moneda">
      <calculatedColumnFormula>+VLOOKUP(Tabla1103453454455456479116117118120740126148156186253[[#This Row],[ArtÃ­culo]],Tabla34[#All],3,0)</calculatedColumnFormula>
    </tableColumn>
    <tableColumn id="6" xr3:uid="{C3479348-FC70-4C45-A8AC-AFB643C4D87C}" name="Coste LÃ­nea" totalsRowFunction="sum" dataDxfId="1803" totalsRowDxfId="1802" dataCellStyle="Moneda">
      <calculatedColumnFormula>+Tabla1103453454455456479116117118120740126148156186253[[#This Row],[Coste Componente]]*Tabla1103453454455456479116117118120740126148156186253[[#This Row],[Unidades]]</calculatedColumnFormula>
    </tableColumn>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3" xr:uid="{284FA2B0-9E0B-44FD-A6FA-E73D1CAAA52D}" name="Tabla1103453454455456479116117118120740126148156186254" displayName="Tabla1103453454455456479116117118120740126148156186254" ref="B109:H118" totalsRowCount="1" headerRowDxfId="1784" dataDxfId="1782" totalsRowDxfId="1783" headerRowBorderDxfId="9777" tableBorderDxfId="9776" totalsRowBorderDxfId="9775">
  <autoFilter ref="B109:H117" xr:uid="{284FA2B0-9E0B-44FD-A6FA-E73D1CAAA52D}"/>
  <sortState xmlns:xlrd2="http://schemas.microsoft.com/office/spreadsheetml/2017/richdata2" ref="B110:H110">
    <sortCondition descending="1" ref="H97:H111"/>
  </sortState>
  <tableColumns count="7">
    <tableColumn id="2" xr3:uid="{58B354D8-8E5C-41B9-BCDD-1A1259C93D65}" name="ArtÃ­culo" dataDxfId="1798" totalsRowDxfId="1797"/>
    <tableColumn id="3" xr3:uid="{00D80F70-AEB2-4252-AFA4-DB88FAA8F292}" name="Unidad Medida" dataDxfId="1796" totalsRowDxfId="1795"/>
    <tableColumn id="4" xr3:uid="{F71E2A9E-DEFA-445E-B1C4-B01B32BD9195}" name="Unidades Netas" dataDxfId="1794" totalsRowDxfId="1793"/>
    <tableColumn id="1" xr3:uid="{A8EBFAFB-6484-4E51-8C1C-FE2F7545B0C4}" name="% Merma" dataDxfId="1792" totalsRowDxfId="1791"/>
    <tableColumn id="7" xr3:uid="{B1D4124C-C451-4137-AC46-7CD3F9216F4A}" name="Unidades" dataDxfId="1790" totalsRowDxfId="1789"/>
    <tableColumn id="5" xr3:uid="{F524A31E-2402-4EAC-BE93-33A3B2D4E701}" name="Coste Componente" dataDxfId="1788" totalsRowDxfId="1787" dataCellStyle="Moneda">
      <calculatedColumnFormula>+VLOOKUP(Tabla1103453454455456479116117118120740126148156186254[[#This Row],[ArtÃ­culo]],Tabla34[#All],3,0)</calculatedColumnFormula>
    </tableColumn>
    <tableColumn id="6" xr3:uid="{FF1A3B9A-1202-41F6-88E9-27C90416C42F}" name="Coste LÃ­nea" totalsRowFunction="sum" dataDxfId="1786" totalsRowDxfId="1785" dataCellStyle="Moneda">
      <calculatedColumnFormula>+Tabla1103453454455456479116117118120740126148156186254[[#This Row],[Coste Componente]]*Tabla1103453454455456479116117118120740126148156186254[[#This Row],[Unidades]]</calculatedColumnFormula>
    </tableColumn>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EC9BF608-EA75-4CF0-BC93-D3DAFFDBF8CC}" name="Tabla1103453454455456479116117118120740126148156186254256" displayName="Tabla1103453454455456479116117118120740126148156186254256" ref="B123:H128" totalsRowCount="1" headerRowDxfId="1767" dataDxfId="1765" totalsRowDxfId="1766" headerRowBorderDxfId="9774" tableBorderDxfId="9773" totalsRowBorderDxfId="9772">
  <autoFilter ref="B123:H127" xr:uid="{EC9BF608-EA75-4CF0-BC93-D3DAFFDBF8CC}"/>
  <sortState xmlns:xlrd2="http://schemas.microsoft.com/office/spreadsheetml/2017/richdata2" ref="B124:H124">
    <sortCondition descending="1" ref="H97:H111"/>
  </sortState>
  <tableColumns count="7">
    <tableColumn id="2" xr3:uid="{CBA3C6DB-50C9-46A8-992B-F9BC4B89873C}" name="ArtÃ­culo" dataDxfId="1781" totalsRowDxfId="1780"/>
    <tableColumn id="3" xr3:uid="{CFA43B13-4777-43C5-98D2-9FB031FD5CA4}" name="Unidad Medida" dataDxfId="1779" totalsRowDxfId="1778"/>
    <tableColumn id="4" xr3:uid="{AE5CC679-91D1-4798-B1FE-225195E0B99E}" name="Unidades Netas" dataDxfId="1777" totalsRowDxfId="1776"/>
    <tableColumn id="1" xr3:uid="{AEE63074-2E78-4C8B-BDE5-8A25BF111AB7}" name="% Merma" dataDxfId="1775" totalsRowDxfId="1774"/>
    <tableColumn id="7" xr3:uid="{A3308776-65E8-4E63-A913-8406E0932FA3}" name="Unidades" dataDxfId="1773" totalsRowDxfId="1772"/>
    <tableColumn id="5" xr3:uid="{24A8FE45-F700-47D1-B5E0-190106C6CAF0}" name="Coste Componente" dataDxfId="1771" totalsRowDxfId="1770" dataCellStyle="Moneda">
      <calculatedColumnFormula>+VLOOKUP(Tabla1103453454455456479116117118120740126148156186254256[[#This Row],[ArtÃ­culo]],Tabla34[#All],3,0)</calculatedColumnFormula>
    </tableColumn>
    <tableColumn id="6" xr3:uid="{20318612-A297-484E-8D62-30D189C8FBF0}" name="Coste LÃ­nea" totalsRowFunction="sum" dataDxfId="1769" totalsRowDxfId="1768" dataCellStyle="Moneda">
      <calculatedColumnFormula>+Tabla1103453454455456479116117118120740126148156186254256[[#This Row],[Coste Componente]]*Tabla1103453454455456479116117118120740126148156186254256[[#This Row],[Unidades]]</calculatedColumnFormula>
    </tableColumn>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A3A05B49-E3FD-4C00-B673-03143D7117F2}" name="Tabla1103453454455456479116117118120740126148156186254256257" displayName="Tabla1103453454455456479116117118120740126148156186254256257" ref="B132:H142" totalsRowCount="1" headerRowDxfId="1750" dataDxfId="1748" totalsRowDxfId="1749" headerRowBorderDxfId="9771" tableBorderDxfId="9770" totalsRowBorderDxfId="9769">
  <autoFilter ref="B132:H141" xr:uid="{A3A05B49-E3FD-4C00-B673-03143D7117F2}"/>
  <sortState xmlns:xlrd2="http://schemas.microsoft.com/office/spreadsheetml/2017/richdata2" ref="B133:H133">
    <sortCondition descending="1" ref="H97:H111"/>
  </sortState>
  <tableColumns count="7">
    <tableColumn id="2" xr3:uid="{3B1DEE1C-1340-4DC0-BC47-29D6BC258684}" name="ArtÃ­culo" dataDxfId="1764" totalsRowDxfId="1763"/>
    <tableColumn id="3" xr3:uid="{61A43469-4493-4CA4-9549-1148C526CE3F}" name="Unidad Medida" dataDxfId="1762" totalsRowDxfId="1761"/>
    <tableColumn id="4" xr3:uid="{1BF74F11-9826-4557-9F4A-3EA6634A632B}" name="Unidades Netas" dataDxfId="1760" totalsRowDxfId="1759"/>
    <tableColumn id="1" xr3:uid="{50D346E5-F7F1-4D5C-A6C9-F1E199781554}" name="% Merma" dataDxfId="1758" totalsRowDxfId="1757"/>
    <tableColumn id="7" xr3:uid="{23FEA80E-01B1-4F24-AF0A-EB0A86477CCE}" name="Unidades" dataDxfId="1756" totalsRowDxfId="1755"/>
    <tableColumn id="5" xr3:uid="{B3BDA300-AF18-4C6F-BFEB-78A9FD8F85F7}" name="Coste Componente" dataDxfId="1754" totalsRowDxfId="1753" dataCellStyle="Moneda">
      <calculatedColumnFormula>+VLOOKUP(Tabla1103453454455456479116117118120740126148156186254256257[[#This Row],[ArtÃ­culo]],Tabla34[#All],3,0)</calculatedColumnFormula>
    </tableColumn>
    <tableColumn id="6" xr3:uid="{4117DD35-80D6-4FB4-A4A6-5D12DC7DB3AC}" name="Coste LÃ­nea" totalsRowFunction="sum" dataDxfId="1752" totalsRowDxfId="1751" dataCellStyle="Moneda">
      <calculatedColumnFormula>+Tabla1103453454455456479116117118120740126148156186254256257[[#This Row],[Coste Componente]]*Tabla1103453454455456479116117118120740126148156186254256257[[#This Row],[Unidades]]</calculatedColumnFormula>
    </tableColumn>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0ED4F27C-A80A-4F05-B94B-AF9B2A590D51}" name="Tabla1103453454455456479116117118120740126148156186254256266" displayName="Tabla1103453454455456479116117118120740126148156186254256266" ref="B145:H155" totalsRowCount="1" headerRowDxfId="1733" dataDxfId="1731" totalsRowDxfId="1732" headerRowBorderDxfId="9768" tableBorderDxfId="9767" totalsRowBorderDxfId="9766">
  <autoFilter ref="B145:H154" xr:uid="{0ED4F27C-A80A-4F05-B94B-AF9B2A590D51}"/>
  <sortState xmlns:xlrd2="http://schemas.microsoft.com/office/spreadsheetml/2017/richdata2" ref="B146:H146">
    <sortCondition descending="1" ref="H97:H111"/>
  </sortState>
  <tableColumns count="7">
    <tableColumn id="2" xr3:uid="{021EE294-0CD3-4E42-A403-22A988D56F98}" name="ArtÃ­culo" dataDxfId="1747" totalsRowDxfId="1746"/>
    <tableColumn id="3" xr3:uid="{EBE1FC87-93B8-4CE1-9B93-C14D03FA4B1F}" name="Unidad Medida" dataDxfId="1745" totalsRowDxfId="1744"/>
    <tableColumn id="4" xr3:uid="{4534E18D-FCFC-4F51-B7EE-FFC35F8F1F38}" name="Unidades Netas" dataDxfId="1743" totalsRowDxfId="1742"/>
    <tableColumn id="1" xr3:uid="{042E190E-C555-4CFC-8B49-ADC62E850982}" name="% Merma" dataDxfId="1741" totalsRowDxfId="1740"/>
    <tableColumn id="7" xr3:uid="{EBE9A72D-3B5A-4628-8500-02C8BC8DF5EC}" name="Unidades" dataDxfId="1739" totalsRowDxfId="1738"/>
    <tableColumn id="5" xr3:uid="{95C4C18E-B176-40A9-813D-11426A0999AC}" name="Coste Componente" dataDxfId="1737" totalsRowDxfId="1736" dataCellStyle="Moneda">
      <calculatedColumnFormula>+VLOOKUP(Tabla1103453454455456479116117118120740126148156186254256266[[#This Row],[ArtÃ­culo]],Tabla34[#All],3,0)</calculatedColumnFormula>
    </tableColumn>
    <tableColumn id="6" xr3:uid="{E9E5799E-3EE6-4CFA-A69F-B74EEE527196}" name="Coste LÃ­nea" totalsRowFunction="sum" dataDxfId="1735" totalsRowDxfId="1734" dataCellStyle="Moneda">
      <calculatedColumnFormula>+Tabla1103453454455456479116117118120740126148156186254256266[[#This Row],[Coste Componente]]*Tabla1103453454455456479116117118120740126148156186254256266[[#This Row],[Unidades]]</calculatedColumnFormula>
    </tableColumn>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470D44E7-8BE8-4BF0-8288-EACE32772870}" name="Tabla1103453454455456479116117118120740126148156186254256267" displayName="Tabla1103453454455456479116117118120740126148156186254256267" ref="B158:H168" totalsRowCount="1" headerRowDxfId="1716" dataDxfId="1714" totalsRowDxfId="1715" headerRowBorderDxfId="9765" tableBorderDxfId="9764" totalsRowBorderDxfId="9763">
  <autoFilter ref="B158:H167" xr:uid="{470D44E7-8BE8-4BF0-8288-EACE32772870}"/>
  <sortState xmlns:xlrd2="http://schemas.microsoft.com/office/spreadsheetml/2017/richdata2" ref="B159:H159">
    <sortCondition descending="1" ref="H97:H111"/>
  </sortState>
  <tableColumns count="7">
    <tableColumn id="2" xr3:uid="{DC171917-C9D8-4034-800D-4C47271C05F2}" name="ArtÃ­culo" dataDxfId="1730" totalsRowDxfId="1729"/>
    <tableColumn id="3" xr3:uid="{2829BE88-1945-4776-BC08-2AE5570083E5}" name="Unidad Medida" dataDxfId="1728" totalsRowDxfId="1727"/>
    <tableColumn id="4" xr3:uid="{C0F46236-9A16-49CB-9F80-46FB0E6A9301}" name="Unidades Netas" dataDxfId="1726" totalsRowDxfId="1725"/>
    <tableColumn id="1" xr3:uid="{CFD1F16B-09AB-4384-A670-A47D7DEEC468}" name="% Merma" dataDxfId="1724" totalsRowDxfId="1723"/>
    <tableColumn id="7" xr3:uid="{6F292B94-E6EC-40C1-AC20-A6521961BC34}" name="Unidades" dataDxfId="1722" totalsRowDxfId="1721"/>
    <tableColumn id="5" xr3:uid="{74A4E399-642A-4F00-B622-0894FC133219}" name="Coste Componente" dataDxfId="1720" totalsRowDxfId="1719" dataCellStyle="Moneda">
      <calculatedColumnFormula>+VLOOKUP(Tabla1103453454455456479116117118120740126148156186254256267[[#This Row],[ArtÃ­culo]],Tabla34[#All],3,0)</calculatedColumnFormula>
    </tableColumn>
    <tableColumn id="6" xr3:uid="{D88C30E2-7517-47F7-A6D3-CE296DBA9C7E}" name="Coste LÃ­nea" totalsRowFunction="sum" dataDxfId="1718" totalsRowDxfId="1717" dataCellStyle="Moneda">
      <calculatedColumnFormula>+Tabla1103453454455456479116117118120740126148156186254256267[[#This Row],[Coste Componente]]*Tabla1103453454455456479116117118120740126148156186254256267[[#This Row],[Unidades]]</calculatedColumnFormula>
    </tableColumn>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10770FE2-C42B-4319-ACB8-1BA38D5EED88}" name="Tabla1103453454455456479116117118120740126148156186254256272" displayName="Tabla1103453454455456479116117118120740126148156186254256272" ref="B171:H180" totalsRowCount="1" headerRowDxfId="1699" dataDxfId="1697" totalsRowDxfId="1698" headerRowBorderDxfId="9762" tableBorderDxfId="9761" totalsRowBorderDxfId="9760">
  <autoFilter ref="B171:H179" xr:uid="{10770FE2-C42B-4319-ACB8-1BA38D5EED88}"/>
  <sortState xmlns:xlrd2="http://schemas.microsoft.com/office/spreadsheetml/2017/richdata2" ref="B172:H172">
    <sortCondition descending="1" ref="H97:H111"/>
  </sortState>
  <tableColumns count="7">
    <tableColumn id="2" xr3:uid="{402809E5-FFC1-438D-B8FB-3AD3AFCDD376}" name="ArtÃ­culo" dataDxfId="1713" totalsRowDxfId="1712"/>
    <tableColumn id="3" xr3:uid="{BBC6B099-337A-4942-9E07-9545581F7A15}" name="Unidad Medida" dataDxfId="1711" totalsRowDxfId="1710"/>
    <tableColumn id="4" xr3:uid="{0A6E8C3F-FBB5-4F04-9A3D-B95681AA450D}" name="Unidades Netas" dataDxfId="1709" totalsRowDxfId="1708"/>
    <tableColumn id="1" xr3:uid="{DD0610EA-838E-425E-B0F1-3336FFD0BD5E}" name="% Merma" dataDxfId="1707" totalsRowDxfId="1706"/>
    <tableColumn id="7" xr3:uid="{3BF43C3B-DC8F-4DAE-BD26-EBE5693A0753}" name="Unidades" dataDxfId="1705" totalsRowDxfId="1704"/>
    <tableColumn id="5" xr3:uid="{E8CCE02A-6513-4906-9568-B4D61BE80AEC}" name="Coste Componente" dataDxfId="1703" totalsRowDxfId="1702" dataCellStyle="Moneda">
      <calculatedColumnFormula>+VLOOKUP(Tabla1103453454455456479116117118120740126148156186254256272[[#This Row],[ArtÃ­culo]],Tabla34[#All],3,0)</calculatedColumnFormula>
    </tableColumn>
    <tableColumn id="6" xr3:uid="{D1337622-B2B2-4965-99A2-EE609DF635E0}" name="Coste LÃ­nea" totalsRowFunction="sum" dataDxfId="1701" totalsRowDxfId="1700" dataCellStyle="Moneda">
      <calculatedColumnFormula>+Tabla1103453454455456479116117118120740126148156186254256272[[#This Row],[Coste Componente]]*Tabla1103453454455456479116117118120740126148156186254256272[[#This Row],[Unidades]]</calculatedColumnFormula>
    </tableColumn>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87927074-FC2C-4CD0-BC44-050C2380D0C7}" name="Tabla1103453454455456479116117118120740126148156186254256287" displayName="Tabla1103453454455456479116117118120740126148156186254256287" ref="B183:H191" totalsRowCount="1" headerRowDxfId="1682" dataDxfId="1680" totalsRowDxfId="1681" headerRowBorderDxfId="9759" tableBorderDxfId="9758" totalsRowBorderDxfId="9757">
  <autoFilter ref="B183:H190" xr:uid="{87927074-FC2C-4CD0-BC44-050C2380D0C7}"/>
  <sortState xmlns:xlrd2="http://schemas.microsoft.com/office/spreadsheetml/2017/richdata2" ref="B184:H184">
    <sortCondition descending="1" ref="H97:H111"/>
  </sortState>
  <tableColumns count="7">
    <tableColumn id="2" xr3:uid="{4A2A9BC5-9179-450A-8344-A4DAF9358D8C}" name="ArtÃ­culo" dataDxfId="1696" totalsRowDxfId="1695"/>
    <tableColumn id="3" xr3:uid="{A180FF45-8B00-435A-ADAD-E57620B79F08}" name="Unidad Medida" dataDxfId="1694" totalsRowDxfId="1693"/>
    <tableColumn id="4" xr3:uid="{8ECC565C-1057-4F36-AA5A-4A8E43655A27}" name="Unidades Netas" dataDxfId="1692" totalsRowDxfId="1691"/>
    <tableColumn id="1" xr3:uid="{1576E537-B3C7-43BA-B726-AAD755943FC4}" name="% Merma" dataDxfId="1690" totalsRowDxfId="1689"/>
    <tableColumn id="7" xr3:uid="{355AB0BD-783A-428E-85DC-8D1A7DCC2D13}" name="Unidades" dataDxfId="1688" totalsRowDxfId="1687"/>
    <tableColumn id="5" xr3:uid="{BD3BF398-A072-4EF0-9B5F-B2B13621AC07}" name="Coste Componente" dataDxfId="1686" totalsRowDxfId="1685" dataCellStyle="Moneda">
      <calculatedColumnFormula>+VLOOKUP(Tabla1103453454455456479116117118120740126148156186254256287[[#This Row],[ArtÃ­culo]],Tabla34[#All],3,0)</calculatedColumnFormula>
    </tableColumn>
    <tableColumn id="6" xr3:uid="{295171C3-9F0E-4365-A240-EED2747871FA}" name="Coste LÃ­nea" totalsRowFunction="sum" dataDxfId="1684" totalsRowDxfId="1683" dataCellStyle="Moneda">
      <calculatedColumnFormula>+Tabla1103453454455456479116117118120740126148156186254256287[[#This Row],[Coste Componente]]*Tabla1103453454455456479116117118120740126148156186254256287[[#This Row],[Unidades]]</calculatedColumnFormula>
    </tableColumn>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7" xr:uid="{ED3C4132-AAB5-41DC-A598-F116320DEB85}" name="Tabla1103453454455456479116117118120740126148156186254256287328" displayName="Tabla1103453454455456479116117118120740126148156186254256287328" ref="B195:H200" totalsRowCount="1" headerRowDxfId="1665" dataDxfId="1663" totalsRowDxfId="1664" headerRowBorderDxfId="9756" tableBorderDxfId="9755" totalsRowBorderDxfId="9754">
  <autoFilter ref="B195:H199" xr:uid="{ED3C4132-AAB5-41DC-A598-F116320DEB85}"/>
  <sortState xmlns:xlrd2="http://schemas.microsoft.com/office/spreadsheetml/2017/richdata2" ref="B196:H196">
    <sortCondition descending="1" ref="H97:H111"/>
  </sortState>
  <tableColumns count="7">
    <tableColumn id="2" xr3:uid="{D12E9D47-68E0-4828-9B3D-76B52F51C258}" name="ArtÃ­culo" dataDxfId="1679" totalsRowDxfId="1678"/>
    <tableColumn id="3" xr3:uid="{D7DF799A-0282-4480-9F22-6E53984F7B9C}" name="Unidad Medida" dataDxfId="1677" totalsRowDxfId="1676"/>
    <tableColumn id="4" xr3:uid="{ADB32147-1C34-4880-B2ED-9AFA19BD2F8F}" name="Unidades Netas" dataDxfId="1675" totalsRowDxfId="1674"/>
    <tableColumn id="1" xr3:uid="{FF580457-0503-4150-AA3C-E423BB3D398F}" name="% Merma" dataDxfId="1673" totalsRowDxfId="1672"/>
    <tableColumn id="7" xr3:uid="{49F9EF01-E6E5-4C8C-9770-546118AFFAB3}" name="Unidades" dataDxfId="1671" totalsRowDxfId="1670"/>
    <tableColumn id="5" xr3:uid="{AED196E1-3DC3-4384-AB9B-E565EC9E5615}" name="Coste Componente" dataDxfId="1669" totalsRowDxfId="1668" dataCellStyle="Moneda">
      <calculatedColumnFormula>+VLOOKUP(Tabla1103453454455456479116117118120740126148156186254256287328[[#This Row],[ArtÃ­culo]],Tabla34[#All],3,0)</calculatedColumnFormula>
    </tableColumn>
    <tableColumn id="6" xr3:uid="{53F88F08-6C86-4B47-87C4-0CF244240055}" name="Coste LÃ­nea" totalsRowFunction="sum" dataDxfId="1667" totalsRowDxfId="1666" dataCellStyle="Moneda">
      <calculatedColumnFormula>+Tabla1103453454455456479116117118120740126148156186254256287328[[#This Row],[Coste Componente]]*Tabla1103453454455456479116117118120740126148156186254256287328[[#This Row],[Unidades]]</calculatedColumnFormula>
    </tableColumn>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8" xr:uid="{DB7CDFA1-2201-4E69-A926-6E90D91CA509}" name="Tabla1103453454455456479116117118120740126148156186254256287328329" displayName="Tabla1103453454455456479116117118120740126148156186254256287328329" ref="B204:H213" totalsRowCount="1" headerRowDxfId="1648" dataDxfId="1646" totalsRowDxfId="1647" headerRowBorderDxfId="9753" tableBorderDxfId="9752" totalsRowBorderDxfId="9751">
  <autoFilter ref="B204:H212" xr:uid="{DB7CDFA1-2201-4E69-A926-6E90D91CA509}"/>
  <sortState xmlns:xlrd2="http://schemas.microsoft.com/office/spreadsheetml/2017/richdata2" ref="B205:H205">
    <sortCondition descending="1" ref="H97:H111"/>
  </sortState>
  <tableColumns count="7">
    <tableColumn id="2" xr3:uid="{6AD59DAB-9124-403A-A561-374F98491AFB}" name="ArtÃ­culo" dataDxfId="1662" totalsRowDxfId="1661"/>
    <tableColumn id="3" xr3:uid="{8C4F5285-BB7D-4246-B0F6-A8C588B9BEBA}" name="Unidad Medida" dataDxfId="1660" totalsRowDxfId="1659"/>
    <tableColumn id="4" xr3:uid="{B70039F5-B34B-475B-BFCF-96589EFE5BC9}" name="Unidades Netas" dataDxfId="1658" totalsRowDxfId="1657"/>
    <tableColumn id="1" xr3:uid="{94C3AED9-ABB0-49A4-8067-06FA326D0265}" name="% Merma" dataDxfId="1656" totalsRowDxfId="1655"/>
    <tableColumn id="7" xr3:uid="{7052F558-FD14-41C7-8DF8-FD843F072BEE}" name="Unidades" dataDxfId="1654" totalsRowDxfId="1653"/>
    <tableColumn id="5" xr3:uid="{8E72BF16-10D2-46F8-B25C-A115DD5D8B67}" name="Coste Componente" dataDxfId="1652" totalsRowDxfId="1651" dataCellStyle="Moneda">
      <calculatedColumnFormula>+VLOOKUP(Tabla1103453454455456479116117118120740126148156186254256287328329[[#This Row],[ArtÃ­culo]],Tabla34[#All],3,0)</calculatedColumnFormula>
    </tableColumn>
    <tableColumn id="6" xr3:uid="{7B44878B-9CCE-4E21-9728-1268729E83F6}" name="Coste LÃ­nea" totalsRowFunction="sum" dataDxfId="1650" totalsRowDxfId="1649" dataCellStyle="Moneda">
      <calculatedColumnFormula>+Tabla1103453454455456479116117118120740126148156186254256287328329[[#This Row],[Coste Componente]]*Tabla1103453454455456479116117118120740126148156186254256287328329[[#This Row],[Unidades]]</calculatedColumnFormula>
    </tableColumn>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9" xr:uid="{154BF9FF-08AA-4E5A-8243-0EED2A12223A}" name="Tabla1103453454455456479116117118120740126148156186254256287328330" displayName="Tabla1103453454455456479116117118120740126148156186254256287328330" ref="B216:H218" totalsRowCount="1" headerRowDxfId="1631" dataDxfId="1629" totalsRowDxfId="1630" headerRowBorderDxfId="9750" tableBorderDxfId="9749" totalsRowBorderDxfId="9748">
  <autoFilter ref="B216:H217" xr:uid="{154BF9FF-08AA-4E5A-8243-0EED2A12223A}"/>
  <sortState xmlns:xlrd2="http://schemas.microsoft.com/office/spreadsheetml/2017/richdata2" ref="B217:H217">
    <sortCondition descending="1" ref="H97:H111"/>
  </sortState>
  <tableColumns count="7">
    <tableColumn id="2" xr3:uid="{65FBCABF-52B4-4CE5-AB95-99524B80C4ED}" name="ArtÃ­culo" dataDxfId="1645" totalsRowDxfId="1644"/>
    <tableColumn id="3" xr3:uid="{419E8563-32A2-4739-A68A-F0CBB5D6C4EB}" name="Unidad Medida" dataDxfId="1643" totalsRowDxfId="1642"/>
    <tableColumn id="4" xr3:uid="{E04246D0-4E1E-4EC9-938D-0D787BDF37C4}" name="Unidades Netas" dataDxfId="1641" totalsRowDxfId="1640"/>
    <tableColumn id="1" xr3:uid="{6430119A-4984-418F-A883-D5B015F13DF8}" name="% Merma" dataDxfId="1639" totalsRowDxfId="1638"/>
    <tableColumn id="7" xr3:uid="{AF4A2EC4-3E14-42B9-8566-803313128D96}" name="Unidades" dataDxfId="1637" totalsRowDxfId="1636"/>
    <tableColumn id="5" xr3:uid="{8B0FDAEA-1442-4A58-B80D-914B3B2FFDC3}" name="Coste Componente" dataDxfId="1635" totalsRowDxfId="1634" dataCellStyle="Moneda">
      <calculatedColumnFormula>+VLOOKUP(Tabla1103453454455456479116117118120740126148156186254256287328330[[#This Row],[ArtÃ­culo]],Tabla34[#All],3,0)</calculatedColumnFormula>
    </tableColumn>
    <tableColumn id="6" xr3:uid="{83749B30-7B68-4598-B928-161D31ECA37C}" name="Coste LÃ­nea" totalsRowFunction="sum" dataDxfId="1633" totalsRowDxfId="1632" dataCellStyle="Moneda">
      <calculatedColumnFormula>+Tabla1103453454455456479116117118120740126148156186254256287328330[[#This Row],[Coste Componente]]*Tabla1103453454455456479116117118120740126148156186254256287328330[[#This Row],[Unidades]]</calculatedColumnFormula>
    </tableColumn>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1" xr:uid="{2D114F10-C9A6-4030-B9BA-FFBCAC08FCC5}" name="Tabla1103453454455456479116117118120740126148156186254256287328332" displayName="Tabla1103453454455456479116117118120740126148156186254256287328332" ref="B223:H230" totalsRowCount="1" headerRowDxfId="1614" dataDxfId="1612" totalsRowDxfId="1613" headerRowBorderDxfId="9747" tableBorderDxfId="9746" totalsRowBorderDxfId="9745">
  <autoFilter ref="B223:H229" xr:uid="{2D114F10-C9A6-4030-B9BA-FFBCAC08FCC5}"/>
  <sortState xmlns:xlrd2="http://schemas.microsoft.com/office/spreadsheetml/2017/richdata2" ref="B224:H224">
    <sortCondition descending="1" ref="H97:H111"/>
  </sortState>
  <tableColumns count="7">
    <tableColumn id="2" xr3:uid="{6CA5D83E-312A-4CF8-B1B0-0701252284F7}" name="ArtÃ­culo" dataDxfId="1628" totalsRowDxfId="1627"/>
    <tableColumn id="3" xr3:uid="{DE5C4489-DEF6-4F66-93FE-D08F436AFC05}" name="Unidad Medida" dataDxfId="1626" totalsRowDxfId="1625"/>
    <tableColumn id="4" xr3:uid="{821D5B18-09BB-4AA0-961D-09854B6F6E0F}" name="Unidades Netas" dataDxfId="1624" totalsRowDxfId="1623"/>
    <tableColumn id="1" xr3:uid="{EF053827-C29B-41F7-BC08-BA902415A988}" name="% Merma" dataDxfId="1622" totalsRowDxfId="1621"/>
    <tableColumn id="7" xr3:uid="{BE18551B-8B82-4D51-BEBA-FF70506121B7}" name="Unidades" dataDxfId="1620" totalsRowDxfId="1619"/>
    <tableColumn id="5" xr3:uid="{4F94E4FC-5EF9-4B6E-B298-669EAC25A8A9}" name="Coste Componente" dataDxfId="1618" totalsRowDxfId="1617" dataCellStyle="Moneda">
      <calculatedColumnFormula>+VLOOKUP(Tabla1103453454455456479116117118120740126148156186254256287328332[[#This Row],[ArtÃ­culo]],Tabla34[#All],3,0)</calculatedColumnFormula>
    </tableColumn>
    <tableColumn id="6" xr3:uid="{398B63D9-26D0-4F71-9295-821808EF4CA2}" name="Coste LÃ­nea" totalsRowFunction="sum" dataDxfId="1616" totalsRowDxfId="1615" dataCellStyle="Moneda">
      <calculatedColumnFormula>+Tabla1103453454455456479116117118120740126148156186254256287328332[[#This Row],[Coste Componente]]*Tabla1103453454455456479116117118120740126148156186254256287328332[[#This Row],[Unidades]]</calculatedColumnFormula>
    </tableColumn>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264833C7-7729-49E7-B78B-815ADC93690B}" name="Tabla1103453454455456479116117118120740126148156186254256287328334" displayName="Tabla1103453454455456479116117118120740126148156186254256287328334" ref="B235:H244" totalsRowCount="1" headerRowDxfId="1597" dataDxfId="1595" totalsRowDxfId="1596" headerRowBorderDxfId="9744" tableBorderDxfId="9743" totalsRowBorderDxfId="9742">
  <autoFilter ref="B235:H243" xr:uid="{264833C7-7729-49E7-B78B-815ADC93690B}"/>
  <sortState xmlns:xlrd2="http://schemas.microsoft.com/office/spreadsheetml/2017/richdata2" ref="B236:H236">
    <sortCondition descending="1" ref="H97:H111"/>
  </sortState>
  <tableColumns count="7">
    <tableColumn id="2" xr3:uid="{70BEFCC8-3DEC-4F51-B510-AE4F7FAC46A4}" name="ArtÃ­culo" dataDxfId="1611" totalsRowDxfId="1610"/>
    <tableColumn id="3" xr3:uid="{C2612FE7-BC5F-4D40-B1A3-9BEA99374602}" name="Unidad Medida" dataDxfId="1609" totalsRowDxfId="1608"/>
    <tableColumn id="4" xr3:uid="{1FD1CA89-1414-42F8-85CF-99833435A059}" name="Unidades Netas" dataDxfId="1607" totalsRowDxfId="1606"/>
    <tableColumn id="1" xr3:uid="{C69B4A15-AB6A-44CF-95BF-AB9BB34ADC15}" name="% Merma" dataDxfId="1605" totalsRowDxfId="1604"/>
    <tableColumn id="7" xr3:uid="{DB693A31-26D9-44C4-924D-12532CC539C8}" name="Unidades" dataDxfId="1603" totalsRowDxfId="1602"/>
    <tableColumn id="5" xr3:uid="{8F0C4FD8-1C55-4491-A581-DC1BF427919D}" name="Coste Componente" dataDxfId="1601" totalsRowDxfId="1600" dataCellStyle="Moneda">
      <calculatedColumnFormula>+VLOOKUP(Tabla1103453454455456479116117118120740126148156186254256287328334[[#This Row],[ArtÃ­culo]],Tabla34[#All],3,0)</calculatedColumnFormula>
    </tableColumn>
    <tableColumn id="6" xr3:uid="{772630A9-C817-4783-96F4-537CA8BD42C5}" name="Coste LÃ­nea" totalsRowFunction="sum" dataDxfId="1599" totalsRowDxfId="1598" dataCellStyle="Moneda">
      <calculatedColumnFormula>+Tabla1103453454455456479116117118120740126148156186254256287328334[[#This Row],[Coste Componente]]*Tabla1103453454455456479116117118120740126148156186254256287328334[[#This Row],[Unidades]]</calculatedColumnFormula>
    </tableColumn>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5" xr:uid="{A164724F-54B5-4284-A7FF-2A43C84A656E}" name="Tabla1103453454455456479116117118120740126148156186254256287328336" displayName="Tabla1103453454455456479116117118120740126148156186254256287328336" ref="B247:H256" totalsRowCount="1" headerRowDxfId="1580" dataDxfId="1578" totalsRowDxfId="1579" headerRowBorderDxfId="9741" tableBorderDxfId="9740" totalsRowBorderDxfId="9739">
  <autoFilter ref="B247:H255" xr:uid="{A164724F-54B5-4284-A7FF-2A43C84A656E}"/>
  <sortState xmlns:xlrd2="http://schemas.microsoft.com/office/spreadsheetml/2017/richdata2" ref="B248:H248">
    <sortCondition descending="1" ref="H97:H111"/>
  </sortState>
  <tableColumns count="7">
    <tableColumn id="2" xr3:uid="{0BAC7989-D710-412B-A8BE-514891254081}" name="ArtÃ­culo" dataDxfId="1594" totalsRowDxfId="1593"/>
    <tableColumn id="3" xr3:uid="{FAF8F0DB-CEDC-4482-A736-FCD174700738}" name="Unidad Medida" dataDxfId="1592" totalsRowDxfId="1591"/>
    <tableColumn id="4" xr3:uid="{0C95549C-D8E1-4215-8EC7-B1D197484C67}" name="Unidades Netas" dataDxfId="1590" totalsRowDxfId="1589"/>
    <tableColumn id="1" xr3:uid="{D0095F40-50E5-4693-ABF3-E7AE96AA4B9F}" name="% Merma" dataDxfId="1588" totalsRowDxfId="1587"/>
    <tableColumn id="7" xr3:uid="{A5CB08B5-CF48-4872-9815-637FA51B0EB5}" name="Unidades" dataDxfId="1586" totalsRowDxfId="1585"/>
    <tableColumn id="5" xr3:uid="{69CF3200-1A65-4481-A3AA-7100B21F4399}" name="Coste Componente" dataDxfId="1584" totalsRowDxfId="1583" dataCellStyle="Moneda">
      <calculatedColumnFormula>+VLOOKUP(Tabla1103453454455456479116117118120740126148156186254256287328336[[#This Row],[ArtÃ­culo]],Tabla34[#All],3,0)</calculatedColumnFormula>
    </tableColumn>
    <tableColumn id="6" xr3:uid="{ACFBBDED-DCF4-4DB1-991D-7EB864FA0D2B}" name="Coste LÃ­nea" totalsRowFunction="sum" dataDxfId="1582" totalsRowDxfId="1581" dataCellStyle="Moneda">
      <calculatedColumnFormula>+Tabla1103453454455456479116117118120740126148156186254256287328336[[#This Row],[Coste Componente]]*Tabla1103453454455456479116117118120740126148156186254256287328336[[#This Row],[Unidades]]</calculatedColumnFormula>
    </tableColumn>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7" xr:uid="{97576748-D171-40BC-88AF-D9DCF7E10CE2}" name="Tabla1103453454455456479116117118120740126148156186254256287328338" displayName="Tabla1103453454455456479116117118120740126148156186254256287328338" ref="B259:H267" totalsRowCount="1" headerRowDxfId="1563" dataDxfId="1561" totalsRowDxfId="1562" headerRowBorderDxfId="9738" tableBorderDxfId="9737" totalsRowBorderDxfId="9736">
  <autoFilter ref="B259:H266" xr:uid="{97576748-D171-40BC-88AF-D9DCF7E10CE2}"/>
  <sortState xmlns:xlrd2="http://schemas.microsoft.com/office/spreadsheetml/2017/richdata2" ref="B260:H260">
    <sortCondition descending="1" ref="H97:H111"/>
  </sortState>
  <tableColumns count="7">
    <tableColumn id="2" xr3:uid="{36284B49-BD0F-4E89-9086-7FF68D6367D4}" name="ArtÃ­culo" dataDxfId="1577" totalsRowDxfId="1576"/>
    <tableColumn id="3" xr3:uid="{404BDC7F-34AE-4D68-973B-643C2A33F00D}" name="Unidad Medida" dataDxfId="1575" totalsRowDxfId="1574"/>
    <tableColumn id="4" xr3:uid="{B0B28697-8DFD-4F20-AE34-16F14EDC83A8}" name="Unidades Netas" dataDxfId="1573" totalsRowDxfId="1572"/>
    <tableColumn id="1" xr3:uid="{9A44454E-52DE-4CF1-AF82-EF356D6A6649}" name="% Merma" dataDxfId="1571" totalsRowDxfId="1570"/>
    <tableColumn id="7" xr3:uid="{9D18C810-93B0-45BD-814C-93EA39799C96}" name="Unidades" dataDxfId="1569" totalsRowDxfId="1568"/>
    <tableColumn id="5" xr3:uid="{C0FCEF92-2C04-4F2D-8928-89CEB3D3D356}" name="Coste Componente" dataDxfId="1567" totalsRowDxfId="1566" dataCellStyle="Moneda">
      <calculatedColumnFormula>+VLOOKUP(Tabla1103453454455456479116117118120740126148156186254256287328338[[#This Row],[ArtÃ­culo]],Tabla34[#All],3,0)</calculatedColumnFormula>
    </tableColumn>
    <tableColumn id="6" xr3:uid="{51BD9D5C-0134-4A5C-9CFC-33FA52E568AF}" name="Coste LÃ­nea" totalsRowFunction="sum" dataDxfId="1565" totalsRowDxfId="1564" dataCellStyle="Moneda">
      <calculatedColumnFormula>+Tabla1103453454455456479116117118120740126148156186254256287328338[[#This Row],[Coste Componente]]*Tabla1103453454455456479116117118120740126148156186254256287328338[[#This Row],[Unidades]]</calculatedColumnFormula>
    </tableColumn>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9" xr:uid="{E6B70FE4-2DAA-40AD-BCAD-23178CBEFD72}" name="Tabla1103453454455456479116117118120740126148156186254256287328340" displayName="Tabla1103453454455456479116117118120740126148156186254256287328340" ref="B271:H284" totalsRowCount="1" headerRowDxfId="1546" dataDxfId="1544" totalsRowDxfId="1545" headerRowBorderDxfId="9735" tableBorderDxfId="9734" totalsRowBorderDxfId="9733">
  <autoFilter ref="B271:H283" xr:uid="{E6B70FE4-2DAA-40AD-BCAD-23178CBEFD72}"/>
  <sortState xmlns:xlrd2="http://schemas.microsoft.com/office/spreadsheetml/2017/richdata2" ref="B272:H272">
    <sortCondition descending="1" ref="H97:H111"/>
  </sortState>
  <tableColumns count="7">
    <tableColumn id="2" xr3:uid="{8738A6AE-068F-42A2-A940-46687AB11E3F}" name="ArtÃ­culo" dataDxfId="1560" totalsRowDxfId="1559"/>
    <tableColumn id="3" xr3:uid="{F9E81F1C-A4B4-4B24-AA20-67EC163A847A}" name="Unidad Medida" dataDxfId="1558" totalsRowDxfId="1557"/>
    <tableColumn id="4" xr3:uid="{FB2AB398-C61C-4790-820A-20D4509675E7}" name="Unidades Netas" dataDxfId="1556" totalsRowDxfId="1555"/>
    <tableColumn id="1" xr3:uid="{6255ACD6-31E1-46CF-9CC9-9F8EFA2275E4}" name="% Merma" dataDxfId="1554" totalsRowDxfId="1553"/>
    <tableColumn id="7" xr3:uid="{1F4AB26F-A6B8-4764-9C0E-8DACF0C4704E}" name="Unidades" dataDxfId="1552" totalsRowDxfId="1551"/>
    <tableColumn id="5" xr3:uid="{AEFAA6B3-40E8-4C6A-89C9-B229CC660950}" name="Coste Componente" dataDxfId="1550" totalsRowDxfId="1549" dataCellStyle="Moneda">
      <calculatedColumnFormula>+VLOOKUP(Tabla1103453454455456479116117118120740126148156186254256287328340[[#This Row],[ArtÃ­culo]],Tabla34[#All],3,0)</calculatedColumnFormula>
    </tableColumn>
    <tableColumn id="6" xr3:uid="{F2B73BDF-8228-475C-B83F-AF577F399A99}" name="Coste LÃ­nea" totalsRowFunction="sum" dataDxfId="1548" totalsRowDxfId="1547" dataCellStyle="Moneda">
      <calculatedColumnFormula>+Tabla1103453454455456479116117118120740126148156186254256287328340[[#This Row],[Coste Componente]]*Tabla1103453454455456479116117118120740126148156186254256287328340[[#This Row],[Unidades]]</calculatedColumnFormula>
    </tableColumn>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1" xr:uid="{4640F7F8-2F58-4C40-BFB9-3180145FA698}" name="Tabla1103453454455456479116117118120740126148156186254256287328340342" displayName="Tabla1103453454455456479116117118120740126148156186254256287328340342" ref="B287:H290" totalsRowCount="1" headerRowDxfId="1529" dataDxfId="1527" totalsRowDxfId="1528" headerRowBorderDxfId="9732" tableBorderDxfId="9731" totalsRowBorderDxfId="9730">
  <autoFilter ref="B287:H289" xr:uid="{4640F7F8-2F58-4C40-BFB9-3180145FA698}"/>
  <sortState xmlns:xlrd2="http://schemas.microsoft.com/office/spreadsheetml/2017/richdata2" ref="B288:H288">
    <sortCondition descending="1" ref="H97:H111"/>
  </sortState>
  <tableColumns count="7">
    <tableColumn id="2" xr3:uid="{B3B5F124-C5CA-4429-A1AC-4792EB8B1D57}" name="ArtÃ­culo" dataDxfId="1543" totalsRowDxfId="1542"/>
    <tableColumn id="3" xr3:uid="{D892D82A-301F-434B-A1AF-F291745B7595}" name="Unidad Medida" dataDxfId="1541" totalsRowDxfId="1540"/>
    <tableColumn id="4" xr3:uid="{8E9E6C54-2428-4801-835C-AC249905BC33}" name="Unidades Netas" dataDxfId="1539" totalsRowDxfId="1538"/>
    <tableColumn id="1" xr3:uid="{089E2350-0556-4A40-9A3F-D628DAFCB2DF}" name="% Merma" dataDxfId="1537" totalsRowDxfId="1536"/>
    <tableColumn id="7" xr3:uid="{B6A741C1-9782-4FED-9F0F-9BE258B66130}" name="Unidades" dataDxfId="1535" totalsRowDxfId="1534"/>
    <tableColumn id="5" xr3:uid="{A03781DE-FB46-4123-93C2-47C6FCBA37E2}" name="Coste Componente" dataDxfId="1533" totalsRowDxfId="1532" dataCellStyle="Moneda">
      <calculatedColumnFormula>+VLOOKUP(Tabla1103453454455456479116117118120740126148156186254256287328340342[[#This Row],[ArtÃ­culo]],Tabla34[#All],3,0)</calculatedColumnFormula>
    </tableColumn>
    <tableColumn id="6" xr3:uid="{48F08BB9-80C3-4942-9D4F-F17AAEB2DA9B}" name="Coste LÃ­nea" totalsRowFunction="sum" dataDxfId="1531" totalsRowDxfId="1530" dataCellStyle="Moneda">
      <calculatedColumnFormula>+Tabla1103453454455456479116117118120740126148156186254256287328340342[[#This Row],[Coste Componente]]*Tabla1103453454455456479116117118120740126148156186254256287328340342[[#This Row],[Unidades]]</calculatedColumnFormula>
    </tableColumn>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2" xr:uid="{1E1A036B-149C-4CA7-95CC-E0C61A2116EF}" name="Tabla1103453454455456479116117118120740126148156186254256287328340342343" displayName="Tabla1103453454455456479116117118120740126148156186254256287328340342343" ref="B295:H298" totalsRowCount="1" headerRowDxfId="1512" dataDxfId="1510" totalsRowDxfId="1511" headerRowBorderDxfId="9729" tableBorderDxfId="9728" totalsRowBorderDxfId="9727">
  <autoFilter ref="B295:H297" xr:uid="{1E1A036B-149C-4CA7-95CC-E0C61A2116EF}"/>
  <sortState xmlns:xlrd2="http://schemas.microsoft.com/office/spreadsheetml/2017/richdata2" ref="B296:H296">
    <sortCondition descending="1" ref="H97:H111"/>
  </sortState>
  <tableColumns count="7">
    <tableColumn id="2" xr3:uid="{C8A3821A-21EA-4013-8C29-DDC2761AE024}" name="ArtÃ­culo" dataDxfId="1526" totalsRowDxfId="1525"/>
    <tableColumn id="3" xr3:uid="{F6780E28-4D52-4044-8182-EDE49D14BF5B}" name="Unidad Medida" dataDxfId="1524" totalsRowDxfId="1523"/>
    <tableColumn id="4" xr3:uid="{AFE69DB1-B516-4901-A955-44AFE6B2020E}" name="Unidades Netas" dataDxfId="1522" totalsRowDxfId="1521"/>
    <tableColumn id="1" xr3:uid="{2A40EE39-3463-4989-95FB-0A4E6E9EC252}" name="% Merma" dataDxfId="1520" totalsRowDxfId="1519"/>
    <tableColumn id="7" xr3:uid="{E847CF05-8C0D-4C99-8B7E-248188FBE6CF}" name="Unidades" dataDxfId="1518" totalsRowDxfId="1517"/>
    <tableColumn id="5" xr3:uid="{2D1A78A3-020C-4B8C-BE3F-2EA5FB471F64}" name="Coste Componente" dataDxfId="1516" totalsRowDxfId="1515" dataCellStyle="Moneda">
      <calculatedColumnFormula>+VLOOKUP(Tabla1103453454455456479116117118120740126148156186254256287328340342343[[#This Row],[ArtÃ­culo]],Tabla34[#All],3,0)</calculatedColumnFormula>
    </tableColumn>
    <tableColumn id="6" xr3:uid="{8BD5D245-DD82-4D7C-874E-08132E189413}" name="Coste LÃ­nea" totalsRowFunction="sum" dataDxfId="1514" totalsRowDxfId="1513" dataCellStyle="Moneda">
      <calculatedColumnFormula>+Tabla1103453454455456479116117118120740126148156186254256287328340342343[[#This Row],[Coste Componente]]*Tabla1103453454455456479116117118120740126148156186254256287328340342343[[#This Row],[Unidades]]</calculatedColumnFormula>
    </tableColumn>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3" xr:uid="{9BCCED5D-0833-4181-9332-680BB0A2FE56}" name="Tabla1103453454455456479116117118120740126148156186254256287328340342343344" displayName="Tabla1103453454455456479116117118120740126148156186254256287328340342343344" ref="B303:H306" totalsRowCount="1" headerRowDxfId="1495" dataDxfId="1493" totalsRowDxfId="1494" headerRowBorderDxfId="9726" tableBorderDxfId="9725" totalsRowBorderDxfId="9724">
  <autoFilter ref="B303:H305" xr:uid="{9BCCED5D-0833-4181-9332-680BB0A2FE56}"/>
  <sortState xmlns:xlrd2="http://schemas.microsoft.com/office/spreadsheetml/2017/richdata2" ref="B304:H304">
    <sortCondition descending="1" ref="H97:H111"/>
  </sortState>
  <tableColumns count="7">
    <tableColumn id="2" xr3:uid="{F84CA611-FF9E-4D43-B25D-BD305C32A859}" name="ArtÃ­culo" dataDxfId="1509" totalsRowDxfId="1508"/>
    <tableColumn id="3" xr3:uid="{ADA3A77B-FE23-4182-9DC6-2DA6C596D6AD}" name="Unidad Medida" dataDxfId="1507" totalsRowDxfId="1506"/>
    <tableColumn id="4" xr3:uid="{924ADF5D-EB5E-4106-9A12-B723374EE077}" name="Unidades Netas" dataDxfId="1505" totalsRowDxfId="1504"/>
    <tableColumn id="1" xr3:uid="{2E87BFF9-11D3-4E9E-B9FD-8969069C9DCC}" name="% Merma" dataDxfId="1503" totalsRowDxfId="1502"/>
    <tableColumn id="7" xr3:uid="{E2B38E65-E513-483A-88A9-80AD14BD43B0}" name="Unidades" dataDxfId="1501" totalsRowDxfId="1500"/>
    <tableColumn id="5" xr3:uid="{91B3A648-C0B7-4E8E-9B2D-CB950D9AA6A9}" name="Coste Componente" dataDxfId="1499" totalsRowDxfId="1498" dataCellStyle="Moneda">
      <calculatedColumnFormula>+VLOOKUP(Tabla1103453454455456479116117118120740126148156186254256287328340342343344[[#This Row],[ArtÃ­culo]],Tabla34[#All],3,0)</calculatedColumnFormula>
    </tableColumn>
    <tableColumn id="6" xr3:uid="{DAFC202D-2ADE-4AFB-9C7C-EB51A25D2F4D}" name="Coste LÃ­nea" totalsRowFunction="sum" dataDxfId="1497" totalsRowDxfId="1496" dataCellStyle="Moneda">
      <calculatedColumnFormula>+Tabla1103453454455456479116117118120740126148156186254256287328340342343344[[#This Row],[Coste Componente]]*Tabla1103453454455456479116117118120740126148156186254256287328340342343344[[#This Row],[Unidades]]</calculatedColumnFormula>
    </tableColumn>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5" xr:uid="{9E2F9A8D-D010-4B71-B506-46196B36C693}" name="Tabla1103453454455456479116117118120740126148156186254256287328340342343346" displayName="Tabla1103453454455456479116117118120740126148156186254256287328340342343346" ref="B312:H322" totalsRowCount="1" headerRowDxfId="1478" dataDxfId="1476" totalsRowDxfId="1477" headerRowBorderDxfId="9723" tableBorderDxfId="9722" totalsRowBorderDxfId="9721">
  <autoFilter ref="B312:H321" xr:uid="{9E2F9A8D-D010-4B71-B506-46196B36C693}"/>
  <sortState xmlns:xlrd2="http://schemas.microsoft.com/office/spreadsheetml/2017/richdata2" ref="B313:H313">
    <sortCondition descending="1" ref="H97:H111"/>
  </sortState>
  <tableColumns count="7">
    <tableColumn id="2" xr3:uid="{656F12F7-731B-4A45-8AB6-D40AF05A9810}" name="ArtÃ­culo" dataDxfId="1492" totalsRowDxfId="1491"/>
    <tableColumn id="3" xr3:uid="{653228CA-DD40-4CB5-AC0E-5101245E327A}" name="Unidad Medida" dataDxfId="1490" totalsRowDxfId="1489"/>
    <tableColumn id="4" xr3:uid="{9D6BAD1C-D0F9-45B9-89E3-4DA26FABFB9D}" name="Unidades Netas" dataDxfId="1488" totalsRowDxfId="1487"/>
    <tableColumn id="1" xr3:uid="{BD4CEEA6-F4F0-44E7-93B1-4BCA0204AA8D}" name="% Merma" dataDxfId="1486" totalsRowDxfId="1485"/>
    <tableColumn id="7" xr3:uid="{787BD1F2-5659-49D4-8253-770E870387B0}" name="Unidades" dataDxfId="1484" totalsRowDxfId="1483"/>
    <tableColumn id="5" xr3:uid="{5CC67903-2B79-493F-8549-75CFA5643A5E}" name="Coste Componente" dataDxfId="1482" totalsRowDxfId="1481" dataCellStyle="Moneda">
      <calculatedColumnFormula>+VLOOKUP(Tabla1103453454455456479116117118120740126148156186254256287328340342343346[[#This Row],[ArtÃ­culo]],Tabla34[#All],3,0)</calculatedColumnFormula>
    </tableColumn>
    <tableColumn id="6" xr3:uid="{21389C1F-C682-4D96-B3C8-9032D27669AF}" name="Coste LÃ­nea" totalsRowFunction="sum" dataDxfId="1480" totalsRowDxfId="1479" dataCellStyle="Moneda">
      <calculatedColumnFormula>+Tabla1103453454455456479116117118120740126148156186254256287328340342343346[[#This Row],[Coste Componente]]*Tabla1103453454455456479116117118120740126148156186254256287328340342343346[[#This Row],[Unidades]]</calculatedColumnFormula>
    </tableColumn>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6" xr:uid="{022B4230-0161-4673-8451-64CB24AD9479}" name="Tabla1103453454455456479116117118120740126148156186254256287328340342343347" displayName="Tabla1103453454455456479116117118120740126148156186254256287328340342343347" ref="B327:H337" totalsRowCount="1" headerRowDxfId="1461" dataDxfId="1459" totalsRowDxfId="1460" headerRowBorderDxfId="9720" tableBorderDxfId="9719" totalsRowBorderDxfId="9718">
  <autoFilter ref="B327:H336" xr:uid="{022B4230-0161-4673-8451-64CB24AD9479}"/>
  <sortState xmlns:xlrd2="http://schemas.microsoft.com/office/spreadsheetml/2017/richdata2" ref="B328:H328">
    <sortCondition descending="1" ref="H97:H111"/>
  </sortState>
  <tableColumns count="7">
    <tableColumn id="2" xr3:uid="{1E12188C-F5FE-4919-B43D-66077C601158}" name="ArtÃ­culo" dataDxfId="1475" totalsRowDxfId="1474"/>
    <tableColumn id="3" xr3:uid="{D73DFFCB-6E0B-4BBD-90A5-FD51D1856890}" name="Unidad Medida" dataDxfId="1473" totalsRowDxfId="1472"/>
    <tableColumn id="4" xr3:uid="{D354D8F2-670A-4196-BF40-52602F4F0EDA}" name="Unidades Netas" dataDxfId="1471" totalsRowDxfId="1470"/>
    <tableColumn id="1" xr3:uid="{447FAC61-EA3D-4BBF-A723-2F066B862809}" name="% Merma" dataDxfId="1469" totalsRowDxfId="1468"/>
    <tableColumn id="7" xr3:uid="{816C77EE-D2CB-4EC6-8B3E-5BA1A0895A88}" name="Unidades" dataDxfId="1467" totalsRowDxfId="1466"/>
    <tableColumn id="5" xr3:uid="{AFA4575D-1269-4C7C-AB9A-B8A73A92194C}" name="Coste Componente" dataDxfId="1465" totalsRowDxfId="1464" dataCellStyle="Moneda">
      <calculatedColumnFormula>+VLOOKUP(Tabla1103453454455456479116117118120740126148156186254256287328340342343347[[#This Row],[ArtÃ­culo]],Tabla34[#All],3,0)</calculatedColumnFormula>
    </tableColumn>
    <tableColumn id="6" xr3:uid="{E775A1EA-5647-403F-A26D-39452C58DCC2}" name="Coste LÃ­nea" totalsRowFunction="sum" dataDxfId="1463" totalsRowDxfId="1462" dataCellStyle="Moneda">
      <calculatedColumnFormula>+Tabla1103453454455456479116117118120740126148156186254256287328340342343347[[#This Row],[Coste Componente]]*Tabla1103453454455456479116117118120740126148156186254256287328340342343347[[#This Row],[Unidades]]</calculatedColumnFormula>
    </tableColumn>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8" xr:uid="{AE741913-57E6-4391-9055-C429251DDFC4}" name="Tabla1103453454455456479116117118120740126148156186254256287328340342343349" displayName="Tabla1103453454455456479116117118120740126148156186254256287328340342343349" ref="B340:H345" totalsRowCount="1" headerRowDxfId="1444" dataDxfId="1442" totalsRowDxfId="1443" headerRowBorderDxfId="9717" tableBorderDxfId="9716" totalsRowBorderDxfId="9715">
  <autoFilter ref="B340:H344" xr:uid="{AE741913-57E6-4391-9055-C429251DDFC4}"/>
  <sortState xmlns:xlrd2="http://schemas.microsoft.com/office/spreadsheetml/2017/richdata2" ref="B341:H341">
    <sortCondition descending="1" ref="H97:H111"/>
  </sortState>
  <tableColumns count="7">
    <tableColumn id="2" xr3:uid="{40952DBB-5F7C-421C-877E-0762659A2765}" name="ArtÃ­culo" dataDxfId="1458" totalsRowDxfId="1457"/>
    <tableColumn id="3" xr3:uid="{EE924448-6182-433A-85A7-66BEFBA4CA98}" name="Unidad Medida" dataDxfId="1456" totalsRowDxfId="1455"/>
    <tableColumn id="4" xr3:uid="{A0028619-2ACE-41F0-B12C-7697D572239B}" name="Unidades Netas" dataDxfId="1454" totalsRowDxfId="1453"/>
    <tableColumn id="1" xr3:uid="{8F1477E3-2250-4CA2-8296-933518E66000}" name="% Merma" dataDxfId="1452" totalsRowDxfId="1451"/>
    <tableColumn id="7" xr3:uid="{62FF56FC-9216-4521-97DF-1466BA0FD61D}" name="Unidades" dataDxfId="1450" totalsRowDxfId="1449"/>
    <tableColumn id="5" xr3:uid="{247142F4-2DD7-4A51-AA0B-C6A3FF560ED4}" name="Coste Componente" dataDxfId="1448" totalsRowDxfId="1447" dataCellStyle="Moneda">
      <calculatedColumnFormula>+VLOOKUP(Tabla1103453454455456479116117118120740126148156186254256287328340342343349[[#This Row],[ArtÃ­culo]],Tabla34[#All],3,0)</calculatedColumnFormula>
    </tableColumn>
    <tableColumn id="6" xr3:uid="{856DA4E4-54AF-473F-81C4-794B7EA0801D}" name="Coste LÃ­nea" totalsRowFunction="sum" dataDxfId="1446" totalsRowDxfId="1445" dataCellStyle="Moneda">
      <calculatedColumnFormula>+Tabla1103453454455456479116117118120740126148156186254256287328340342343349[[#This Row],[Coste Componente]]*Tabla1103453454455456479116117118120740126148156186254256287328340342343349[[#This Row],[Unidades]]</calculatedColumnFormula>
    </tableColumn>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0" xr:uid="{6B7F5F5C-9432-4A7F-B9C6-9232B682F06D}" name="Tabla1103453454455456479116117118120740126148156186254256287328340342343349351" displayName="Tabla1103453454455456479116117118120740126148156186254256287328340342343349351" ref="B348:H355" totalsRowCount="1" headerRowDxfId="1427" dataDxfId="1425" totalsRowDxfId="1426" headerRowBorderDxfId="9714" tableBorderDxfId="9713" totalsRowBorderDxfId="9712">
  <autoFilter ref="B348:H354" xr:uid="{6B7F5F5C-9432-4A7F-B9C6-9232B682F06D}"/>
  <sortState xmlns:xlrd2="http://schemas.microsoft.com/office/spreadsheetml/2017/richdata2" ref="B349:H349">
    <sortCondition descending="1" ref="H97:H111"/>
  </sortState>
  <tableColumns count="7">
    <tableColumn id="2" xr3:uid="{3FCACFD3-B398-484A-9AEC-5A953EEC3811}" name="ArtÃ­culo" dataDxfId="1441" totalsRowDxfId="1440"/>
    <tableColumn id="3" xr3:uid="{E9FCD8CA-55DA-4FCC-A853-D2F6B93204DF}" name="Unidad Medida" dataDxfId="1439" totalsRowDxfId="1438"/>
    <tableColumn id="4" xr3:uid="{574146D4-AED6-4F01-9B88-973686C75C91}" name="Unidades Netas" dataDxfId="1437" totalsRowDxfId="1436"/>
    <tableColumn id="1" xr3:uid="{A472D2C0-E09F-47B5-AAD1-B39F263F2B11}" name="% Merma" dataDxfId="1435" totalsRowDxfId="1434"/>
    <tableColumn id="7" xr3:uid="{30CCC3F7-F6E0-4609-8DC7-BFE009DA0510}" name="Unidades" dataDxfId="1433" totalsRowDxfId="1432"/>
    <tableColumn id="5" xr3:uid="{7A41266B-8912-4994-AA19-D00E5A077D83}" name="Coste Componente" dataDxfId="1431" totalsRowDxfId="1430" dataCellStyle="Moneda">
      <calculatedColumnFormula>+VLOOKUP(Tabla1103453454455456479116117118120740126148156186254256287328340342343349351[[#This Row],[ArtÃ­culo]],Tabla34[#All],3,0)</calculatedColumnFormula>
    </tableColumn>
    <tableColumn id="6" xr3:uid="{36EC4069-E9CE-4441-8108-95298AD506F8}" name="Coste LÃ­nea" totalsRowFunction="sum" dataDxfId="1429" totalsRowDxfId="1428" dataCellStyle="Moneda">
      <calculatedColumnFormula>+Tabla1103453454455456479116117118120740126148156186254256287328340342343349351[[#This Row],[Coste Componente]]*Tabla1103453454455456479116117118120740126148156186254256287328340342343349351[[#This Row],[Unidades]]</calculatedColumnFormula>
    </tableColumn>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3" xr:uid="{11AE1918-5E34-4F26-A3E6-E1C37C377785}" name="Tabla1103453454455456479116117118120740126148156186254256287328340342343349354" displayName="Tabla1103453454455456479116117118120740126148156186254256287328340342343349354" ref="B359:H370" totalsRowCount="1" headerRowDxfId="1410" dataDxfId="1408" totalsRowDxfId="1409" headerRowBorderDxfId="9711" tableBorderDxfId="9710" totalsRowBorderDxfId="9709">
  <autoFilter ref="B359:H369" xr:uid="{11AE1918-5E34-4F26-A3E6-E1C37C377785}"/>
  <sortState xmlns:xlrd2="http://schemas.microsoft.com/office/spreadsheetml/2017/richdata2" ref="B360:H360">
    <sortCondition descending="1" ref="H97:H111"/>
  </sortState>
  <tableColumns count="7">
    <tableColumn id="2" xr3:uid="{2297FFD7-9464-4C71-AEE8-949CF7F75DE5}" name="ArtÃ­culo" dataDxfId="1424" totalsRowDxfId="1423"/>
    <tableColumn id="3" xr3:uid="{190BC26F-2E56-471B-9B29-587687729B79}" name="Unidad Medida" dataDxfId="1422" totalsRowDxfId="1421"/>
    <tableColumn id="4" xr3:uid="{D031F8B6-475B-41B2-97CD-BD56E03A2B75}" name="Unidades Netas" dataDxfId="1420" totalsRowDxfId="1419"/>
    <tableColumn id="1" xr3:uid="{2BE1D2B9-A481-4009-82ED-AFD28AEA4B6B}" name="% Merma" dataDxfId="1418" totalsRowDxfId="1417"/>
    <tableColumn id="7" xr3:uid="{990E33E9-AFEA-48D3-9140-3ADBACB3669B}" name="Unidades" dataDxfId="1416" totalsRowDxfId="1415"/>
    <tableColumn id="5" xr3:uid="{E4DFE26F-4CB5-4D13-AA27-F0606EAD8098}" name="Coste Componente" dataDxfId="1414" totalsRowDxfId="1413" dataCellStyle="Moneda">
      <calculatedColumnFormula>+VLOOKUP(Tabla1103453454455456479116117118120740126148156186254256287328340342343349354[[#This Row],[ArtÃ­culo]],Tabla34[#All],3,0)</calculatedColumnFormula>
    </tableColumn>
    <tableColumn id="6" xr3:uid="{3F69DD42-FBBD-4645-A733-A83718940A06}" name="Coste LÃ­nea" totalsRowFunction="sum" dataDxfId="1412" totalsRowDxfId="1411" dataCellStyle="Moneda">
      <calculatedColumnFormula>+Tabla1103453454455456479116117118120740126148156186254256287328340342343349354[[#This Row],[Coste Componente]]*Tabla1103453454455456479116117118120740126148156186254256287328340342343349354[[#This Row],[Unidades]]</calculatedColumnFormula>
    </tableColumn>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5" xr:uid="{3B13FB85-B8C5-4980-8583-42E1EE9B667E}" name="Tabla1103453454455456479116117118120740126148156186254256287328340342343349356" displayName="Tabla1103453454455456479116117118120740126148156186254256287328340342343349356" ref="B374:H377" totalsRowCount="1" headerRowDxfId="1393" dataDxfId="1391" totalsRowDxfId="1392" headerRowBorderDxfId="9708" tableBorderDxfId="9707" totalsRowBorderDxfId="9706">
  <autoFilter ref="B374:H376" xr:uid="{3B13FB85-B8C5-4980-8583-42E1EE9B667E}"/>
  <sortState xmlns:xlrd2="http://schemas.microsoft.com/office/spreadsheetml/2017/richdata2" ref="B375:H375">
    <sortCondition descending="1" ref="H97:H111"/>
  </sortState>
  <tableColumns count="7">
    <tableColumn id="2" xr3:uid="{03A6FCF0-8728-4C60-981D-68EF1EC4BEFF}" name="ArtÃ­culo" dataDxfId="1407" totalsRowDxfId="1406"/>
    <tableColumn id="3" xr3:uid="{CDDFF500-6E33-465F-883D-30F441D25F40}" name="Unidad Medida" dataDxfId="1405" totalsRowDxfId="1404"/>
    <tableColumn id="4" xr3:uid="{4BDE8411-CC98-46C1-A05C-7DF1DE3A9A3F}" name="Unidades Netas" dataDxfId="1403" totalsRowDxfId="1402"/>
    <tableColumn id="1" xr3:uid="{D3F2BC27-0C57-45EB-BBA4-B0DDF0F74478}" name="% Merma" dataDxfId="1401" totalsRowDxfId="1400"/>
    <tableColumn id="7" xr3:uid="{8F8E929C-61BC-4339-9C07-B7CB1F5A277D}" name="Unidades" dataDxfId="1399" totalsRowDxfId="1398"/>
    <tableColumn id="5" xr3:uid="{5ABFC2A8-F118-42E2-8631-8CB3957FBDEA}" name="Coste Componente" dataDxfId="1397" totalsRowDxfId="1396" dataCellStyle="Moneda">
      <calculatedColumnFormula>+VLOOKUP(Tabla1103453454455456479116117118120740126148156186254256287328340342343349356[[#This Row],[ArtÃ­culo]],Tabla34[#All],3,0)</calculatedColumnFormula>
    </tableColumn>
    <tableColumn id="6" xr3:uid="{1437EFCC-BDCA-48D8-AEFF-D7883B5F7B03}" name="Coste LÃ­nea" totalsRowFunction="sum" dataDxfId="1395" totalsRowDxfId="1394" dataCellStyle="Moneda">
      <calculatedColumnFormula>+Tabla1103453454455456479116117118120740126148156186254256287328340342343349356[[#This Row],[Coste Componente]]*Tabla1103453454455456479116117118120740126148156186254256287328340342343349356[[#This Row],[Unidades]]</calculatedColumnFormula>
    </tableColumn>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7" xr:uid="{4C27567C-67A3-4942-A050-449B1E41C35F}" name="Tabla1103453454455456479116117118120740126148156186254256287328340342343349358" displayName="Tabla1103453454455456479116117118120740126148156186254256287328340342343349358" ref="B381:H386" totalsRowCount="1" headerRowDxfId="1376" dataDxfId="1374" totalsRowDxfId="1375" headerRowBorderDxfId="9705" tableBorderDxfId="9704" totalsRowBorderDxfId="9703">
  <autoFilter ref="B381:H385" xr:uid="{4C27567C-67A3-4942-A050-449B1E41C35F}"/>
  <sortState xmlns:xlrd2="http://schemas.microsoft.com/office/spreadsheetml/2017/richdata2" ref="B382:H382">
    <sortCondition descending="1" ref="H97:H111"/>
  </sortState>
  <tableColumns count="7">
    <tableColumn id="2" xr3:uid="{F0291A74-A2C6-49AB-9C85-204E44999B76}" name="ArtÃ­culo" dataDxfId="1390" totalsRowDxfId="1389"/>
    <tableColumn id="3" xr3:uid="{2255612B-D1D6-4728-9227-F523E7FCF0EE}" name="Unidad Medida" dataDxfId="1388" totalsRowDxfId="1387"/>
    <tableColumn id="4" xr3:uid="{E7D596CC-AD4A-4D8F-94B5-03B2F60F48B1}" name="Unidades Netas" dataDxfId="1386" totalsRowDxfId="1385"/>
    <tableColumn id="1" xr3:uid="{733313A5-DE09-40C3-88C9-505B3035324D}" name="% Merma" dataDxfId="1384" totalsRowDxfId="1383"/>
    <tableColumn id="7" xr3:uid="{48CE5AFF-476E-48F2-A715-AFC9538C6E87}" name="Unidades" dataDxfId="1382" totalsRowDxfId="1381"/>
    <tableColumn id="5" xr3:uid="{41DD71FD-A19A-49D8-8430-75B8A3FD4C0F}" name="Coste Componente" dataDxfId="1380" totalsRowDxfId="1379" dataCellStyle="Moneda">
      <calculatedColumnFormula>+VLOOKUP(Tabla1103453454455456479116117118120740126148156186254256287328340342343349358[[#This Row],[ArtÃ­culo]],Tabla34[#All],3,0)</calculatedColumnFormula>
    </tableColumn>
    <tableColumn id="6" xr3:uid="{0B3CB7FF-F84B-4348-B1B6-8F2E7DD30CD7}" name="Coste LÃ­nea" totalsRowFunction="sum" dataDxfId="1378" totalsRowDxfId="1377" dataCellStyle="Moneda">
      <calculatedColumnFormula>+Tabla1103453454455456479116117118120740126148156186254256287328340342343349358[[#This Row],[Coste Componente]]*Tabla1103453454455456479116117118120740126148156186254256287328340342343349358[[#This Row],[Unidades]]</calculatedColumnFormula>
    </tableColumn>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1" xr:uid="{0ECE5919-A1A7-4504-BAD9-A357C54280A2}" name="Tabla1103453454455456479116117118120740126148156186254256287328340342343349362" displayName="Tabla1103453454455456479116117118120740126148156186254256287328340342343349362" ref="B390:H394" totalsRowCount="1" headerRowDxfId="1359" dataDxfId="1357" totalsRowDxfId="1358" headerRowBorderDxfId="9702" tableBorderDxfId="9701" totalsRowBorderDxfId="9700">
  <autoFilter ref="B390:H393" xr:uid="{0ECE5919-A1A7-4504-BAD9-A357C54280A2}"/>
  <sortState xmlns:xlrd2="http://schemas.microsoft.com/office/spreadsheetml/2017/richdata2" ref="B391:H391">
    <sortCondition descending="1" ref="H97:H111"/>
  </sortState>
  <tableColumns count="7">
    <tableColumn id="2" xr3:uid="{9F68A4D6-2C22-49A9-BB68-5A614F58F9EE}" name="ArtÃ­culo" dataDxfId="1373" totalsRowDxfId="1372"/>
    <tableColumn id="3" xr3:uid="{C4A98A26-6531-43FF-8D1C-55D99DAC2EFD}" name="Unidad Medida" dataDxfId="1371" totalsRowDxfId="1370"/>
    <tableColumn id="4" xr3:uid="{3C03FE56-FC10-4FA1-9DB0-838BD0494B7C}" name="Unidades Netas" dataDxfId="1369" totalsRowDxfId="1368"/>
    <tableColumn id="1" xr3:uid="{6F2E4404-8E49-481C-9F48-F26D1F7458BE}" name="% Merma" dataDxfId="1367" totalsRowDxfId="1366"/>
    <tableColumn id="7" xr3:uid="{85A25FBE-B5B3-46D5-B6A1-BE072E13A440}" name="Unidades" dataDxfId="1365" totalsRowDxfId="1364"/>
    <tableColumn id="5" xr3:uid="{4F7E0CC1-43F3-4E19-9513-B29134230CD0}" name="Coste Componente" dataDxfId="1363" totalsRowDxfId="1362" dataCellStyle="Moneda">
      <calculatedColumnFormula>+VLOOKUP(Tabla1103453454455456479116117118120740126148156186254256287328340342343349362[[#This Row],[ArtÃ­culo]],Tabla34[#All],3,0)</calculatedColumnFormula>
    </tableColumn>
    <tableColumn id="6" xr3:uid="{9C30C249-6EF1-4BF9-94D8-3AE657F22FB6}" name="Coste LÃ­nea" totalsRowFunction="sum" dataDxfId="1361" totalsRowDxfId="1360" dataCellStyle="Moneda">
      <calculatedColumnFormula>+Tabla1103453454455456479116117118120740126148156186254256287328340342343349362[[#This Row],[Coste Componente]]*Tabla1103453454455456479116117118120740126148156186254256287328340342343349362[[#This Row],[Unidades]]</calculatedColumnFormula>
    </tableColumn>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2" xr:uid="{6ACE8D72-9D2A-4970-9BF0-845EDB0CD6D0}" name="Tabla1103453454455456479116117118120740126148156186254256287328340342343349363" displayName="Tabla1103453454455456479116117118120740126148156186254256287328340342343349363" ref="B399:H412" totalsRowCount="1" headerRowDxfId="1342" dataDxfId="1340" totalsRowDxfId="1341" headerRowBorderDxfId="9699" tableBorderDxfId="9698" totalsRowBorderDxfId="9697">
  <autoFilter ref="B399:H411" xr:uid="{6ACE8D72-9D2A-4970-9BF0-845EDB0CD6D0}"/>
  <sortState xmlns:xlrd2="http://schemas.microsoft.com/office/spreadsheetml/2017/richdata2" ref="B400:H400">
    <sortCondition descending="1" ref="H97:H111"/>
  </sortState>
  <tableColumns count="7">
    <tableColumn id="2" xr3:uid="{CFAF10FD-72A0-4480-8D06-C8E7E662F422}" name="ArtÃ­culo" dataDxfId="1356" totalsRowDxfId="1355"/>
    <tableColumn id="3" xr3:uid="{EE8C3304-401A-42CC-B811-AAF454332EC3}" name="Unidad Medida" dataDxfId="1354" totalsRowDxfId="1353"/>
    <tableColumn id="4" xr3:uid="{03799D54-8849-443E-A37E-AA36C95EA3E7}" name="Unidades Netas" dataDxfId="1352" totalsRowDxfId="1351"/>
    <tableColumn id="1" xr3:uid="{95266072-F0FD-47B5-870F-18F47E4E64FF}" name="% Merma" dataDxfId="1350" totalsRowDxfId="1349"/>
    <tableColumn id="7" xr3:uid="{D8ED0D0C-C443-4707-A558-D94A7D6035D1}" name="Unidades" dataDxfId="1348" totalsRowDxfId="1347"/>
    <tableColumn id="5" xr3:uid="{D29E44EB-A521-41B7-AFB0-0B3FE3A64307}" name="Coste Componente" dataDxfId="1346" totalsRowDxfId="1345" dataCellStyle="Moneda">
      <calculatedColumnFormula>+VLOOKUP(Tabla1103453454455456479116117118120740126148156186254256287328340342343349363[[#This Row],[ArtÃ­culo]],Tabla34[#All],3,0)</calculatedColumnFormula>
    </tableColumn>
    <tableColumn id="6" xr3:uid="{9F7C656A-A2C7-479E-B092-F011B8D31D34}" name="Coste LÃ­nea" totalsRowFunction="sum" dataDxfId="1344" totalsRowDxfId="1343" dataCellStyle="Moneda">
      <calculatedColumnFormula>+Tabla1103453454455456479116117118120740126148156186254256287328340342343349363[[#This Row],[Coste Componente]]*Tabla1103453454455456479116117118120740126148156186254256287328340342343349363[[#This Row],[Unidades]]</calculatedColumnFormula>
    </tableColumn>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3" xr:uid="{A6BFA0ED-B76D-4F69-85AF-34F36695584A}" name="Tabla1103453454455456479116117118120740126148156186254256287328340342343349364" displayName="Tabla1103453454455456479116117118120740126148156186254256287328340342343349364" ref="B415:H428" totalsRowCount="1" headerRowDxfId="1325" dataDxfId="1323" totalsRowDxfId="1324" headerRowBorderDxfId="9696" tableBorderDxfId="9695" totalsRowBorderDxfId="9694">
  <autoFilter ref="B415:H427" xr:uid="{A6BFA0ED-B76D-4F69-85AF-34F36695584A}"/>
  <sortState xmlns:xlrd2="http://schemas.microsoft.com/office/spreadsheetml/2017/richdata2" ref="B416:H416">
    <sortCondition descending="1" ref="H97:H111"/>
  </sortState>
  <tableColumns count="7">
    <tableColumn id="2" xr3:uid="{CD21A677-5E2D-4193-A9A7-C40E7413D474}" name="ArtÃ­culo" dataDxfId="1339" totalsRowDxfId="1338"/>
    <tableColumn id="3" xr3:uid="{E6DD097D-7938-4D08-9366-A405C002CF6E}" name="Unidad Medida" dataDxfId="1337" totalsRowDxfId="1336"/>
    <tableColumn id="4" xr3:uid="{2F83CADE-D250-4CD9-9956-E697B618468F}" name="Unidades Netas" dataDxfId="1335" totalsRowDxfId="1334"/>
    <tableColumn id="1" xr3:uid="{D9A07E4F-E660-4073-B527-9DCB8244B50D}" name="% Merma" dataDxfId="1333" totalsRowDxfId="1332"/>
    <tableColumn id="7" xr3:uid="{933DA0BA-3452-44C5-97D3-948F50BD03A7}" name="Unidades" dataDxfId="1331" totalsRowDxfId="1330"/>
    <tableColumn id="5" xr3:uid="{8CF224CE-EE90-44E8-A068-BC575C69716C}" name="Coste Componente" dataDxfId="1329" totalsRowDxfId="1328" dataCellStyle="Moneda">
      <calculatedColumnFormula>+VLOOKUP(Tabla1103453454455456479116117118120740126148156186254256287328340342343349364[[#This Row],[ArtÃ­culo]],Tabla34[#All],3,0)</calculatedColumnFormula>
    </tableColumn>
    <tableColumn id="6" xr3:uid="{BA8CFC61-F246-4F0B-BE20-FC6DF3AE60CA}" name="Coste LÃ­nea" totalsRowFunction="sum" dataDxfId="1327" totalsRowDxfId="1326" dataCellStyle="Moneda">
      <calculatedColumnFormula>+Tabla1103453454455456479116117118120740126148156186254256287328340342343349364[[#This Row],[Coste Componente]]*Tabla1103453454455456479116117118120740126148156186254256287328340342343349364[[#This Row],[Unidades]]</calculatedColumnFormula>
    </tableColumn>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5" xr:uid="{F06FA79C-86A5-4BC5-AF74-96CFCB8D45FC}" name="Tabla1103453454455456479116117118120740126148156186254256287328340342343349364366" displayName="Tabla1103453454455456479116117118120740126148156186254256287328340342343349364366" ref="B432:H439" totalsRowCount="1" headerRowDxfId="1308" dataDxfId="1306" totalsRowDxfId="1307" headerRowBorderDxfId="9693" tableBorderDxfId="9692" totalsRowBorderDxfId="9691">
  <autoFilter ref="B432:H438" xr:uid="{F06FA79C-86A5-4BC5-AF74-96CFCB8D45FC}"/>
  <sortState xmlns:xlrd2="http://schemas.microsoft.com/office/spreadsheetml/2017/richdata2" ref="B433:H433">
    <sortCondition descending="1" ref="H97:H111"/>
  </sortState>
  <tableColumns count="7">
    <tableColumn id="2" xr3:uid="{A6EEDCB4-C89D-4295-8242-D46804E2A1B3}" name="ArtÃ­culo" dataDxfId="1322" totalsRowDxfId="1321"/>
    <tableColumn id="3" xr3:uid="{0A2939A2-0964-40D9-9965-A464DE0CFEFD}" name="Unidad Medida" dataDxfId="1320" totalsRowDxfId="1319"/>
    <tableColumn id="4" xr3:uid="{3F994215-3320-4D44-A074-E99318B573BB}" name="Unidades Netas" dataDxfId="1318" totalsRowDxfId="1317"/>
    <tableColumn id="1" xr3:uid="{8E6D4375-311F-4570-A27C-A39DD4174C63}" name="% Merma" dataDxfId="1316" totalsRowDxfId="1315"/>
    <tableColumn id="7" xr3:uid="{DD8CE1CE-6EE8-4A00-BD91-B47893D58A09}" name="Unidades" dataDxfId="1314" totalsRowDxfId="1313"/>
    <tableColumn id="5" xr3:uid="{349C1176-BE31-47DE-B397-3A00D670F5EF}" name="Coste Componente" dataDxfId="1312" totalsRowDxfId="1311" dataCellStyle="Moneda">
      <calculatedColumnFormula>+VLOOKUP(Tabla1103453454455456479116117118120740126148156186254256287328340342343349364366[[#This Row],[ArtÃ­culo]],Tabla34[#All],3,0)</calculatedColumnFormula>
    </tableColumn>
    <tableColumn id="6" xr3:uid="{D609257F-C6D6-4221-BEFF-DA6DA0DB098B}" name="Coste LÃ­nea" totalsRowFunction="sum" dataDxfId="1310" totalsRowDxfId="1309" dataCellStyle="Moneda">
      <calculatedColumnFormula>+Tabla1103453454455456479116117118120740126148156186254256287328340342343349364366[[#This Row],[Coste Componente]]*Tabla1103453454455456479116117118120740126148156186254256287328340342343349364366[[#This Row],[Unidades]]</calculatedColumnFormula>
    </tableColumn>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8" xr:uid="{F484D246-33C9-4903-963C-8507F51586AD}" name="Tabla1103453454455456479116117118120740126148156186254256287328340342343349364366369" displayName="Tabla1103453454455456479116117118120740126148156186254256287328340342343349364366369" ref="B443:H452" totalsRowCount="1" headerRowDxfId="1291" dataDxfId="1289" totalsRowDxfId="1290" headerRowBorderDxfId="9690" tableBorderDxfId="9689" totalsRowBorderDxfId="9688">
  <autoFilter ref="B443:H451" xr:uid="{F484D246-33C9-4903-963C-8507F51586AD}"/>
  <sortState xmlns:xlrd2="http://schemas.microsoft.com/office/spreadsheetml/2017/richdata2" ref="B444:H444">
    <sortCondition descending="1" ref="H97:H111"/>
  </sortState>
  <tableColumns count="7">
    <tableColumn id="2" xr3:uid="{83D59027-28EA-4DC2-9484-40EA9938D89F}" name="ArtÃ­culo" dataDxfId="1305" totalsRowDxfId="1304"/>
    <tableColumn id="3" xr3:uid="{4FA578AA-9928-4764-8B44-8CC06D57FE67}" name="Unidad Medida" dataDxfId="1303" totalsRowDxfId="1302"/>
    <tableColumn id="4" xr3:uid="{BF0C4F6F-B9BA-40BD-A863-622C8F6B5549}" name="Unidades Netas" dataDxfId="1301" totalsRowDxfId="1300"/>
    <tableColumn id="1" xr3:uid="{4FE02AA6-9F27-4EE5-94F9-FA90BDC87BE2}" name="% Merma" dataDxfId="1299" totalsRowDxfId="1298"/>
    <tableColumn id="7" xr3:uid="{F78BF2F5-1864-4CD1-BD70-00FA631D20B4}" name="Unidades" dataDxfId="1297" totalsRowDxfId="1296"/>
    <tableColumn id="5" xr3:uid="{9ECE4DDF-C307-4854-8814-1B283FE0106D}" name="Coste Componente" dataDxfId="1295" totalsRowDxfId="1294" dataCellStyle="Moneda">
      <calculatedColumnFormula>+VLOOKUP(Tabla1103453454455456479116117118120740126148156186254256287328340342343349364366369[[#This Row],[ArtÃ­culo]],Tabla34[#All],3,0)</calculatedColumnFormula>
    </tableColumn>
    <tableColumn id="6" xr3:uid="{44D8865D-5F7B-4943-BD04-C9B55B592AB6}" name="Coste LÃ­nea" totalsRowFunction="sum" dataDxfId="1293" totalsRowDxfId="1292" dataCellStyle="Moneda">
      <calculatedColumnFormula>+Tabla1103453454455456479116117118120740126148156186254256287328340342343349364366369[[#This Row],[Coste Componente]]*Tabla1103453454455456479116117118120740126148156186254256287328340342343349364366369[[#This Row],[Unidades]]</calculatedColumnFormula>
    </tableColumn>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0" xr:uid="{69F11B5B-8E58-4736-AAAA-280C59375A24}" name="Tabla1103453454455456479116117118120740126148156186254256287328340342343349364366371" displayName="Tabla1103453454455456479116117118120740126148156186254256287328340342343349364366371" ref="B456:H463" totalsRowCount="1" headerRowDxfId="1274" dataDxfId="1272" totalsRowDxfId="1273" headerRowBorderDxfId="9687" tableBorderDxfId="9686" totalsRowBorderDxfId="9685">
  <autoFilter ref="B456:H462" xr:uid="{69F11B5B-8E58-4736-AAAA-280C59375A24}"/>
  <sortState xmlns:xlrd2="http://schemas.microsoft.com/office/spreadsheetml/2017/richdata2" ref="B457:H457">
    <sortCondition descending="1" ref="H97:H111"/>
  </sortState>
  <tableColumns count="7">
    <tableColumn id="2" xr3:uid="{F0FCC779-939E-4EED-9E17-50093C2B9C8E}" name="ArtÃ­culo" dataDxfId="1288" totalsRowDxfId="1287"/>
    <tableColumn id="3" xr3:uid="{93314E18-7B7B-4639-8857-0531C0DF822D}" name="Unidad Medida" dataDxfId="1286" totalsRowDxfId="1285"/>
    <tableColumn id="4" xr3:uid="{96D3C0C6-E6B6-471A-BC4B-65607BF2DD71}" name="Unidades Netas" dataDxfId="1284" totalsRowDxfId="1283"/>
    <tableColumn id="1" xr3:uid="{564B9F92-006A-40AE-BD96-F54171E9BB30}" name="% Merma" dataDxfId="1282" totalsRowDxfId="1281"/>
    <tableColumn id="7" xr3:uid="{D30BF81E-994B-4D3C-BEFD-86CC8E6EEB78}" name="Unidades" dataDxfId="1280" totalsRowDxfId="1279"/>
    <tableColumn id="5" xr3:uid="{1979EB64-9C6D-44C8-817C-4370903377E5}" name="Coste Componente" dataDxfId="1278" totalsRowDxfId="1277" dataCellStyle="Moneda">
      <calculatedColumnFormula>+VLOOKUP(Tabla1103453454455456479116117118120740126148156186254256287328340342343349364366371[[#This Row],[ArtÃ­culo]],Tabla34[#All],3,0)</calculatedColumnFormula>
    </tableColumn>
    <tableColumn id="6" xr3:uid="{DFFAD89B-9402-4EED-87D9-9CC1F8EEE58B}" name="Coste LÃ­nea" totalsRowFunction="sum" dataDxfId="1276" totalsRowDxfId="1275" dataCellStyle="Moneda">
      <calculatedColumnFormula>+Tabla1103453454455456479116117118120740126148156186254256287328340342343349364366371[[#This Row],[Coste Componente]]*Tabla1103453454455456479116117118120740126148156186254256287328340342343349364366371[[#This Row],[Unidades]]</calculatedColumnFormula>
    </tableColumn>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3" xr:uid="{1C7F6FB8-6BEF-4F71-9642-C48ED42B48EC}" name="Tabla1103453454455456479116117118120740126148156186254256287328340342343349364366374" displayName="Tabla1103453454455456479116117118120740126148156186254256287328340342343349364366374" ref="B467:H479" totalsRowCount="1" headerRowDxfId="1257" dataDxfId="1255" totalsRowDxfId="1256" headerRowBorderDxfId="9684" tableBorderDxfId="9683" totalsRowBorderDxfId="9682">
  <autoFilter ref="B467:H478" xr:uid="{1C7F6FB8-6BEF-4F71-9642-C48ED42B48EC}"/>
  <sortState xmlns:xlrd2="http://schemas.microsoft.com/office/spreadsheetml/2017/richdata2" ref="B468:H468">
    <sortCondition descending="1" ref="H97:H111"/>
  </sortState>
  <tableColumns count="7">
    <tableColumn id="2" xr3:uid="{CAE3371F-4FCA-4E22-8599-7EEFCBD3FF06}" name="ArtÃ­culo" dataDxfId="1271" totalsRowDxfId="1270"/>
    <tableColumn id="3" xr3:uid="{B266578F-DACE-4474-8B5F-DEF4F22B02EF}" name="Unidad Medida" dataDxfId="1269" totalsRowDxfId="1268"/>
    <tableColumn id="4" xr3:uid="{3D53A931-5343-403B-9C62-1DE84A9E44A3}" name="Unidades Netas" dataDxfId="1267" totalsRowDxfId="1266"/>
    <tableColumn id="1" xr3:uid="{EACB6AE4-0985-436C-BD2E-89A4843B154B}" name="% Merma" dataDxfId="1265" totalsRowDxfId="1264"/>
    <tableColumn id="7" xr3:uid="{C1A89301-5E1A-4565-9504-62BE72250543}" name="Unidades" dataDxfId="1263" totalsRowDxfId="1262"/>
    <tableColumn id="5" xr3:uid="{88C6947D-B82C-41B0-84BD-9139569D6F1C}" name="Coste Componente" dataDxfId="1261" totalsRowDxfId="1260" dataCellStyle="Moneda">
      <calculatedColumnFormula>+VLOOKUP(Tabla1103453454455456479116117118120740126148156186254256287328340342343349364366374[[#This Row],[ArtÃ­culo]],Tabla34[#All],3,0)</calculatedColumnFormula>
    </tableColumn>
    <tableColumn id="6" xr3:uid="{1ECB1CE4-5035-4441-A2F2-A4857A830D40}" name="Coste LÃ­nea" totalsRowFunction="sum" dataDxfId="1259" totalsRowDxfId="1258" dataCellStyle="Moneda">
      <calculatedColumnFormula>+Tabla1103453454455456479116117118120740126148156186254256287328340342343349364366374[[#This Row],[Coste Componente]]*Tabla1103453454455456479116117118120740126148156186254256287328340342343349364366374[[#This Row],[Unidades]]</calculatedColumnFormula>
    </tableColumn>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5" xr:uid="{75B48C58-1173-467A-85C6-3276FD5C20D6}" name="Tabla1103453454455456479116117118120740126148156186254256287328340342343349364366376" displayName="Tabla1103453454455456479116117118120740126148156186254256287328340342343349364366376" ref="B483:H489" totalsRowCount="1" headerRowDxfId="1240" dataDxfId="1238" totalsRowDxfId="1239" headerRowBorderDxfId="9681" tableBorderDxfId="9680" totalsRowBorderDxfId="9679">
  <autoFilter ref="B483:H488" xr:uid="{75B48C58-1173-467A-85C6-3276FD5C20D6}"/>
  <sortState xmlns:xlrd2="http://schemas.microsoft.com/office/spreadsheetml/2017/richdata2" ref="B484:H484">
    <sortCondition descending="1" ref="H97:H111"/>
  </sortState>
  <tableColumns count="7">
    <tableColumn id="2" xr3:uid="{55BA7146-8990-454E-ABB7-CEF7626829D8}" name="ArtÃ­culo" dataDxfId="1254" totalsRowDxfId="1253"/>
    <tableColumn id="3" xr3:uid="{94C83F04-10A1-4520-B1BC-4E9511DEDE2A}" name="Unidad Medida" dataDxfId="1252" totalsRowDxfId="1251"/>
    <tableColumn id="4" xr3:uid="{5569AF14-8759-41D7-A355-E86404C10BF3}" name="Unidades Netas" dataDxfId="1250" totalsRowDxfId="1249"/>
    <tableColumn id="1" xr3:uid="{396EAA6E-764F-4F49-833D-C7E0B902AC95}" name="% Merma" dataDxfId="1248" totalsRowDxfId="1247"/>
    <tableColumn id="7" xr3:uid="{D37852C5-DB57-48D6-8025-0D704F401030}" name="Unidades" dataDxfId="1246" totalsRowDxfId="1245"/>
    <tableColumn id="5" xr3:uid="{9A4B5B0A-B914-4336-B666-9A975A5DE6B4}" name="Coste Componente" dataDxfId="1244" totalsRowDxfId="1243" dataCellStyle="Moneda">
      <calculatedColumnFormula>+VLOOKUP(Tabla1103453454455456479116117118120740126148156186254256287328340342343349364366376[[#This Row],[ArtÃ­culo]],Tabla34[#All],3,0)</calculatedColumnFormula>
    </tableColumn>
    <tableColumn id="6" xr3:uid="{8A26E4ED-D753-4FD1-B0E7-037CB8071BEE}" name="Coste LÃ­nea" totalsRowFunction="sum" dataDxfId="1242" totalsRowDxfId="1241" dataCellStyle="Moneda">
      <calculatedColumnFormula>+Tabla1103453454455456479116117118120740126148156186254256287328340342343349364366376[[#This Row],[Coste Componente]]*Tabla1103453454455456479116117118120740126148156186254256287328340342343349364366376[[#This Row],[Unidades]]</calculatedColumnFormula>
    </tableColumn>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1" xr:uid="{41DB313B-79CC-4762-94B1-D29AD4B1BF85}" name="Tabla1103453454455456479116117118120740126148156186254256287328340342343349364366382" displayName="Tabla1103453454455456479116117118120740126148156186254256287328340342343349364366382" ref="B494:H496" totalsRowCount="1" headerRowDxfId="1223" dataDxfId="1221" totalsRowDxfId="1222" headerRowBorderDxfId="9678" tableBorderDxfId="9677" totalsRowBorderDxfId="9676">
  <autoFilter ref="B494:H495" xr:uid="{41DB313B-79CC-4762-94B1-D29AD4B1BF85}"/>
  <sortState xmlns:xlrd2="http://schemas.microsoft.com/office/spreadsheetml/2017/richdata2" ref="B495:H495">
    <sortCondition descending="1" ref="H97:H111"/>
  </sortState>
  <tableColumns count="7">
    <tableColumn id="2" xr3:uid="{6E5BAF75-A47D-4BF6-A1AA-E97A723EC36D}" name="ArtÃ­culo" dataDxfId="1237" totalsRowDxfId="1236"/>
    <tableColumn id="3" xr3:uid="{A6BD2711-7E62-4495-A38D-4DA85EE0F6BC}" name="Unidad Medida" dataDxfId="1235" totalsRowDxfId="1234"/>
    <tableColumn id="4" xr3:uid="{713B4F48-D09D-4A99-8E30-51E274ED7184}" name="Unidades Netas" dataDxfId="1233" totalsRowDxfId="1232"/>
    <tableColumn id="1" xr3:uid="{A5CA896A-D020-4A08-8FCE-30880479CBB7}" name="% Merma" dataDxfId="1231" totalsRowDxfId="1230"/>
    <tableColumn id="7" xr3:uid="{3B847735-1680-4E4D-87C4-F2F4F21C993E}" name="Unidades" dataDxfId="1229" totalsRowDxfId="1228"/>
    <tableColumn id="5" xr3:uid="{71959294-6F50-4A22-9C23-B6BE83080763}" name="Coste Componente" dataDxfId="1227" totalsRowDxfId="1226" dataCellStyle="Moneda">
      <calculatedColumnFormula>+VLOOKUP(Tabla1103453454455456479116117118120740126148156186254256287328340342343349364366382[[#This Row],[ArtÃ­culo]],Tabla34[#All],3,0)</calculatedColumnFormula>
    </tableColumn>
    <tableColumn id="6" xr3:uid="{53DC63E7-A626-44C1-BCC7-89812347F467}" name="Coste LÃ­nea" totalsRowFunction="sum" dataDxfId="1225" totalsRowDxfId="1224" dataCellStyle="Moneda">
      <calculatedColumnFormula>+Tabla1103453454455456479116117118120740126148156186254256287328340342343349364366382[[#This Row],[Coste Componente]]*Tabla1103453454455456479116117118120740126148156186254256287328340342343349364366382[[#This Row],[Unidades]]</calculatedColumnFormula>
    </tableColumn>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2" xr:uid="{4296FA2C-25CD-4297-ADF8-2CC34F9BAE14}" name="Tabla1103453454455456479116117118120740126148156186254256287328340342343349364366383" displayName="Tabla1103453454455456479116117118120740126148156186254256287328340342343349364366383" ref="B501:H504" totalsRowCount="1" headerRowDxfId="1206" dataDxfId="1204" totalsRowDxfId="1205" headerRowBorderDxfId="9675" tableBorderDxfId="9674" totalsRowBorderDxfId="9673">
  <autoFilter ref="B501:H503" xr:uid="{4296FA2C-25CD-4297-ADF8-2CC34F9BAE14}"/>
  <sortState xmlns:xlrd2="http://schemas.microsoft.com/office/spreadsheetml/2017/richdata2" ref="B502:H502">
    <sortCondition descending="1" ref="H97:H111"/>
  </sortState>
  <tableColumns count="7">
    <tableColumn id="2" xr3:uid="{D76A6A66-ED5E-42FA-8571-7553F6867350}" name="ArtÃ­culo" dataDxfId="1220" totalsRowDxfId="1219"/>
    <tableColumn id="3" xr3:uid="{AC120500-9E90-4B1B-8E3E-97B5FFE1BD69}" name="Unidad Medida" dataDxfId="1218" totalsRowDxfId="1217"/>
    <tableColumn id="4" xr3:uid="{F080315B-0A66-4EAF-9889-88DD87AF2DE8}" name="Unidades Netas" dataDxfId="1216" totalsRowDxfId="1215"/>
    <tableColumn id="1" xr3:uid="{64D08F77-4326-41E6-8289-F760AA02CB50}" name="% Merma" dataDxfId="1214" totalsRowDxfId="1213"/>
    <tableColumn id="7" xr3:uid="{30DE8C6D-9535-4329-B902-1D2FB8100F00}" name="Unidades" dataDxfId="1212" totalsRowDxfId="1211"/>
    <tableColumn id="5" xr3:uid="{DE8CC7A9-B679-4032-8EDF-40EDFB89ED94}" name="Coste Componente" dataDxfId="1210" totalsRowDxfId="1209" dataCellStyle="Moneda">
      <calculatedColumnFormula>+VLOOKUP(Tabla1103453454455456479116117118120740126148156186254256287328340342343349364366383[[#This Row],[ArtÃ­culo]],Tabla34[#All],3,0)</calculatedColumnFormula>
    </tableColumn>
    <tableColumn id="6" xr3:uid="{F158D7E8-F8E3-4E0B-AFCE-657290A35124}" name="Coste LÃ­nea" totalsRowFunction="sum" dataDxfId="1208" totalsRowDxfId="1207" dataCellStyle="Moneda">
      <calculatedColumnFormula>+Tabla1103453454455456479116117118120740126148156186254256287328340342343349364366383[[#This Row],[Coste Componente]]*Tabla1103453454455456479116117118120740126148156186254256287328340342343349364366383[[#This Row],[Unidades]]</calculatedColumnFormula>
    </tableColumn>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0" xr:uid="{F8701A47-FC24-4F39-8785-6E0D6EAF2EC1}" name="Tabla1103453454455456479116117118120740126148156186254256287328340342343349364366376401" displayName="Tabla1103453454455456479116117118120740126148156186254256287328340342343349364366376401" ref="B508:H512" totalsRowCount="1" headerRowDxfId="1189" dataDxfId="1187" totalsRowDxfId="1188" headerRowBorderDxfId="9672" tableBorderDxfId="9671" totalsRowBorderDxfId="9670">
  <autoFilter ref="B508:H511" xr:uid="{F8701A47-FC24-4F39-8785-6E0D6EAF2EC1}"/>
  <sortState xmlns:xlrd2="http://schemas.microsoft.com/office/spreadsheetml/2017/richdata2" ref="B509:H509">
    <sortCondition descending="1" ref="H97:H111"/>
  </sortState>
  <tableColumns count="7">
    <tableColumn id="2" xr3:uid="{911B1017-AB30-4A67-BD41-FE1FFFC1DE97}" name="ArtÃ­culo" dataDxfId="1203" totalsRowDxfId="1202"/>
    <tableColumn id="3" xr3:uid="{64592196-FBC6-48BD-9267-A4FD9673E209}" name="Unidad Medida" dataDxfId="1201" totalsRowDxfId="1200"/>
    <tableColumn id="4" xr3:uid="{C507F14E-000E-4C4D-BAF9-F76E4A59542F}" name="Unidades Netas" dataDxfId="1199" totalsRowDxfId="1198"/>
    <tableColumn id="1" xr3:uid="{046DDC72-4482-4453-AAFA-F3C2F662CCF9}" name="% Merma" dataDxfId="1197" totalsRowDxfId="1196"/>
    <tableColumn id="7" xr3:uid="{C8FD8FA1-DB78-4E4A-ABEC-DCAD62470285}" name="Unidades" dataDxfId="1195" totalsRowDxfId="1194"/>
    <tableColumn id="5" xr3:uid="{C0D7CCFF-1F31-495D-B037-7EEE006EA19A}" name="Coste Componente" dataDxfId="1193" totalsRowDxfId="1192" dataCellStyle="Moneda">
      <calculatedColumnFormula>+VLOOKUP(Tabla1103453454455456479116117118120740126148156186254256287328340342343349364366376401[[#This Row],[ArtÃ­culo]],Tabla34[#All],3,0)</calculatedColumnFormula>
    </tableColumn>
    <tableColumn id="6" xr3:uid="{D25FA992-9C47-443E-9269-8F8ACCC4DC4F}" name="Coste LÃ­nea" totalsRowFunction="sum" dataDxfId="1191" totalsRowDxfId="1190" dataCellStyle="Moneda">
      <calculatedColumnFormula>+Tabla1103453454455456479116117118120740126148156186254256287328340342343349364366376401[[#This Row],[Coste Componente]]*Tabla1103453454455456479116117118120740126148156186254256287328340342343349364366376401[[#This Row],[Unidades]]</calculatedColumnFormula>
    </tableColumn>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49D34890-7AAD-4E88-B852-430B01F08BB9}" name="Tabla1103453454455456479116117118120740126148156186254256287328340342343349364366376401403" displayName="Tabla1103453454455456479116117118120740126148156186254256287328340342343349364366376401403" ref="B517:H524" totalsRowCount="1" headerRowDxfId="1172" dataDxfId="1170" totalsRowDxfId="1171" headerRowBorderDxfId="9669" tableBorderDxfId="9668" totalsRowBorderDxfId="9667">
  <autoFilter ref="B517:H523" xr:uid="{49D34890-7AAD-4E88-B852-430B01F08BB9}"/>
  <sortState xmlns:xlrd2="http://schemas.microsoft.com/office/spreadsheetml/2017/richdata2" ref="B518:H518">
    <sortCondition descending="1" ref="H97:H111"/>
  </sortState>
  <tableColumns count="7">
    <tableColumn id="2" xr3:uid="{E89D08CA-8507-429D-A90D-73271275440B}" name="ArtÃ­culo" dataDxfId="1186" totalsRowDxfId="1185"/>
    <tableColumn id="3" xr3:uid="{5F5C972F-60E1-4C8A-99AE-F479405C6A4A}" name="Unidad Medida" dataDxfId="1184" totalsRowDxfId="1183"/>
    <tableColumn id="4" xr3:uid="{16FC5FBA-52F9-4938-A754-D2CAB7779112}" name="Unidades Netas" dataDxfId="1182" totalsRowDxfId="1181"/>
    <tableColumn id="1" xr3:uid="{61172465-1B27-43FB-802E-F24253A74429}" name="% Merma" dataDxfId="1180" totalsRowDxfId="1179"/>
    <tableColumn id="7" xr3:uid="{A2012687-0C2F-486A-B81A-506C025FA59F}" name="Unidades" dataDxfId="1178" totalsRowDxfId="1177"/>
    <tableColumn id="5" xr3:uid="{2FFFF507-B9F3-4C4D-8411-23D67183AD02}" name="Coste Componente" dataDxfId="1176" totalsRowDxfId="1175" dataCellStyle="Moneda">
      <calculatedColumnFormula>+VLOOKUP(Tabla1103453454455456479116117118120740126148156186254256287328340342343349364366376401403[[#This Row],[ArtÃ­culo]],Tabla34[#All],3,0)</calculatedColumnFormula>
    </tableColumn>
    <tableColumn id="6" xr3:uid="{2B464A2A-DFFD-49D1-AC02-AD3AEA41A5A9}" name="Coste LÃ­nea" totalsRowFunction="sum" dataDxfId="1174" totalsRowDxfId="1173" dataCellStyle="Moneda">
      <calculatedColumnFormula>+Tabla1103453454455456479116117118120740126148156186254256287328340342343349364366376401403[[#This Row],[Coste Componente]]*Tabla1103453454455456479116117118120740126148156186254256287328340342343349364366376401403[[#This Row],[Unidades]]</calculatedColumnFormula>
    </tableColumn>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4" xr:uid="{5AFE4C00-B220-4BB4-8131-D21F4E34E15A}" name="Tabla1103453454455456479116117118120740126148156186254256287328340342343349364366376401405" displayName="Tabla1103453454455456479116117118120740126148156186254256287328340342343349364366376401405" ref="B527:H533" totalsRowCount="1" headerRowDxfId="1155" dataDxfId="1153" totalsRowDxfId="1154" headerRowBorderDxfId="9666" tableBorderDxfId="9665" totalsRowBorderDxfId="9664">
  <autoFilter ref="B527:H532" xr:uid="{5AFE4C00-B220-4BB4-8131-D21F4E34E15A}"/>
  <sortState xmlns:xlrd2="http://schemas.microsoft.com/office/spreadsheetml/2017/richdata2" ref="B528:H528">
    <sortCondition descending="1" ref="H97:H111"/>
  </sortState>
  <tableColumns count="7">
    <tableColumn id="2" xr3:uid="{8D981348-6AA3-4ABF-A538-CE4180705CAC}" name="ArtÃ­culo" dataDxfId="1169" totalsRowDxfId="1168"/>
    <tableColumn id="3" xr3:uid="{9C7B4A17-F2E8-4623-A84B-30A477ED9724}" name="Unidad Medida" dataDxfId="1167" totalsRowDxfId="1166"/>
    <tableColumn id="4" xr3:uid="{9CF19DF6-FA14-40A3-9E65-F9B96B49B4EE}" name="Unidades Netas" dataDxfId="1165" totalsRowDxfId="1164"/>
    <tableColumn id="1" xr3:uid="{F99DE46B-1697-48BE-BD0B-E1AF9BA2DEF3}" name="% Merma" dataDxfId="1163" totalsRowDxfId="1162"/>
    <tableColumn id="7" xr3:uid="{D2B1941F-9510-491B-8829-140F9870DC03}" name="Unidades" dataDxfId="1161" totalsRowDxfId="1160"/>
    <tableColumn id="5" xr3:uid="{E3FB8F85-C751-499A-9C82-BE55666102BC}" name="Coste Componente" dataDxfId="1159" totalsRowDxfId="1158" dataCellStyle="Moneda">
      <calculatedColumnFormula>+VLOOKUP(Tabla1103453454455456479116117118120740126148156186254256287328340342343349364366376401405[[#This Row],[ArtÃ­culo]],Tabla34[#All],3,0)</calculatedColumnFormula>
    </tableColumn>
    <tableColumn id="6" xr3:uid="{A647E70F-4C62-4A70-9DFC-AEA97CA47D40}" name="Coste LÃ­nea" totalsRowFunction="sum" dataDxfId="1157" totalsRowDxfId="1156" dataCellStyle="Moneda">
      <calculatedColumnFormula>+Tabla1103453454455456479116117118120740126148156186254256287328340342343349364366376401405[[#This Row],[Coste Componente]]*Tabla1103453454455456479116117118120740126148156186254256287328340342343349364366376401405[[#This Row],[Unidades]]</calculatedColumnFormula>
    </tableColumn>
  </tableColumns>
  <tableStyleInfo name="TableStyleLight8"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5" xr:uid="{CB61A145-3423-48DA-BB3E-90071F039584}" name="Tabla1103453454455456479116117118120740126148156186254256287328340342343349364366376401406" displayName="Tabla1103453454455456479116117118120740126148156186254256287328340342343349364366376401406" ref="B537:H543" totalsRowCount="1" headerRowDxfId="1138" dataDxfId="1136" totalsRowDxfId="1137" headerRowBorderDxfId="9663" tableBorderDxfId="9662" totalsRowBorderDxfId="9661">
  <autoFilter ref="B537:H542" xr:uid="{CB61A145-3423-48DA-BB3E-90071F039584}"/>
  <sortState xmlns:xlrd2="http://schemas.microsoft.com/office/spreadsheetml/2017/richdata2" ref="B538:H538">
    <sortCondition descending="1" ref="H97:H111"/>
  </sortState>
  <tableColumns count="7">
    <tableColumn id="2" xr3:uid="{AE66DC0E-0589-4937-B156-A0B6F20AEBC0}" name="ArtÃ­culo" dataDxfId="1152" totalsRowDxfId="1151"/>
    <tableColumn id="3" xr3:uid="{343FE4BE-8022-4CE8-8A09-FD122EA56E03}" name="Unidad Medida" dataDxfId="1150" totalsRowDxfId="1149"/>
    <tableColumn id="4" xr3:uid="{D809ED8B-A3A4-4494-A881-693FDDC674AF}" name="Unidades Netas" dataDxfId="1148" totalsRowDxfId="1147"/>
    <tableColumn id="1" xr3:uid="{9A5CA151-1B8B-4A05-83BA-3449061DC5FE}" name="% Merma" dataDxfId="1146" totalsRowDxfId="1145"/>
    <tableColumn id="7" xr3:uid="{04C2A62A-F816-40A3-A234-3F91EEDA0B39}" name="Unidades" dataDxfId="1144" totalsRowDxfId="1143"/>
    <tableColumn id="5" xr3:uid="{410AD10F-5553-49D2-94B2-C555444D05D6}" name="Coste Componente" dataDxfId="1142" totalsRowDxfId="1141" dataCellStyle="Moneda">
      <calculatedColumnFormula>+VLOOKUP(Tabla1103453454455456479116117118120740126148156186254256287328340342343349364366376401406[[#This Row],[ArtÃ­culo]],Tabla34[#All],3,0)</calculatedColumnFormula>
    </tableColumn>
    <tableColumn id="6" xr3:uid="{C8F9DF1A-7F67-4BD0-98C2-F0A6FDEE4272}" name="Coste LÃ­nea" totalsRowFunction="sum" dataDxfId="1140" totalsRowDxfId="1139" dataCellStyle="Moneda">
      <calculatedColumnFormula>+Tabla1103453454455456479116117118120740126148156186254256287328340342343349364366376401406[[#This Row],[Coste Componente]]*Tabla1103453454455456479116117118120740126148156186254256287328340342343349364366376401406[[#This Row],[Unidades]]</calculatedColumnFormula>
    </tableColumn>
  </tableColumns>
  <tableStyleInfo name="TableStyleLight8"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2" xr:uid="{A76DB416-542F-4A70-B291-B56D0B857A27}" name="Tabla1103453454455456479116117118120740126148156186254256287328340342343349364366376401413" displayName="Tabla1103453454455456479116117118120740126148156186254256287328340342343349364366376401413" ref="B547:H551" totalsRowCount="1" headerRowDxfId="1121" dataDxfId="1119" totalsRowDxfId="1120" headerRowBorderDxfId="9660" tableBorderDxfId="9659" totalsRowBorderDxfId="9658">
  <autoFilter ref="B547:H550" xr:uid="{A76DB416-542F-4A70-B291-B56D0B857A27}"/>
  <sortState xmlns:xlrd2="http://schemas.microsoft.com/office/spreadsheetml/2017/richdata2" ref="B548:H548">
    <sortCondition descending="1" ref="H97:H111"/>
  </sortState>
  <tableColumns count="7">
    <tableColumn id="2" xr3:uid="{8C279D36-E847-4751-BC47-90C4FA0D77CF}" name="ArtÃ­culo" dataDxfId="1135" totalsRowDxfId="1134"/>
    <tableColumn id="3" xr3:uid="{3D48CC99-F3AF-4BFA-B86B-7710E8BBDEA1}" name="Unidad Medida" dataDxfId="1133" totalsRowDxfId="1132"/>
    <tableColumn id="4" xr3:uid="{38F7C6D0-75C2-4A5F-9386-0806D0860111}" name="Unidades Netas" dataDxfId="1131" totalsRowDxfId="1130"/>
    <tableColumn id="1" xr3:uid="{7F0AF124-7611-4550-A163-958FBE0F9DCB}" name="% Merma" dataDxfId="1129" totalsRowDxfId="1128"/>
    <tableColumn id="7" xr3:uid="{E6B2613F-6ED7-4654-92FA-9B818A7438C3}" name="Unidades" dataDxfId="1127" totalsRowDxfId="1126"/>
    <tableColumn id="5" xr3:uid="{E8857925-871A-4E0A-B4E3-720ECB73F0DD}" name="Coste Componente" dataDxfId="1125" totalsRowDxfId="1124" dataCellStyle="Moneda">
      <calculatedColumnFormula>+VLOOKUP(Tabla1103453454455456479116117118120740126148156186254256287328340342343349364366376401413[[#This Row],[ArtÃ­culo]],Tabla34[#All],3,0)</calculatedColumnFormula>
    </tableColumn>
    <tableColumn id="6" xr3:uid="{FE680ABC-BC62-4735-A3BE-6A505425B6E7}" name="Coste LÃ­nea" totalsRowFunction="sum" dataDxfId="1123" totalsRowDxfId="1122" dataCellStyle="Moneda">
      <calculatedColumnFormula>+Tabla1103453454455456479116117118120740126148156186254256287328340342343349364366376401413[[#This Row],[Coste Componente]]*Tabla1103453454455456479116117118120740126148156186254256287328340342343349364366376401413[[#This Row],[Unidades]]</calculatedColumnFormula>
    </tableColumn>
  </tableColumns>
  <tableStyleInfo name="TableStyleLight8"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4" xr:uid="{987DBF25-40D5-4335-BD52-B929E4CE02AB}" name="Tabla1103453454455456479116117118120740126148156186254256287328340342343349364366376401413415" displayName="Tabla1103453454455456479116117118120740126148156186254256287328340342343349364366376401413415" ref="B555:H561" totalsRowCount="1" headerRowDxfId="1104" dataDxfId="1102" totalsRowDxfId="1103" headerRowBorderDxfId="9657" tableBorderDxfId="9656" totalsRowBorderDxfId="9655">
  <autoFilter ref="B555:H560" xr:uid="{987DBF25-40D5-4335-BD52-B929E4CE02AB}"/>
  <sortState xmlns:xlrd2="http://schemas.microsoft.com/office/spreadsheetml/2017/richdata2" ref="B556:H556">
    <sortCondition descending="1" ref="H97:H111"/>
  </sortState>
  <tableColumns count="7">
    <tableColumn id="2" xr3:uid="{D26338DE-980D-4E10-9381-1E5DF6B993CB}" name="ArtÃ­culo" dataDxfId="1118" totalsRowDxfId="1117"/>
    <tableColumn id="3" xr3:uid="{6B9A4400-8168-4BED-9FF3-32A11DE52EC5}" name="Unidad Medida" dataDxfId="1116" totalsRowDxfId="1115"/>
    <tableColumn id="4" xr3:uid="{4634F10D-C779-45E3-81C4-B566DFD7A904}" name="Unidades Netas" dataDxfId="1114" totalsRowDxfId="1113"/>
    <tableColumn id="1" xr3:uid="{7F8832DA-9FC8-4CE0-B589-8760D8B33684}" name="% Merma" dataDxfId="1112" totalsRowDxfId="1111"/>
    <tableColumn id="7" xr3:uid="{ED508C14-BEEE-41B7-9E86-0F55FB489E05}" name="Unidades" dataDxfId="1110" totalsRowDxfId="1109"/>
    <tableColumn id="5" xr3:uid="{BB49858B-C73A-404E-B091-C3652C56BBEF}" name="Coste Componente" dataDxfId="1108" totalsRowDxfId="1107" dataCellStyle="Moneda">
      <calculatedColumnFormula>+VLOOKUP(Tabla1103453454455456479116117118120740126148156186254256287328340342343349364366376401413415[[#This Row],[ArtÃ­culo]],Tabla34[#All],3,0)</calculatedColumnFormula>
    </tableColumn>
    <tableColumn id="6" xr3:uid="{D5C52635-4ED9-4578-88FB-2819A0A49A15}" name="Coste LÃ­nea" totalsRowFunction="sum" dataDxfId="1106" totalsRowDxfId="1105" dataCellStyle="Moneda">
      <calculatedColumnFormula>+Tabla1103453454455456479116117118120740126148156186254256287328340342343349364366376401413415[[#This Row],[Coste Componente]]*Tabla1103453454455456479116117118120740126148156186254256287328340342343349364366376401413415[[#This Row],[Unidades]]</calculatedColumnFormula>
    </tableColumn>
  </tableColumns>
  <tableStyleInfo name="TableStyleLight8"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6" xr:uid="{7A689E6A-0164-46D0-A6A1-2980AF415052}" name="Tabla1103453454455456479116117118120740126148156186254256287328340342343349364366376401413415417" displayName="Tabla1103453454455456479116117118120740126148156186254256287328340342343349364366376401413415417" ref="B565:H574" totalsRowCount="1" headerRowDxfId="1087" dataDxfId="1085" totalsRowDxfId="1086" headerRowBorderDxfId="9654" tableBorderDxfId="9653" totalsRowBorderDxfId="9652">
  <autoFilter ref="B565:H573" xr:uid="{7A689E6A-0164-46D0-A6A1-2980AF415052}"/>
  <sortState xmlns:xlrd2="http://schemas.microsoft.com/office/spreadsheetml/2017/richdata2" ref="B566:H566">
    <sortCondition descending="1" ref="H97:H111"/>
  </sortState>
  <tableColumns count="7">
    <tableColumn id="2" xr3:uid="{18644A3E-948A-485B-9F56-249648D8CAED}" name="ArtÃ­culo" dataDxfId="1101" totalsRowDxfId="1100"/>
    <tableColumn id="3" xr3:uid="{838618D9-F2F7-4AA3-A831-0B40E20824FA}" name="Unidad Medida" dataDxfId="1099" totalsRowDxfId="1098"/>
    <tableColumn id="4" xr3:uid="{BBB8DCE4-95D4-4896-86FB-9FCE7890C8AC}" name="Unidades Netas" dataDxfId="1097" totalsRowDxfId="1096"/>
    <tableColumn id="1" xr3:uid="{59DA500F-EA72-4639-9160-16C12E7DE130}" name="% Merma" dataDxfId="1095" totalsRowDxfId="1094"/>
    <tableColumn id="7" xr3:uid="{B0BAD96F-F4D3-4396-9DC8-B8AA972C8468}" name="Unidades" dataDxfId="1093" totalsRowDxfId="1092"/>
    <tableColumn id="5" xr3:uid="{B2BBD1C9-545F-4E70-8649-27952ADCAE3D}" name="Coste Componente" dataDxfId="1091" totalsRowDxfId="1090" dataCellStyle="Moneda">
      <calculatedColumnFormula>+VLOOKUP(Tabla1103453454455456479116117118120740126148156186254256287328340342343349364366376401413415417[[#This Row],[ArtÃ­culo]],Tabla34[#All],3,0)</calculatedColumnFormula>
    </tableColumn>
    <tableColumn id="6" xr3:uid="{5AEA1FEF-6583-4977-BE79-93FBAE75DFA3}" name="Coste LÃ­nea" totalsRowFunction="sum" dataDxfId="1089" totalsRowDxfId="1088" dataCellStyle="Moneda">
      <calculatedColumnFormula>+Tabla1103453454455456479116117118120740126148156186254256287328340342343349364366376401413415417[[#This Row],[Coste Componente]]*Tabla1103453454455456479116117118120740126148156186254256287328340342343349364366376401413415417[[#This Row],[Unidades]]</calculatedColumnFormula>
    </tableColumn>
  </tableColumns>
  <tableStyleInfo name="TableStyleLight8"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8" xr:uid="{1D4374FF-5D11-419D-80D4-84DB9B470D6F}" name="Tabla1103453454455456479116117118120740126148156186254256287328340342343349364366376401413415417419" displayName="Tabla1103453454455456479116117118120740126148156186254256287328340342343349364366376401413415417419" ref="B578:H581" totalsRowCount="1" headerRowDxfId="1070" dataDxfId="1068" totalsRowDxfId="1069" headerRowBorderDxfId="9651" tableBorderDxfId="9650" totalsRowBorderDxfId="9649">
  <autoFilter ref="B578:H580" xr:uid="{1D4374FF-5D11-419D-80D4-84DB9B470D6F}"/>
  <sortState xmlns:xlrd2="http://schemas.microsoft.com/office/spreadsheetml/2017/richdata2" ref="B579:H579">
    <sortCondition descending="1" ref="H97:H111"/>
  </sortState>
  <tableColumns count="7">
    <tableColumn id="2" xr3:uid="{48FE7083-2F9D-4FBE-9CB6-72CAF7DE2738}" name="ArtÃ­culo" dataDxfId="1084" totalsRowDxfId="1083"/>
    <tableColumn id="3" xr3:uid="{51796149-D6D1-4F72-9832-B202A69C26E0}" name="Unidad Medida" dataDxfId="1082" totalsRowDxfId="1081"/>
    <tableColumn id="4" xr3:uid="{93B105EB-3413-4113-8EAB-90FE6585659D}" name="Unidades Netas" dataDxfId="1080" totalsRowDxfId="1079"/>
    <tableColumn id="1" xr3:uid="{3DC34D2D-75A1-4E27-8289-295F55214D7E}" name="% Merma" dataDxfId="1078" totalsRowDxfId="1077"/>
    <tableColumn id="7" xr3:uid="{360D8562-7FD7-4892-B654-DFDE5A6E13F6}" name="Unidades" dataDxfId="1076" totalsRowDxfId="1075"/>
    <tableColumn id="5" xr3:uid="{67270D6A-884F-4671-BE66-74B73B6BE02B}" name="Coste Componente" dataDxfId="1074" totalsRowDxfId="1073" dataCellStyle="Moneda">
      <calculatedColumnFormula>+VLOOKUP(Tabla1103453454455456479116117118120740126148156186254256287328340342343349364366376401413415417419[[#This Row],[ArtÃ­culo]],Tabla34[#All],3,0)</calculatedColumnFormula>
    </tableColumn>
    <tableColumn id="6" xr3:uid="{8053E9F7-0718-418F-9B80-80FB9345B0D7}" name="Coste LÃ­nea" totalsRowFunction="sum" dataDxfId="1072" totalsRowDxfId="1071" dataCellStyle="Moneda">
      <calculatedColumnFormula>+Tabla1103453454455456479116117118120740126148156186254256287328340342343349364366376401413415417419[[#This Row],[Coste Componente]]*Tabla1103453454455456479116117118120740126148156186254256287328340342343349364366376401413415417419[[#This Row],[Unidades]]</calculatedColumnFormula>
    </tableColumn>
  </tableColumns>
  <tableStyleInfo name="TableStyleLight8"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6" xr:uid="{F7CB68CF-21A9-4155-9B99-83C629869389}" name="Tabla1103453454455456479116117118120740126148156186254256287328340342343349364366376401413415417419427" displayName="Tabla1103453454455456479116117118120740126148156186254256287328340342343349364366376401413415417419427" ref="B585:H589" totalsRowCount="1" headerRowDxfId="1053" dataDxfId="1051" totalsRowDxfId="1052" headerRowBorderDxfId="9648" tableBorderDxfId="9647" totalsRowBorderDxfId="9646">
  <autoFilter ref="B585:H588" xr:uid="{F7CB68CF-21A9-4155-9B99-83C629869389}"/>
  <sortState xmlns:xlrd2="http://schemas.microsoft.com/office/spreadsheetml/2017/richdata2" ref="B586:H586">
    <sortCondition descending="1" ref="H97:H111"/>
  </sortState>
  <tableColumns count="7">
    <tableColumn id="2" xr3:uid="{FA89CA2D-5C4D-4C44-9379-012AC2DBB8A9}" name="ArtÃ­culo" dataDxfId="1067" totalsRowDxfId="1066"/>
    <tableColumn id="3" xr3:uid="{692DFBF5-174E-410C-A240-315B0BFA8582}" name="Unidad Medida" dataDxfId="1065" totalsRowDxfId="1064"/>
    <tableColumn id="4" xr3:uid="{62123BF9-16B0-45D0-B222-3EA1991B1022}" name="Unidades Netas" dataDxfId="1063" totalsRowDxfId="1062"/>
    <tableColumn id="1" xr3:uid="{BC6DACA5-1809-4986-BAB8-D10CBA107AB7}" name="% Merma" dataDxfId="1061" totalsRowDxfId="1060"/>
    <tableColumn id="7" xr3:uid="{B4859EF2-5D30-4FCC-80CB-C1383286D084}" name="Unidades" dataDxfId="1059" totalsRowDxfId="1058"/>
    <tableColumn id="5" xr3:uid="{0AE1F69A-86E8-49DA-9B02-25B6C8137D67}" name="Coste Componente" dataDxfId="1057" totalsRowDxfId="1056" dataCellStyle="Moneda">
      <calculatedColumnFormula>+VLOOKUP(Tabla1103453454455456479116117118120740126148156186254256287328340342343349364366376401413415417419427[[#This Row],[ArtÃ­culo]],Tabla34[#All],3,0)</calculatedColumnFormula>
    </tableColumn>
    <tableColumn id="6" xr3:uid="{4BDB24BD-1725-4855-A262-ECBA06EF26D2}" name="Coste LÃ­nea" totalsRowFunction="sum" dataDxfId="1055" totalsRowDxfId="1054" dataCellStyle="Moneda">
      <calculatedColumnFormula>+Tabla1103453454455456479116117118120740126148156186254256287328340342343349364366376401413415417419427[[#This Row],[Coste Componente]]*Tabla1103453454455456479116117118120740126148156186254256287328340342343349364366376401413415417419427[[#This Row],[Unidades]]</calculatedColumnFormula>
    </tableColumn>
  </tableColumns>
  <tableStyleInfo name="TableStyleLight8"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2" xr:uid="{AC086B55-C375-4213-B13E-42DE0129EABE}" name="Tabla1103453454455456479116117118120740126148156186254256287328340342343349364366376401413415417419433" displayName="Tabla1103453454455456479116117118120740126148156186254256287328340342343349364366376401413415417419433" ref="B594:H602" totalsRowCount="1" headerRowDxfId="1036" dataDxfId="1034" totalsRowDxfId="1035" headerRowBorderDxfId="9645" tableBorderDxfId="9644" totalsRowBorderDxfId="9643">
  <autoFilter ref="B594:H601" xr:uid="{AC086B55-C375-4213-B13E-42DE0129EABE}"/>
  <sortState xmlns:xlrd2="http://schemas.microsoft.com/office/spreadsheetml/2017/richdata2" ref="B595:H595">
    <sortCondition descending="1" ref="H97:H111"/>
  </sortState>
  <tableColumns count="7">
    <tableColumn id="2" xr3:uid="{36947723-1CA7-4722-9B74-C81A2EDCDF84}" name="ArtÃ­culo" dataDxfId="1050" totalsRowDxfId="1049"/>
    <tableColumn id="3" xr3:uid="{2A8CE6ED-8BB7-43FA-8BB4-2535BBD92BA5}" name="Unidad Medida" dataDxfId="1048" totalsRowDxfId="1047"/>
    <tableColumn id="4" xr3:uid="{DE4EC7D5-5ABD-449D-A2CA-C43FB5F439DA}" name="Unidades Netas" dataDxfId="1046" totalsRowDxfId="1045"/>
    <tableColumn id="1" xr3:uid="{411BFA86-C2AF-4A45-829E-5D9F24A61F91}" name="% Merma" dataDxfId="1044" totalsRowDxfId="1043"/>
    <tableColumn id="7" xr3:uid="{BFE5DB0D-6817-465F-817D-602ADCBAB632}" name="Unidades" dataDxfId="1042" totalsRowDxfId="1041"/>
    <tableColumn id="5" xr3:uid="{56C74437-A39C-4D57-9F77-7B994D98ACCD}" name="Coste Componente" dataDxfId="1040" totalsRowDxfId="1039" dataCellStyle="Moneda">
      <calculatedColumnFormula>+VLOOKUP(Tabla1103453454455456479116117118120740126148156186254256287328340342343349364366376401413415417419433[[#This Row],[ArtÃ­culo]],Tabla34[#All],3,0)</calculatedColumnFormula>
    </tableColumn>
    <tableColumn id="6" xr3:uid="{6F580D55-D37A-4F14-ADD0-6AB0C10FC87B}" name="Coste LÃ­nea" totalsRowFunction="sum" dataDxfId="1038" totalsRowDxfId="1037" dataCellStyle="Moneda">
      <calculatedColumnFormula>+Tabla1103453454455456479116117118120740126148156186254256287328340342343349364366376401413415417419433[[#This Row],[Coste Componente]]*Tabla1103453454455456479116117118120740126148156186254256287328340342343349364366376401413415417419433[[#This Row],[Unidades]]</calculatedColumnFormula>
    </tableColumn>
  </tableColumns>
  <tableStyleInfo name="TableStyleLight8"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3" xr:uid="{38FF2B51-FFDB-4AA2-9743-1B90C9AD790D}" name="Tabla1103453454455456479116117118120740126148156186254256287328340342343349364366376401413415417419434" displayName="Tabla1103453454455456479116117118120740126148156186254256287328340342343349364366376401413415417419434" ref="B606:H611" totalsRowCount="1" headerRowDxfId="1019" dataDxfId="1017" totalsRowDxfId="1018" headerRowBorderDxfId="9642" tableBorderDxfId="9641" totalsRowBorderDxfId="9640">
  <autoFilter ref="B606:H610" xr:uid="{38FF2B51-FFDB-4AA2-9743-1B90C9AD790D}"/>
  <sortState xmlns:xlrd2="http://schemas.microsoft.com/office/spreadsheetml/2017/richdata2" ref="B607:H607">
    <sortCondition descending="1" ref="H97:H111"/>
  </sortState>
  <tableColumns count="7">
    <tableColumn id="2" xr3:uid="{386DA5B1-2D28-4DD0-BD14-F1B18C56224F}" name="ArtÃ­culo" dataDxfId="1033" totalsRowDxfId="1032"/>
    <tableColumn id="3" xr3:uid="{5FCE624D-B6F7-445E-9759-654919D7DD7C}" name="Unidad Medida" dataDxfId="1031" totalsRowDxfId="1030"/>
    <tableColumn id="4" xr3:uid="{D42FBD0E-7A95-45A7-8F24-4D214D258698}" name="Unidades Netas" dataDxfId="1029" totalsRowDxfId="1028"/>
    <tableColumn id="1" xr3:uid="{6452C693-78DE-4DF4-AE08-16B5AFBEC086}" name="% Merma" dataDxfId="1027" totalsRowDxfId="1026"/>
    <tableColumn id="7" xr3:uid="{A5E693D4-69D0-485C-9D40-DFB88D58756D}" name="Unidades" dataDxfId="1025" totalsRowDxfId="1024"/>
    <tableColumn id="5" xr3:uid="{14C0A30F-0FFC-4C99-9C88-AE054BE87922}" name="Coste Componente" dataDxfId="1023" totalsRowDxfId="1022" dataCellStyle="Moneda">
      <calculatedColumnFormula>+VLOOKUP(Tabla1103453454455456479116117118120740126148156186254256287328340342343349364366376401413415417419434[[#This Row],[ArtÃ­culo]],Tabla34[#All],3,0)</calculatedColumnFormula>
    </tableColumn>
    <tableColumn id="6" xr3:uid="{12060B33-C1E3-4384-8A24-40F5F8357D4C}" name="Coste LÃ­nea" totalsRowFunction="sum" dataDxfId="1021" totalsRowDxfId="1020" dataCellStyle="Moneda">
      <calculatedColumnFormula>+Tabla1103453454455456479116117118120740126148156186254256287328340342343349364366376401413415417419434[[#This Row],[Coste Componente]]*Tabla1103453454455456479116117118120740126148156186254256287328340342343349364366376401413415417419434[[#This Row],[Unidades]]</calculatedColumnFormula>
    </tableColumn>
  </tableColumns>
  <tableStyleInfo name="TableStyleLight8"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4" xr:uid="{0CB3D7D9-6010-47FF-9194-737581CE408C}" name="Tabla1103453454455456479116117118120740126148156186254256287328340342343349364366376401413415417419435" displayName="Tabla1103453454455456479116117118120740126148156186254256287328340342343349364366376401413415417419435" ref="B615:H618" totalsRowCount="1" headerRowDxfId="1002" dataDxfId="1000" totalsRowDxfId="1001" headerRowBorderDxfId="9639" tableBorderDxfId="9638" totalsRowBorderDxfId="9637">
  <autoFilter ref="B615:H617" xr:uid="{0CB3D7D9-6010-47FF-9194-737581CE408C}"/>
  <sortState xmlns:xlrd2="http://schemas.microsoft.com/office/spreadsheetml/2017/richdata2" ref="B616:H616">
    <sortCondition descending="1" ref="H97:H111"/>
  </sortState>
  <tableColumns count="7">
    <tableColumn id="2" xr3:uid="{2F8CB58F-9B1A-4831-9DAA-BF9B64385329}" name="ArtÃ­culo" dataDxfId="1016" totalsRowDxfId="1015"/>
    <tableColumn id="3" xr3:uid="{303F3BC0-AA53-4140-91AF-3BE81E6535A4}" name="Unidad Medida" dataDxfId="1014" totalsRowDxfId="1013"/>
    <tableColumn id="4" xr3:uid="{4F741F6F-B7F2-4025-8BD9-719583C1BF36}" name="Unidades Netas" dataDxfId="1012" totalsRowDxfId="1011"/>
    <tableColumn id="1" xr3:uid="{07355008-00DD-46DF-B039-C54AB2A25ED6}" name="% Merma" dataDxfId="1010" totalsRowDxfId="1009"/>
    <tableColumn id="7" xr3:uid="{376EBBAA-B904-4945-9742-C5B8207A3B1E}" name="Unidades" dataDxfId="1008" totalsRowDxfId="1007"/>
    <tableColumn id="5" xr3:uid="{F0991B67-1CEF-4FB3-B480-293EC17AEAE2}" name="Coste Componente" dataDxfId="1006" totalsRowDxfId="1005" dataCellStyle="Moneda">
      <calculatedColumnFormula>+VLOOKUP(Tabla1103453454455456479116117118120740126148156186254256287328340342343349364366376401413415417419435[[#This Row],[ArtÃ­culo]],Tabla34[#All],3,0)</calculatedColumnFormula>
    </tableColumn>
    <tableColumn id="6" xr3:uid="{31C285A5-07D0-40BA-BB5F-47DA67327BD5}" name="Coste LÃ­nea" totalsRowFunction="sum" dataDxfId="1004" totalsRowDxfId="1003" dataCellStyle="Moneda">
      <calculatedColumnFormula>+Tabla1103453454455456479116117118120740126148156186254256287328340342343349364366376401413415417419435[[#This Row],[Coste Componente]]*Tabla1103453454455456479116117118120740126148156186254256287328340342343349364366376401413415417419435[[#This Row],[Unidades]]</calculatedColumnFormula>
    </tableColumn>
  </tableColumns>
  <tableStyleInfo name="TableStyleLight8"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5" xr:uid="{B051FE1A-015B-44C5-8C60-2DC9BAAAA5A5}" name="Tabla1103453454455456479116117118120740126148156186254256287328340342343349364366376401413415417419436" displayName="Tabla1103453454455456479116117118120740126148156186254256287328340342343349364366376401413415417419436" ref="B622:H626" totalsRowCount="1" headerRowDxfId="985" dataDxfId="983" totalsRowDxfId="984" headerRowBorderDxfId="9636" tableBorderDxfId="9635" totalsRowBorderDxfId="9634">
  <autoFilter ref="B622:H625" xr:uid="{B051FE1A-015B-44C5-8C60-2DC9BAAAA5A5}"/>
  <sortState xmlns:xlrd2="http://schemas.microsoft.com/office/spreadsheetml/2017/richdata2" ref="B623:H623">
    <sortCondition descending="1" ref="H97:H111"/>
  </sortState>
  <tableColumns count="7">
    <tableColumn id="2" xr3:uid="{AF415259-B7C5-4D77-B4E3-F86C6DBD3562}" name="ArtÃ­culo" dataDxfId="999" totalsRowDxfId="998"/>
    <tableColumn id="3" xr3:uid="{8B312357-68A2-4603-9E31-0C24F07D5440}" name="Unidad Medida" dataDxfId="997" totalsRowDxfId="996"/>
    <tableColumn id="4" xr3:uid="{AAFF1E88-6E2E-486F-A0A3-E18AA5738977}" name="Unidades Netas" dataDxfId="995" totalsRowDxfId="994"/>
    <tableColumn id="1" xr3:uid="{CDBA5CF1-9CAD-4BA5-BD89-5816A560EA45}" name="% Merma" dataDxfId="993" totalsRowDxfId="992"/>
    <tableColumn id="7" xr3:uid="{F87D74AD-1A93-49A8-96D3-88C37E49C0EA}" name="Unidades" dataDxfId="991" totalsRowDxfId="990"/>
    <tableColumn id="5" xr3:uid="{FBDB6320-0DB1-4D0F-BFFB-1BCD9C1DF0AF}" name="Coste Componente" dataDxfId="989" totalsRowDxfId="988" dataCellStyle="Moneda">
      <calculatedColumnFormula>+VLOOKUP(Tabla1103453454455456479116117118120740126148156186254256287328340342343349364366376401413415417419436[[#This Row],[ArtÃ­culo]],Tabla34[#All],3,0)</calculatedColumnFormula>
    </tableColumn>
    <tableColumn id="6" xr3:uid="{E7128047-44D1-48B1-9856-E17A517C9043}" name="Coste LÃ­nea" totalsRowFunction="sum" dataDxfId="987" totalsRowDxfId="986" dataCellStyle="Moneda">
      <calculatedColumnFormula>+Tabla1103453454455456479116117118120740126148156186254256287328340342343349364366376401413415417419436[[#This Row],[Coste Componente]]*Tabla1103453454455456479116117118120740126148156186254256287328340342343349364366376401413415417419436[[#This Row],[Unidades]]</calculatedColumnFormula>
    </tableColumn>
  </tableColumns>
  <tableStyleInfo name="TableStyleLight8"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3" xr:uid="{40A256D7-8712-45E1-9D1A-66F5A9306C74}" name="Tabla1103453454455456479116117118120740126148156186254256287328340342343349364366376401413415417419444" displayName="Tabla1103453454455456479116117118120740126148156186254256287328340342343349364366376401413415417419444" ref="B630:H634" totalsRowCount="1" headerRowDxfId="968" dataDxfId="966" totalsRowDxfId="967" headerRowBorderDxfId="9633" tableBorderDxfId="9632" totalsRowBorderDxfId="9631">
  <autoFilter ref="B630:H633" xr:uid="{40A256D7-8712-45E1-9D1A-66F5A9306C74}"/>
  <sortState xmlns:xlrd2="http://schemas.microsoft.com/office/spreadsheetml/2017/richdata2" ref="B631:H631">
    <sortCondition descending="1" ref="H97:H111"/>
  </sortState>
  <tableColumns count="7">
    <tableColumn id="2" xr3:uid="{9213AF84-3FFE-46F0-AC0F-CF296052AED8}" name="ArtÃ­culo" dataDxfId="982" totalsRowDxfId="981"/>
    <tableColumn id="3" xr3:uid="{263DBCA9-6E71-493F-A7FF-F3D15EB707FC}" name="Unidad Medida" dataDxfId="980" totalsRowDxfId="979"/>
    <tableColumn id="4" xr3:uid="{8F35E78E-596A-4AA3-9FFD-473ED2A08AA1}" name="Unidades Netas" dataDxfId="978" totalsRowDxfId="977"/>
    <tableColumn id="1" xr3:uid="{DC2AAD2E-8861-4FE9-BD51-748FBD735BEC}" name="% Merma" dataDxfId="976" totalsRowDxfId="975"/>
    <tableColumn id="7" xr3:uid="{06B5D403-86F4-438F-8C91-C31B6C743A62}" name="Unidades" dataDxfId="974" totalsRowDxfId="973"/>
    <tableColumn id="5" xr3:uid="{B32472EB-05DD-4FF9-BA70-1F921749D2FF}" name="Coste Componente" dataDxfId="972" totalsRowDxfId="971" dataCellStyle="Moneda">
      <calculatedColumnFormula>+VLOOKUP(Tabla1103453454455456479116117118120740126148156186254256287328340342343349364366376401413415417419444[[#This Row],[ArtÃ­culo]],Tabla34[#All],3,0)</calculatedColumnFormula>
    </tableColumn>
    <tableColumn id="6" xr3:uid="{7B53A08C-E174-4B3B-BD58-FE5C0BAF59A3}" name="Coste LÃ­nea" totalsRowFunction="sum" dataDxfId="970" totalsRowDxfId="969" dataCellStyle="Moneda">
      <calculatedColumnFormula>+Tabla1103453454455456479116117118120740126148156186254256287328340342343349364366376401413415417419444[[#This Row],[Coste Componente]]*Tabla1103453454455456479116117118120740126148156186254256287328340342343349364366376401413415417419444[[#This Row],[Unidades]]</calculatedColumnFormula>
    </tableColumn>
  </tableColumns>
  <tableStyleInfo name="TableStyleLight8"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7" xr:uid="{CBE69BAB-364F-4EDF-92E6-3CB7BCA648EA}" name="Tabla1103453454455456479116117118120740126148156186254256287328340342343349364366376401413415417419444448" displayName="Tabla1103453454455456479116117118120740126148156186254256287328340342343349364366376401413415417419444448" ref="B639:H644" totalsRowCount="1" headerRowDxfId="951" dataDxfId="949" totalsRowDxfId="950" headerRowBorderDxfId="9630" tableBorderDxfId="9629" totalsRowBorderDxfId="9628">
  <autoFilter ref="B639:H643" xr:uid="{CBE69BAB-364F-4EDF-92E6-3CB7BCA648EA}"/>
  <sortState xmlns:xlrd2="http://schemas.microsoft.com/office/spreadsheetml/2017/richdata2" ref="B640:H640">
    <sortCondition descending="1" ref="H97:H111"/>
  </sortState>
  <tableColumns count="7">
    <tableColumn id="2" xr3:uid="{2671E985-CB78-4896-94B6-2616D327CB78}" name="ArtÃ­culo" dataDxfId="965" totalsRowDxfId="964"/>
    <tableColumn id="3" xr3:uid="{14907116-7985-4030-9F03-6FA14F7E0DE8}" name="Unidad Medida" dataDxfId="963" totalsRowDxfId="962"/>
    <tableColumn id="4" xr3:uid="{0C548E7E-8091-449E-ABD7-36322D70DFDB}" name="Unidades Netas" dataDxfId="961" totalsRowDxfId="960"/>
    <tableColumn id="1" xr3:uid="{48752422-44E9-4280-A6F9-4A6C86D6983C}" name="% Merma" dataDxfId="959" totalsRowDxfId="958"/>
    <tableColumn id="7" xr3:uid="{F35EAA86-A39A-425A-8AC2-14681FAB0D8A}" name="Unidades" dataDxfId="957" totalsRowDxfId="956"/>
    <tableColumn id="5" xr3:uid="{51F487FA-BBA2-4A9F-9C24-4784E4E7D5D3}" name="Coste Componente" dataDxfId="955" totalsRowDxfId="954" dataCellStyle="Moneda">
      <calculatedColumnFormula>+VLOOKUP(Tabla1103453454455456479116117118120740126148156186254256287328340342343349364366376401413415417419444448[[#This Row],[ArtÃ­culo]],Tabla34[#All],3,0)</calculatedColumnFormula>
    </tableColumn>
    <tableColumn id="6" xr3:uid="{07FCA095-5319-4AF2-B7DD-21A327191A59}" name="Coste LÃ­nea" totalsRowFunction="sum" dataDxfId="953" totalsRowDxfId="952" dataCellStyle="Moneda">
      <calculatedColumnFormula>+Tabla1103453454455456479116117118120740126148156186254256287328340342343349364366376401413415417419444448[[#This Row],[Coste Componente]]*Tabla1103453454455456479116117118120740126148156186254256287328340342343349364366376401413415417419444448[[#This Row],[Unidades]]</calculatedColumnFormula>
    </tableColumn>
  </tableColumns>
  <tableStyleInfo name="TableStyleLight8"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8" xr:uid="{39C1F0E7-07A3-4550-92D1-265DFE29DC96}" name="Tabla1103453454455456479116117118120740126148156186254256287328340342343349364366376401413415417419444448449" displayName="Tabla1103453454455456479116117118120740126148156186254256287328340342343349364366376401413415417419444448449" ref="B649:H654" totalsRowCount="1" headerRowDxfId="934" dataDxfId="932" totalsRowDxfId="933" headerRowBorderDxfId="9627" tableBorderDxfId="9626" totalsRowBorderDxfId="9625">
  <autoFilter ref="B649:H653" xr:uid="{39C1F0E7-07A3-4550-92D1-265DFE29DC96}"/>
  <sortState xmlns:xlrd2="http://schemas.microsoft.com/office/spreadsheetml/2017/richdata2" ref="B650:H650">
    <sortCondition descending="1" ref="H97:H111"/>
  </sortState>
  <tableColumns count="7">
    <tableColumn id="2" xr3:uid="{F2AFCC17-90CF-450B-9ECD-5209956E27D0}" name="ArtÃ­culo" dataDxfId="948" totalsRowDxfId="947"/>
    <tableColumn id="3" xr3:uid="{4A4F9773-8852-4E85-84E8-EDF7024EF3FD}" name="Unidad Medida" dataDxfId="946" totalsRowDxfId="945"/>
    <tableColumn id="4" xr3:uid="{492B16C0-6D50-4DC0-854F-51765B51F2E6}" name="Unidades Netas" dataDxfId="944" totalsRowDxfId="943"/>
    <tableColumn id="1" xr3:uid="{C9609743-77BF-4571-B075-534823C6F453}" name="% Merma" dataDxfId="942" totalsRowDxfId="941"/>
    <tableColumn id="7" xr3:uid="{5450D9A4-01F3-4470-AFBF-7A5B578F72CC}" name="Unidades" dataDxfId="940" totalsRowDxfId="939"/>
    <tableColumn id="5" xr3:uid="{FC5978FA-A2F6-4C0C-80D6-75163102E9F9}" name="Coste Componente" dataDxfId="938" totalsRowDxfId="937" dataCellStyle="Moneda">
      <calculatedColumnFormula>+VLOOKUP(Tabla1103453454455456479116117118120740126148156186254256287328340342343349364366376401413415417419444448449[[#This Row],[ArtÃ­culo]],Tabla34[#All],3,0)</calculatedColumnFormula>
    </tableColumn>
    <tableColumn id="6" xr3:uid="{A92F4C39-771B-4FFF-8C61-67DB7D717582}" name="Coste LÃ­nea" totalsRowFunction="sum" dataDxfId="936" totalsRowDxfId="935" dataCellStyle="Moneda">
      <calculatedColumnFormula>+Tabla1103453454455456479116117118120740126148156186254256287328340342343349364366376401413415417419444448449[[#This Row],[Coste Componente]]*Tabla1103453454455456479116117118120740126148156186254256287328340342343349364366376401413415417419444448449[[#This Row],[Unidades]]</calculatedColumnFormula>
    </tableColumn>
  </tableColumns>
  <tableStyleInfo name="TableStyleLight8"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8" xr:uid="{69F1BB30-B7D3-44BF-8D5D-F592DBE489B5}" name="Tabla1103453454455456479116117118120740126148156186254256287328340342343349364366376401413415417419444448449479" displayName="Tabla1103453454455456479116117118120740126148156186254256287328340342343349364366376401413415417419444448449479" ref="B661:H673" totalsRowCount="1" headerRowDxfId="917" dataDxfId="915" totalsRowDxfId="916" headerRowBorderDxfId="9624" tableBorderDxfId="9623" totalsRowBorderDxfId="9622">
  <autoFilter ref="B661:H672" xr:uid="{69F1BB30-B7D3-44BF-8D5D-F592DBE489B5}"/>
  <sortState xmlns:xlrd2="http://schemas.microsoft.com/office/spreadsheetml/2017/richdata2" ref="B662:H662">
    <sortCondition descending="1" ref="H97:H111"/>
  </sortState>
  <tableColumns count="7">
    <tableColumn id="2" xr3:uid="{037913A1-FCAD-4B00-89F4-664C4220BC7F}" name="ArtÃ­culo" dataDxfId="931" totalsRowDxfId="930"/>
    <tableColumn id="3" xr3:uid="{63FC912C-1819-49AD-B38B-F8DA2A53CA2C}" name="Unidad Medida" dataDxfId="929" totalsRowDxfId="928"/>
    <tableColumn id="4" xr3:uid="{EEA4C75B-1483-4878-8335-0BC33290B6E7}" name="Unidades Netas" dataDxfId="927" totalsRowDxfId="926"/>
    <tableColumn id="1" xr3:uid="{71B8B9BF-6D5E-437C-A21D-8F3305353BB4}" name="% Merma" dataDxfId="925" totalsRowDxfId="924"/>
    <tableColumn id="7" xr3:uid="{188DC62E-E21D-4CBC-BA51-32D343471B95}" name="Unidades" dataDxfId="923" totalsRowDxfId="922"/>
    <tableColumn id="5" xr3:uid="{1D756422-C952-47C0-8FC1-5BDD80247C24}" name="Coste Componente" dataDxfId="921" totalsRowDxfId="920" dataCellStyle="Moneda">
      <calculatedColumnFormula>+VLOOKUP(Tabla1103453454455456479116117118120740126148156186254256287328340342343349364366376401413415417419444448449479[[#This Row],[ArtÃ­culo]],Tabla34[#All],3,0)</calculatedColumnFormula>
    </tableColumn>
    <tableColumn id="6" xr3:uid="{7E1946C1-5728-4400-84B9-95B9C5FE10C6}" name="Coste LÃ­nea" totalsRowFunction="sum" dataDxfId="919" totalsRowDxfId="918" dataCellStyle="Moneda">
      <calculatedColumnFormula>+Tabla1103453454455456479116117118120740126148156186254256287328340342343349364366376401413415417419444448449479[[#This Row],[Coste Componente]]*Tabla1103453454455456479116117118120740126148156186254256287328340342343349364366376401413415417419444448449479[[#This Row],[Unidades]]</calculatedColumnFormula>
    </tableColumn>
  </tableColumns>
  <tableStyleInfo name="TableStyleLight8"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9" xr:uid="{67AAADA1-030E-4261-ABDC-0390041E7E5B}" name="Tabla1103453454455456479116117118120740126148156186254256287328340342343349364366376401413415417419444448449479480" displayName="Tabla1103453454455456479116117118120740126148156186254256287328340342343349364366376401413415417419444448449479480" ref="B677:H680" totalsRowCount="1" headerRowDxfId="900" dataDxfId="898" totalsRowDxfId="899" headerRowBorderDxfId="9621" tableBorderDxfId="9620" totalsRowBorderDxfId="9619">
  <autoFilter ref="B677:H679" xr:uid="{67AAADA1-030E-4261-ABDC-0390041E7E5B}"/>
  <sortState xmlns:xlrd2="http://schemas.microsoft.com/office/spreadsheetml/2017/richdata2" ref="B678:H678">
    <sortCondition descending="1" ref="H97:H111"/>
  </sortState>
  <tableColumns count="7">
    <tableColumn id="2" xr3:uid="{C2225E10-C30D-492D-A0A0-85356CE3FA52}" name="ArtÃ­culo" dataDxfId="914" totalsRowDxfId="913"/>
    <tableColumn id="3" xr3:uid="{9318A0E9-AE0B-45A5-A2DC-F3B24008D64A}" name="Unidad Medida" dataDxfId="912" totalsRowDxfId="911"/>
    <tableColumn id="4" xr3:uid="{657D6797-5DDC-4833-AFDF-2FCDB222193F}" name="Unidades Netas" dataDxfId="910" totalsRowDxfId="909"/>
    <tableColumn id="1" xr3:uid="{257B6582-7EFC-417D-A936-2DEAD160F687}" name="% Merma" dataDxfId="908" totalsRowDxfId="907"/>
    <tableColumn id="7" xr3:uid="{15EEB504-F45B-490C-AEC6-3D8780FB1D30}" name="Unidades" dataDxfId="906" totalsRowDxfId="905"/>
    <tableColumn id="5" xr3:uid="{8C428FC9-2772-4669-9B15-C29AC63AD8F0}" name="Coste Componente" dataDxfId="904" totalsRowDxfId="903" dataCellStyle="Moneda">
      <calculatedColumnFormula>+VLOOKUP(Tabla1103453454455456479116117118120740126148156186254256287328340342343349364366376401413415417419444448449479480[[#This Row],[ArtÃ­culo]],Tabla34[#All],3,0)</calculatedColumnFormula>
    </tableColumn>
    <tableColumn id="6" xr3:uid="{D81ADA7C-9EDB-4B30-90B8-83E1025572FB}" name="Coste LÃ­nea" totalsRowFunction="sum" dataDxfId="902" totalsRowDxfId="901" dataCellStyle="Moneda">
      <calculatedColumnFormula>+Tabla1103453454455456479116117118120740126148156186254256287328340342343349364366376401413415417419444448449479480[[#This Row],[Coste Componente]]*Tabla1103453454455456479116117118120740126148156186254256287328340342343349364366376401413415417419444448449479480[[#This Row],[Unidades]]</calculatedColumnFormula>
    </tableColumn>
  </tableColumns>
  <tableStyleInfo name="TableStyleLight8"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0" xr:uid="{34979DA6-3DE0-496E-8823-29654F792885}" name="Tabla1103453454455456479116117118120740126148156186254256287328340342343349364366376401413415417419444448449479480481" displayName="Tabla1103453454455456479116117118120740126148156186254256287328340342343349364366376401413415417419444448449479480481" ref="B685:H691" totalsRowCount="1" headerRowDxfId="883" dataDxfId="881" totalsRowDxfId="882" headerRowBorderDxfId="9618" tableBorderDxfId="9617" totalsRowBorderDxfId="9616">
  <autoFilter ref="B685:H690" xr:uid="{34979DA6-3DE0-496E-8823-29654F792885}"/>
  <sortState xmlns:xlrd2="http://schemas.microsoft.com/office/spreadsheetml/2017/richdata2" ref="B686:H686">
    <sortCondition descending="1" ref="H97:H111"/>
  </sortState>
  <tableColumns count="7">
    <tableColumn id="2" xr3:uid="{6B3EB03E-4851-4A5F-B7BA-D2492A51CAFE}" name="ArtÃ­culo" dataDxfId="897" totalsRowDxfId="896"/>
    <tableColumn id="3" xr3:uid="{37F5DE37-F648-4745-91CF-06C96DD3358C}" name="Unidad Medida" dataDxfId="895" totalsRowDxfId="894"/>
    <tableColumn id="4" xr3:uid="{F638997E-5ACC-46D9-B6DC-ECC9608DA35F}" name="Unidades Netas" dataDxfId="893" totalsRowDxfId="892"/>
    <tableColumn id="1" xr3:uid="{BA0A540F-D932-49CC-A24B-8D066F0114F2}" name="% Merma" dataDxfId="891" totalsRowDxfId="890"/>
    <tableColumn id="7" xr3:uid="{C579FB7E-52D9-4591-ACA7-A094DF3AD27B}" name="Unidades" dataDxfId="889" totalsRowDxfId="888"/>
    <tableColumn id="5" xr3:uid="{AAE08611-60DB-4D4E-954A-610E019CFDA8}" name="Coste Componente" dataDxfId="887" totalsRowDxfId="886" dataCellStyle="Moneda">
      <calculatedColumnFormula>+VLOOKUP(Tabla1103453454455456479116117118120740126148156186254256287328340342343349364366376401413415417419444448449479480481[[#This Row],[ArtÃ­culo]],Tabla34[#All],3,0)</calculatedColumnFormula>
    </tableColumn>
    <tableColumn id="6" xr3:uid="{1D5AA701-7BBA-4D76-A6C1-F7D4C1D90DB9}" name="Coste LÃ­nea" totalsRowFunction="sum" dataDxfId="885" totalsRowDxfId="884" dataCellStyle="Moneda">
      <calculatedColumnFormula>+Tabla1103453454455456479116117118120740126148156186254256287328340342343349364366376401413415417419444448449479480481[[#This Row],[Coste Componente]]*Tabla1103453454455456479116117118120740126148156186254256287328340342343349364366376401413415417419444448449479480481[[#This Row],[Unidades]]</calculatedColumnFormula>
    </tableColumn>
  </tableColumns>
  <tableStyleInfo name="TableStyleLight8"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1" xr:uid="{38E880F7-56D3-4176-BC93-CEBA1F764CF9}" name="Tabla1103453454455456479116117118120740126148156186254256287328340342343349364366376401413415417419444448449479480481482" displayName="Tabla1103453454455456479116117118120740126148156186254256287328340342343349364366376401413415417419444448449479480481482" ref="B695:H705" totalsRowCount="1" headerRowDxfId="866" dataDxfId="864" totalsRowDxfId="865" headerRowBorderDxfId="9615" tableBorderDxfId="9614" totalsRowBorderDxfId="9613">
  <autoFilter ref="B695:H704" xr:uid="{38E880F7-56D3-4176-BC93-CEBA1F764CF9}"/>
  <sortState xmlns:xlrd2="http://schemas.microsoft.com/office/spreadsheetml/2017/richdata2" ref="B696:H696">
    <sortCondition descending="1" ref="H97:H111"/>
  </sortState>
  <tableColumns count="7">
    <tableColumn id="2" xr3:uid="{66D7B6E1-2A30-45E5-8AFF-D78A6B4BC2BA}" name="ArtÃ­culo" dataDxfId="880" totalsRowDxfId="879"/>
    <tableColumn id="3" xr3:uid="{FEECC177-20E3-445C-8E45-C6FA586F4828}" name="Unidad Medida" dataDxfId="878" totalsRowDxfId="877"/>
    <tableColumn id="4" xr3:uid="{21409784-F6DB-48F1-91D9-B425E03C6E02}" name="Unidades Netas" dataDxfId="876" totalsRowDxfId="875"/>
    <tableColumn id="1" xr3:uid="{82A6DFB5-7310-4018-A19C-D25EAD78633D}" name="% Merma" dataDxfId="874" totalsRowDxfId="873"/>
    <tableColumn id="7" xr3:uid="{9A641930-3D18-4D6B-8A76-235A13358BBA}" name="Unidades" dataDxfId="872" totalsRowDxfId="871"/>
    <tableColumn id="5" xr3:uid="{96009B6E-7A1C-4B17-AB76-F235A234A533}" name="Coste Componente" dataDxfId="870" totalsRowDxfId="869" dataCellStyle="Moneda">
      <calculatedColumnFormula>+VLOOKUP(Tabla1103453454455456479116117118120740126148156186254256287328340342343349364366376401413415417419444448449479480481482[[#This Row],[ArtÃ­culo]],Tabla34[#All],3,0)</calculatedColumnFormula>
    </tableColumn>
    <tableColumn id="6" xr3:uid="{97A98A10-8BC7-4ACA-B95E-5DEA05CDE310}" name="Coste LÃ­nea" totalsRowFunction="sum" dataDxfId="868" totalsRowDxfId="867" dataCellStyle="Moneda">
      <calculatedColumnFormula>+Tabla1103453454455456479116117118120740126148156186254256287328340342343349364366376401413415417419444448449479480481482[[#This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calculatedColumnFormula>
    </tableColumn>
  </tableColumns>
  <tableStyleInfo name="TableStyleLight8"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9" xr:uid="{DA415ECA-A249-4A91-B92D-30B6C647B00F}" name="Tabla1103453454455456479116117118120740126148156186254256287328340342343349364366376401413415417419444448449479480481482500" displayName="Tabla1103453454455456479116117118120740126148156186254256287328340342343349364366376401413415417419444448449479480481482500" ref="B709:H711" totalsRowCount="1" headerRowDxfId="849" dataDxfId="847" totalsRowDxfId="848" headerRowBorderDxfId="9612" tableBorderDxfId="9611" totalsRowBorderDxfId="9610">
  <autoFilter ref="B709:H710" xr:uid="{DA415ECA-A249-4A91-B92D-30B6C647B00F}"/>
  <sortState xmlns:xlrd2="http://schemas.microsoft.com/office/spreadsheetml/2017/richdata2" ref="B710:H710">
    <sortCondition descending="1" ref="H97:H111"/>
  </sortState>
  <tableColumns count="7">
    <tableColumn id="2" xr3:uid="{56B0DE60-4212-4F3F-BB5C-6CAAA09A3A93}" name="ArtÃ­culo" dataDxfId="863" totalsRowDxfId="862"/>
    <tableColumn id="3" xr3:uid="{84DFDA1E-6FAC-4FC9-8FE6-7CA32BF613B4}" name="Unidad Medida" dataDxfId="861" totalsRowDxfId="860"/>
    <tableColumn id="4" xr3:uid="{EAD52BEA-68EB-4958-AA06-070EC3355F1E}" name="Unidades Netas" dataDxfId="859" totalsRowDxfId="858"/>
    <tableColumn id="1" xr3:uid="{207AD96B-EE50-41A9-8538-D830DB38B3E7}" name="% Merma" dataDxfId="857" totalsRowDxfId="856"/>
    <tableColumn id="7" xr3:uid="{F53C0720-8FCF-4F1F-B946-9C7EF5F622A9}" name="Unidades" dataDxfId="855" totalsRowDxfId="854"/>
    <tableColumn id="5" xr3:uid="{D71574DC-3E3A-4E13-A3DB-8B6A6C253FCA}" name="Coste Componente" dataDxfId="853" totalsRowDxfId="852" dataCellStyle="Moneda">
      <calculatedColumnFormula>+VLOOKUP(Tabla1103453454455456479116117118120740126148156186254256287328340342343349364366376401413415417419444448449479480481482500[[#This Row],[ArtÃ­culo]],Tabla34[#All],3,0)</calculatedColumnFormula>
    </tableColumn>
    <tableColumn id="6" xr3:uid="{DA4F4428-8512-441A-B20A-7CABC837E0F7}" name="Coste LÃ­nea" totalsRowFunction="sum" dataDxfId="851" totalsRowDxfId="850" dataCellStyle="Moneda">
      <calculatedColumnFormula>+Tabla1103453454455456479116117118120740126148156186254256287328340342343349364366376401413415417419444448449479480481482500[[#This Row],[Coste Componente]]*Tabla1103453454455456479116117118120740126148156186254256287328340342343349364366376401413415417419444448449479480481482500[[#This Row],[Unidades]]</calculatedColumnFormula>
    </tableColumn>
  </tableColumns>
  <tableStyleInfo name="TableStyleLight8"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0" xr:uid="{93B29839-672E-43C7-90FF-89F317A1A7E0}" name="Tabla1103453454455456479116117118120740126148156186254256287328340342343349364366376401413415417419444448449479480481482500501" displayName="Tabla1103453454455456479116117118120740126148156186254256287328340342343349364366376401413415417419444448449479480481482500501" ref="B716:H719" totalsRowCount="1" headerRowDxfId="832" dataDxfId="830" totalsRowDxfId="831" headerRowBorderDxfId="9609" tableBorderDxfId="9608" totalsRowBorderDxfId="9607">
  <autoFilter ref="B716:H718" xr:uid="{93B29839-672E-43C7-90FF-89F317A1A7E0}"/>
  <sortState xmlns:xlrd2="http://schemas.microsoft.com/office/spreadsheetml/2017/richdata2" ref="B717:H717">
    <sortCondition descending="1" ref="H97:H111"/>
  </sortState>
  <tableColumns count="7">
    <tableColumn id="2" xr3:uid="{933D4914-4061-48E0-ACD0-B7EB0B987F95}" name="ArtÃ­culo" dataDxfId="846" totalsRowDxfId="845"/>
    <tableColumn id="3" xr3:uid="{4D42F84D-D419-4B2F-9CBE-CA3A4E5356C0}" name="Unidad Medida" dataDxfId="844" totalsRowDxfId="843"/>
    <tableColumn id="4" xr3:uid="{D903A675-A24E-4640-B20E-AAEA10CBC56A}" name="Unidades Netas" dataDxfId="842" totalsRowDxfId="841"/>
    <tableColumn id="1" xr3:uid="{C05095B8-1BAF-4A7C-BF18-CE09F830EEF7}" name="% Merma" dataDxfId="840" totalsRowDxfId="839"/>
    <tableColumn id="7" xr3:uid="{DD97B31B-C289-4707-9DA7-E62AF03EA614}" name="Unidades" dataDxfId="838" totalsRowDxfId="837"/>
    <tableColumn id="5" xr3:uid="{EF74C82A-3C5F-4CEE-B2B9-E5DE121283F9}" name="Coste Componente" dataDxfId="836" totalsRowDxfId="835" dataCellStyle="Moneda">
      <calculatedColumnFormula>+VLOOKUP(Tabla1103453454455456479116117118120740126148156186254256287328340342343349364366376401413415417419444448449479480481482500501[[#This Row],[ArtÃ­culo]],Tabla34[#All],3,0)</calculatedColumnFormula>
    </tableColumn>
    <tableColumn id="6" xr3:uid="{468DD52E-7FFC-4BB0-A291-BDC29602DAAD}" name="Coste LÃ­nea" totalsRowFunction="sum" dataDxfId="834" totalsRowDxfId="833" dataCellStyle="Moneda">
      <calculatedColumnFormula>+Tabla1103453454455456479116117118120740126148156186254256287328340342343349364366376401413415417419444448449479480481482500501[[#This Row],[Coste Componente]]*Tabla1103453454455456479116117118120740126148156186254256287328340342343349364366376401413415417419444448449479480481482500501[[#This Row],[Unidades]]</calculatedColumnFormula>
    </tableColumn>
  </tableColumns>
  <tableStyleInfo name="TableStyleLight8"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2" xr:uid="{209DE587-0984-4FD2-B9A3-61F4DC7F4DC1}" name="Tabla1103453454455456479116117118120740126148156186254256287328340342343349364366376401413415417419444448449479480481482500501503" displayName="Tabla1103453454455456479116117118120740126148156186254256287328340342343349364366376401413415417419444448449479480481482500501503" ref="B724:H727" totalsRowCount="1" headerRowDxfId="815" dataDxfId="813" totalsRowDxfId="814" headerRowBorderDxfId="9606" tableBorderDxfId="9605" totalsRowBorderDxfId="9604">
  <autoFilter ref="B724:H726" xr:uid="{209DE587-0984-4FD2-B9A3-61F4DC7F4DC1}"/>
  <sortState xmlns:xlrd2="http://schemas.microsoft.com/office/spreadsheetml/2017/richdata2" ref="B725:H725">
    <sortCondition descending="1" ref="H97:H111"/>
  </sortState>
  <tableColumns count="7">
    <tableColumn id="2" xr3:uid="{3970F9A3-264E-42DA-83F4-5CDACB1AEE66}" name="ArtÃ­culo" dataDxfId="829" totalsRowDxfId="828"/>
    <tableColumn id="3" xr3:uid="{8E8F7AA3-353D-4568-93C0-E945BF6247C2}" name="Unidad Medida" dataDxfId="827" totalsRowDxfId="826"/>
    <tableColumn id="4" xr3:uid="{9B098E7E-44AE-4219-96E8-E3A4F4ED4DB5}" name="Unidades Netas" dataDxfId="825" totalsRowDxfId="824"/>
    <tableColumn id="1" xr3:uid="{A8C0CAA6-0F52-47C5-BA48-D6E8A23E7FC8}" name="% Merma" dataDxfId="823" totalsRowDxfId="822"/>
    <tableColumn id="7" xr3:uid="{6F54275E-A66F-4F62-88E7-AC2D2EA2FB32}" name="Unidades" dataDxfId="821" totalsRowDxfId="820"/>
    <tableColumn id="5" xr3:uid="{CDB2379D-9106-4AFC-8CAD-50F998FD4355}" name="Coste Componente" dataDxfId="819" totalsRowDxfId="818" dataCellStyle="Moneda">
      <calculatedColumnFormula>+VLOOKUP(Tabla1103453454455456479116117118120740126148156186254256287328340342343349364366376401413415417419444448449479480481482500501503[[#This Row],[ArtÃ­culo]],Tabla34[#All],3,0)</calculatedColumnFormula>
    </tableColumn>
    <tableColumn id="6" xr3:uid="{ADB0368E-11B7-44EA-9EBD-F2866472F7B6}" name="Coste LÃ­nea" totalsRowFunction="sum" dataDxfId="817" totalsRowDxfId="816" dataCellStyle="Moneda">
      <calculatedColumnFormula>+Tabla1103453454455456479116117118120740126148156186254256287328340342343349364366376401413415417419444448449479480481482500501503[[#This Row],[Coste Componente]]*Tabla1103453454455456479116117118120740126148156186254256287328340342343349364366376401413415417419444448449479480481482500501503[[#This Row],[Unidades]]</calculatedColumnFormula>
    </tableColumn>
  </tableColumns>
  <tableStyleInfo name="TableStyleLight8"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3" xr:uid="{2FF03979-B292-40C0-A3C8-183E764AB6A4}" name="Tabla1103453454455456479116117118120740126148156186254256287328340342343349364366376401413415417419444448449479480481482500501503504" displayName="Tabla1103453454455456479116117118120740126148156186254256287328340342343349364366376401413415417419444448449479480481482500501503504" ref="B731:H736" totalsRowCount="1" headerRowDxfId="798" dataDxfId="796" totalsRowDxfId="797" headerRowBorderDxfId="9603" tableBorderDxfId="9602" totalsRowBorderDxfId="9601">
  <autoFilter ref="B731:H735" xr:uid="{2FF03979-B292-40C0-A3C8-183E764AB6A4}"/>
  <sortState xmlns:xlrd2="http://schemas.microsoft.com/office/spreadsheetml/2017/richdata2" ref="B732:H732">
    <sortCondition descending="1" ref="H97:H111"/>
  </sortState>
  <tableColumns count="7">
    <tableColumn id="2" xr3:uid="{3E1005C2-A7CC-4805-8449-4A1D28F1FC16}" name="ArtÃ­culo" dataDxfId="812" totalsRowDxfId="811"/>
    <tableColumn id="3" xr3:uid="{FA51784B-EFF8-4AEB-AF38-FFED17735F8E}" name="Unidad Medida" dataDxfId="810" totalsRowDxfId="809"/>
    <tableColumn id="4" xr3:uid="{2C6316CE-79CA-40CD-B22D-ADF6B4AC5CF4}" name="Unidades Netas" dataDxfId="808" totalsRowDxfId="807"/>
    <tableColumn id="1" xr3:uid="{14E05AE7-CFD9-4872-8184-BAE64F2B712A}" name="% Merma" dataDxfId="806" totalsRowDxfId="805"/>
    <tableColumn id="7" xr3:uid="{7DDE8EF5-4132-43D7-A7E9-AD36103D253A}" name="Unidades" dataDxfId="804" totalsRowDxfId="803"/>
    <tableColumn id="5" xr3:uid="{69FDA907-1E75-4BB7-BD80-164B94EEC8A4}" name="Coste Componente" dataDxfId="802" totalsRowDxfId="801" dataCellStyle="Moneda">
      <calculatedColumnFormula>+VLOOKUP(Tabla1103453454455456479116117118120740126148156186254256287328340342343349364366376401413415417419444448449479480481482500501503504[[#This Row],[ArtÃ­culo]],Tabla34[#All],3,0)</calculatedColumnFormula>
    </tableColumn>
    <tableColumn id="6" xr3:uid="{D009E207-1826-44A6-9CB4-C754FF7F492E}" name="Coste LÃ­nea" totalsRowFunction="sum" dataDxfId="800" totalsRowDxfId="799" dataCellStyle="Moneda">
      <calculatedColumnFormula>+Tabla1103453454455456479116117118120740126148156186254256287328340342343349364366376401413415417419444448449479480481482500501503504[[#This Row],[Coste Componente]]*Tabla1103453454455456479116117118120740126148156186254256287328340342343349364366376401413415417419444448449479480481482500501503504[[#This Row],[Unidades]]</calculatedColumnFormula>
    </tableColumn>
  </tableColumns>
  <tableStyleInfo name="TableStyleLight8"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4" xr:uid="{C266E91C-08E3-4F22-95FB-BE65CE582F67}" name="Tabla1103453454455456479116117118120740126148156186254256287328340342343349364366376401413415417419444448449479480481482500501503504505" displayName="Tabla1103453454455456479116117118120740126148156186254256287328340342343349364366376401413415417419444448449479480481482500501503504505" ref="B740:H743" totalsRowCount="1" headerRowDxfId="781" dataDxfId="779" totalsRowDxfId="780" headerRowBorderDxfId="9600" tableBorderDxfId="9599" totalsRowBorderDxfId="9598">
  <autoFilter ref="B740:H742" xr:uid="{C266E91C-08E3-4F22-95FB-BE65CE582F67}"/>
  <sortState xmlns:xlrd2="http://schemas.microsoft.com/office/spreadsheetml/2017/richdata2" ref="B741:H741">
    <sortCondition descending="1" ref="H97:H111"/>
  </sortState>
  <tableColumns count="7">
    <tableColumn id="2" xr3:uid="{7A447615-08FE-4156-A1F0-70E0D74E5136}" name="ArtÃ­culo" dataDxfId="795" totalsRowDxfId="794"/>
    <tableColumn id="3" xr3:uid="{85F28042-3942-4276-9010-6197F7009247}" name="Unidad Medida" dataDxfId="793" totalsRowDxfId="792"/>
    <tableColumn id="4" xr3:uid="{CF0486C1-2FC6-4D14-BC01-03956E153D88}" name="Unidades Netas" dataDxfId="791" totalsRowDxfId="790"/>
    <tableColumn id="1" xr3:uid="{3AE6B11F-C084-44FF-A141-C226CD8BC847}" name="% Merma" dataDxfId="789" totalsRowDxfId="788"/>
    <tableColumn id="7" xr3:uid="{6DFEB661-7A86-4763-8B29-ECAB2A4A874F}" name="Unidades" dataDxfId="787" totalsRowDxfId="786"/>
    <tableColumn id="5" xr3:uid="{0E104B40-4773-49B9-8C65-7362CDB164E2}" name="Coste Componente" dataDxfId="785" totalsRowDxfId="784" dataCellStyle="Moneda">
      <calculatedColumnFormula>+VLOOKUP(Tabla1103453454455456479116117118120740126148156186254256287328340342343349364366376401413415417419444448449479480481482500501503504505[[#This Row],[ArtÃ­culo]],Tabla34[#All],3,0)</calculatedColumnFormula>
    </tableColumn>
    <tableColumn id="6" xr3:uid="{16F27891-C465-497A-B089-B597807CF47A}" name="Coste LÃ­nea" totalsRowFunction="sum" dataDxfId="783" totalsRowDxfId="782" dataCellStyle="Moneda">
      <calculatedColumnFormula>+Tabla1103453454455456479116117118120740126148156186254256287328340342343349364366376401413415417419444448449479480481482500501503504505[[#This Row],[Coste Componente]]*Tabla1103453454455456479116117118120740126148156186254256287328340342343349364366376401413415417419444448449479480481482500501503504505[[#This Row],[Unidades]]</calculatedColumnFormula>
    </tableColumn>
  </tableColumns>
  <tableStyleInfo name="TableStyleLight8"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5" xr:uid="{D3182E2F-5AD2-49D8-BF9D-E520CD4442C5}" name="Tabla1103453454455456479116117118120740126148156186254256287328340342343349364366376401413415417419444448449479480481482500501503504505506" displayName="Tabla1103453454455456479116117118120740126148156186254256287328340342343349364366376401413415417419444448449479480481482500501503504505506" ref="B748:H754" totalsRowCount="1" headerRowDxfId="764" dataDxfId="762" totalsRowDxfId="763" headerRowBorderDxfId="9597" tableBorderDxfId="9596" totalsRowBorderDxfId="9595">
  <autoFilter ref="B748:H753" xr:uid="{D3182E2F-5AD2-49D8-BF9D-E520CD4442C5}"/>
  <sortState xmlns:xlrd2="http://schemas.microsoft.com/office/spreadsheetml/2017/richdata2" ref="B749:H749">
    <sortCondition descending="1" ref="H97:H111"/>
  </sortState>
  <tableColumns count="7">
    <tableColumn id="2" xr3:uid="{260AEE7F-814B-4487-A60C-1E4454B619F8}" name="ArtÃ­culo" dataDxfId="778" totalsRowDxfId="777"/>
    <tableColumn id="3" xr3:uid="{96823D58-5804-477D-9DC8-7B087359E400}" name="Unidad Medida" dataDxfId="776" totalsRowDxfId="775"/>
    <tableColumn id="4" xr3:uid="{89D44A48-2403-460B-967E-5554F683705B}" name="Unidades Netas" dataDxfId="774" totalsRowDxfId="773"/>
    <tableColumn id="1" xr3:uid="{48406E55-6678-42F0-8739-7241021E835D}" name="% Merma" dataDxfId="772" totalsRowDxfId="771"/>
    <tableColumn id="7" xr3:uid="{70E22C10-588F-419C-941F-35378D172F89}" name="Unidades" dataDxfId="770" totalsRowDxfId="769"/>
    <tableColumn id="5" xr3:uid="{9FC0C9D3-3FF9-424D-827E-1F9532EA0EE1}" name="Coste Componente" dataDxfId="768" totalsRowDxfId="767" dataCellStyle="Moneda">
      <calculatedColumnFormula>+VLOOKUP(Tabla1103453454455456479116117118120740126148156186254256287328340342343349364366376401413415417419444448449479480481482500501503504505506[[#This Row],[ArtÃ­culo]],Tabla34[#All],3,0)</calculatedColumnFormula>
    </tableColumn>
    <tableColumn id="6" xr3:uid="{4F21800D-F373-4C21-BC70-D779EBE394F8}" name="Coste LÃ­nea" totalsRowFunction="sum" dataDxfId="766" totalsRowDxfId="765" dataCellStyle="Moneda">
      <calculatedColumnFormula>+Tabla1103453454455456479116117118120740126148156186254256287328340342343349364366376401413415417419444448449479480481482500501503504505506[[#This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calculatedColumnFormula>
    </tableColumn>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6" xr:uid="{32FB80C7-840B-4CC1-B685-5C1F53B31569}" name="Tabla1103453454455456479116117118120740126148156186254256287328340342343349364366376401413415417419444448449479480481482500501503504505506507" displayName="Tabla1103453454455456479116117118120740126148156186254256287328340342343349364366376401413415417419444448449479480481482500501503504505506507" ref="B758:H763" totalsRowCount="1" headerRowDxfId="747" dataDxfId="745" totalsRowDxfId="746" headerRowBorderDxfId="9594" tableBorderDxfId="9593" totalsRowBorderDxfId="9592">
  <autoFilter ref="B758:H762" xr:uid="{32FB80C7-840B-4CC1-B685-5C1F53B31569}"/>
  <sortState xmlns:xlrd2="http://schemas.microsoft.com/office/spreadsheetml/2017/richdata2" ref="B759:H759">
    <sortCondition descending="1" ref="H97:H111"/>
  </sortState>
  <tableColumns count="7">
    <tableColumn id="2" xr3:uid="{69584724-271E-4379-B267-4C37A56EECC5}" name="ArtÃ­culo" dataDxfId="761" totalsRowDxfId="760"/>
    <tableColumn id="3" xr3:uid="{05BA128F-5DD2-4415-95F8-9A7D6C15C88C}" name="Unidad Medida" dataDxfId="759" totalsRowDxfId="758"/>
    <tableColumn id="4" xr3:uid="{027607C9-A1E2-45D0-91F5-A0E3DA548096}" name="Unidades Netas" dataDxfId="757" totalsRowDxfId="756"/>
    <tableColumn id="1" xr3:uid="{E9B1F4DA-AE67-45F4-8484-409A60A04CC4}" name="% Merma" dataDxfId="755" totalsRowDxfId="754"/>
    <tableColumn id="7" xr3:uid="{9AD882EB-0245-46B2-A95C-D03F2B030F4F}" name="Unidades" dataDxfId="753" totalsRowDxfId="752"/>
    <tableColumn id="5" xr3:uid="{20D3BD6B-3535-447D-A950-9436ACB65A41}" name="Coste Componente" dataDxfId="751" totalsRowDxfId="750" dataCellStyle="Moneda">
      <calculatedColumnFormula>+VLOOKUP(Tabla1103453454455456479116117118120740126148156186254256287328340342343349364366376401413415417419444448449479480481482500501503504505506507[[#This Row],[ArtÃ­culo]],Tabla34[#All],3,0)</calculatedColumnFormula>
    </tableColumn>
    <tableColumn id="6" xr3:uid="{225FB419-22B0-4CB4-83F9-DB74D91EA62F}" name="Coste LÃ­nea" totalsRowFunction="sum" dataDxfId="749" totalsRowDxfId="748" dataCellStyle="Moneda">
      <calculatedColumnFormula>+Tabla1103453454455456479116117118120740126148156186254256287328340342343349364366376401413415417419444448449479480481482500501503504505506507[[#This Row],[Coste Componente]]*Tabla1103453454455456479116117118120740126148156186254256287328340342343349364366376401413415417419444448449479480481482500501503504505506507[[#This Row],[Unidades]]</calculatedColumnFormula>
    </tableColumn>
  </tableColumns>
  <tableStyleInfo name="TableStyleLight8"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7" xr:uid="{7A7551CA-56E6-454E-9689-7483E857BE83}" name="Tabla1103453454455456479116117118120740126148156186254256287328340342343349364366376401413415417419444448449479480481482500501503504505506507508" displayName="Tabla1103453454455456479116117118120740126148156186254256287328340342343349364366376401413415417419444448449479480481482500501503504505506507508" ref="B766:H771" totalsRowCount="1" headerRowDxfId="730" dataDxfId="728" totalsRowDxfId="729" headerRowBorderDxfId="9591" tableBorderDxfId="9590" totalsRowBorderDxfId="9589">
  <autoFilter ref="B766:H770" xr:uid="{7A7551CA-56E6-454E-9689-7483E857BE83}"/>
  <sortState xmlns:xlrd2="http://schemas.microsoft.com/office/spreadsheetml/2017/richdata2" ref="B767:H767">
    <sortCondition descending="1" ref="H97:H111"/>
  </sortState>
  <tableColumns count="7">
    <tableColumn id="2" xr3:uid="{949F3121-836C-4564-8621-E329629E58B9}" name="ArtÃ­culo" dataDxfId="744" totalsRowDxfId="743"/>
    <tableColumn id="3" xr3:uid="{660B8EA4-B873-4D8C-A7D5-9AE0C18E669D}" name="Unidad Medida" dataDxfId="742" totalsRowDxfId="741"/>
    <tableColumn id="4" xr3:uid="{1AB97CFB-73AF-46E5-8A84-861BF422AB4D}" name="Unidades Netas" dataDxfId="740" totalsRowDxfId="739"/>
    <tableColumn id="1" xr3:uid="{1ACE51EC-0CC6-4478-8D08-E1A1B69B438C}" name="% Merma" dataDxfId="738" totalsRowDxfId="737"/>
    <tableColumn id="7" xr3:uid="{0A0947DE-5F9E-4EBE-8BFD-667C5478B674}" name="Unidades" dataDxfId="736" totalsRowDxfId="735"/>
    <tableColumn id="5" xr3:uid="{0C5E12D4-6BDE-4A8B-9A33-BB1B8C5D00EF}" name="Coste Componente" dataDxfId="734" totalsRowDxfId="733" dataCellStyle="Moneda">
      <calculatedColumnFormula>+VLOOKUP(Tabla1103453454455456479116117118120740126148156186254256287328340342343349364366376401413415417419444448449479480481482500501503504505506507508[[#This Row],[ArtÃ­culo]],Tabla34[#All],3,0)</calculatedColumnFormula>
    </tableColumn>
    <tableColumn id="6" xr3:uid="{7DE61314-BD0B-4066-AB51-EE53DF9E8D30}" name="Coste LÃ­nea" totalsRowFunction="sum" dataDxfId="732" totalsRowDxfId="731" dataCellStyle="Moneda">
      <calculatedColumnFormula>+Tabla1103453454455456479116117118120740126148156186254256287328340342343349364366376401413415417419444448449479480481482500501503504505506507508[[#This Row],[Coste Componente]]*Tabla1103453454455456479116117118120740126148156186254256287328340342343349364366376401413415417419444448449479480481482500501503504505506507508[[#This Row],[Unidades]]</calculatedColumnFormula>
    </tableColumn>
  </tableColumns>
  <tableStyleInfo name="TableStyleLight8"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8" xr:uid="{2B8F61B7-C79D-4A66-87EF-2CC528860D6B}" name="Tabla1103453454455456479116117118120740126148156186254256287328340342343349364366376401413415417419444448449479480481482500501503504505506507508509" displayName="Tabla1103453454455456479116117118120740126148156186254256287328340342343349364366376401413415417419444448449479480481482500501503504505506507508509" ref="B774:H782" totalsRowCount="1" headerRowDxfId="713" dataDxfId="711" totalsRowDxfId="712" headerRowBorderDxfId="9588" tableBorderDxfId="9587" totalsRowBorderDxfId="9586">
  <autoFilter ref="B774:H781" xr:uid="{2B8F61B7-C79D-4A66-87EF-2CC528860D6B}"/>
  <sortState xmlns:xlrd2="http://schemas.microsoft.com/office/spreadsheetml/2017/richdata2" ref="B775:H775">
    <sortCondition descending="1" ref="H97:H111"/>
  </sortState>
  <tableColumns count="7">
    <tableColumn id="2" xr3:uid="{600B7C94-C1F2-43CD-93E3-D33EC31C873A}" name="ArtÃ­culo" dataDxfId="727" totalsRowDxfId="726"/>
    <tableColumn id="3" xr3:uid="{1C80AB32-3DC0-4591-8045-96BD8DA08D87}" name="Unidad Medida" dataDxfId="725" totalsRowDxfId="724"/>
    <tableColumn id="4" xr3:uid="{0D6A53D2-6B6A-4091-9EBD-29CE2E5DB8E7}" name="Unidades Netas" dataDxfId="723" totalsRowDxfId="722"/>
    <tableColumn id="1" xr3:uid="{EA243AD9-2592-4607-9193-B3025B91EF59}" name="% Merma" dataDxfId="721" totalsRowDxfId="720"/>
    <tableColumn id="7" xr3:uid="{B993D008-B22E-4DEF-83D1-1C1750398FE0}" name="Unidades" dataDxfId="719" totalsRowDxfId="718"/>
    <tableColumn id="5" xr3:uid="{ABE24724-C9D1-454A-9B28-3172C1FA3224}" name="Coste Componente" dataDxfId="717" totalsRowDxfId="716" dataCellStyle="Moneda">
      <calculatedColumnFormula>+VLOOKUP(Tabla1103453454455456479116117118120740126148156186254256287328340342343349364366376401413415417419444448449479480481482500501503504505506507508509[[#This Row],[ArtÃ­culo]],Tabla34[#All],3,0)</calculatedColumnFormula>
    </tableColumn>
    <tableColumn id="6" xr3:uid="{1D775F82-A25E-491C-AD51-175581A0ACCF}" name="Coste LÃ­nea" totalsRowFunction="sum" dataDxfId="715" totalsRowDxfId="714" dataCellStyle="Moneda">
      <calculatedColumnFormula>+Tabla1103453454455456479116117118120740126148156186254256287328340342343349364366376401413415417419444448449479480481482500501503504505506507508509[[#This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calculatedColumnFormula>
    </tableColumn>
  </tableColumns>
  <tableStyleInfo name="TableStyleLight8"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9" xr:uid="{57E08532-3D95-475E-A916-C0D7D7D7CF32}" name="Tabla1103453454455456479116117118120740126148156186254256287328340342343349364366376401413415417419444448449479480481482500501503504505506507508509510" displayName="Tabla1103453454455456479116117118120740126148156186254256287328340342343349364366376401413415417419444448449479480481482500501503504505506507508509510" ref="B786:H790" totalsRowCount="1" headerRowDxfId="696" dataDxfId="694" totalsRowDxfId="695" headerRowBorderDxfId="9585" tableBorderDxfId="9584" totalsRowBorderDxfId="9583">
  <autoFilter ref="B786:H789" xr:uid="{57E08532-3D95-475E-A916-C0D7D7D7CF32}"/>
  <sortState xmlns:xlrd2="http://schemas.microsoft.com/office/spreadsheetml/2017/richdata2" ref="B787:H787">
    <sortCondition descending="1" ref="H97:H111"/>
  </sortState>
  <tableColumns count="7">
    <tableColumn id="2" xr3:uid="{43A67FA8-CAF7-45F2-9C54-F7B01758DB55}" name="ArtÃ­culo" dataDxfId="710" totalsRowDxfId="709"/>
    <tableColumn id="3" xr3:uid="{48385B03-04A0-426D-AD44-3D2A21C6A414}" name="Unidad Medida" dataDxfId="708" totalsRowDxfId="707"/>
    <tableColumn id="4" xr3:uid="{3DADA8EF-0330-451B-B1DF-71CE7F3FCE57}" name="Unidades Netas" dataDxfId="706" totalsRowDxfId="705"/>
    <tableColumn id="1" xr3:uid="{95D75E2A-4EE2-4A34-91DD-07721E3A533D}" name="% Merma" dataDxfId="704" totalsRowDxfId="703"/>
    <tableColumn id="7" xr3:uid="{54E1ECE6-5E5A-455E-A8A7-150160AD211A}" name="Unidades" dataDxfId="702" totalsRowDxfId="701"/>
    <tableColumn id="5" xr3:uid="{2556E498-D0BE-4A0F-8B7B-885DBE0FA4C4}" name="Coste Componente" dataDxfId="700" totalsRowDxfId="699" dataCellStyle="Moneda">
      <calculatedColumnFormula>+VLOOKUP(Tabla1103453454455456479116117118120740126148156186254256287328340342343349364366376401413415417419444448449479480481482500501503504505506507508509510[[#This Row],[ArtÃ­culo]],Tabla34[#All],3,0)</calculatedColumnFormula>
    </tableColumn>
    <tableColumn id="6" xr3:uid="{90CB4B90-9A30-4A98-BCE9-CE8080A38BE7}" name="Coste LÃ­nea" totalsRowFunction="sum" dataDxfId="698" totalsRowDxfId="697" dataCellStyle="Moneda">
      <calculatedColumnFormula>+Tabla1103453454455456479116117118120740126148156186254256287328340342343349364366376401413415417419444448449479480481482500501503504505506507508509510[[#This Row],[Coste Componente]]*Tabla1103453454455456479116117118120740126148156186254256287328340342343349364366376401413415417419444448449479480481482500501503504505506507508509510[[#This Row],[Unidades]]</calculatedColumnFormula>
    </tableColumn>
  </tableColumns>
  <tableStyleInfo name="TableStyleLight8"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0" xr:uid="{B791B615-82CC-4B2C-BF5C-202C246069D5}" name="Tabla1103453454455456479116117118120740126148156186254256287328340342343349364366376401413415417419444448449479480481482500501503504505506507508509510511" displayName="Tabla1103453454455456479116117118120740126148156186254256287328340342343349364366376401413415417419444448449479480481482500501503504505506507508509510511" ref="B794:H801" totalsRowCount="1" headerRowDxfId="679" dataDxfId="677" totalsRowDxfId="678" headerRowBorderDxfId="9582" tableBorderDxfId="9581" totalsRowBorderDxfId="9580">
  <autoFilter ref="B794:H800" xr:uid="{B791B615-82CC-4B2C-BF5C-202C246069D5}"/>
  <sortState xmlns:xlrd2="http://schemas.microsoft.com/office/spreadsheetml/2017/richdata2" ref="B795:H795">
    <sortCondition descending="1" ref="H97:H111"/>
  </sortState>
  <tableColumns count="7">
    <tableColumn id="2" xr3:uid="{17253B6C-BCC6-438E-865A-9E05E839CA51}" name="ArtÃ­culo" dataDxfId="693" totalsRowDxfId="692"/>
    <tableColumn id="3" xr3:uid="{563241AE-C2C8-4120-81F9-4713CE0F291B}" name="Unidad Medida" dataDxfId="691" totalsRowDxfId="690"/>
    <tableColumn id="4" xr3:uid="{6F58015A-3A84-44F2-A5A7-D98F36E3F2C7}" name="Unidades Netas" dataDxfId="689" totalsRowDxfId="688"/>
    <tableColumn id="1" xr3:uid="{36076ED9-5D43-496E-A957-271134DCE0C7}" name="% Merma" dataDxfId="687" totalsRowDxfId="686"/>
    <tableColumn id="7" xr3:uid="{1CB07D55-6C22-480A-B7F8-5991E7880F6E}" name="Unidades" dataDxfId="685" totalsRowDxfId="684"/>
    <tableColumn id="5" xr3:uid="{E06CB4BA-316F-44EA-A190-6C1684151CC9}" name="Coste Componente" dataDxfId="683" totalsRowDxfId="682" dataCellStyle="Moneda">
      <calculatedColumnFormula>+VLOOKUP(Tabla1103453454455456479116117118120740126148156186254256287328340342343349364366376401413415417419444448449479480481482500501503504505506507508509510511[[#This Row],[ArtÃ­culo]],Tabla34[#All],3,0)</calculatedColumnFormula>
    </tableColumn>
    <tableColumn id="6" xr3:uid="{D10E5475-DB05-416B-A0C1-3AA7DF137EED}" name="Coste LÃ­nea" totalsRowFunction="sum" dataDxfId="681" totalsRowDxfId="680" dataCellStyle="Moneda">
      <calculatedColumnFormula>+Tabla1103453454455456479116117118120740126148156186254256287328340342343349364366376401413415417419444448449479480481482500501503504505506507508509510511[[#This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calculatedColumnFormula>
    </tableColumn>
  </tableColumns>
  <tableStyleInfo name="TableStyleLight8"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1" xr:uid="{C4FFE51A-DAB4-419F-8E03-0A30C631210A}" name="Tabla1103453454455456479116117118120740126148156186254256287328340342343349364366376401413415417419444448449479480481482500501503504505506507508509510511512" displayName="Tabla1103453454455456479116117118120740126148156186254256287328340342343349364366376401413415417419444448449479480481482500501503504505506507508509510511512" ref="B805:H812" totalsRowCount="1" headerRowDxfId="662" dataDxfId="660" totalsRowDxfId="661" headerRowBorderDxfId="9579" tableBorderDxfId="9578" totalsRowBorderDxfId="9577">
  <autoFilter ref="B805:H811" xr:uid="{C4FFE51A-DAB4-419F-8E03-0A30C631210A}"/>
  <sortState xmlns:xlrd2="http://schemas.microsoft.com/office/spreadsheetml/2017/richdata2" ref="B806:H806">
    <sortCondition descending="1" ref="H97:H111"/>
  </sortState>
  <tableColumns count="7">
    <tableColumn id="2" xr3:uid="{FAC39AE3-57BE-4E8B-A6C1-1E628A63BD34}" name="ArtÃ­culo" dataDxfId="676" totalsRowDxfId="675"/>
    <tableColumn id="3" xr3:uid="{7452E293-A255-4B59-A1E4-9006625DE19E}" name="Unidad Medida" dataDxfId="674" totalsRowDxfId="673"/>
    <tableColumn id="4" xr3:uid="{A8DF8CF2-A28C-4C34-AC97-07F47A76E81A}" name="Unidades Netas" dataDxfId="672" totalsRowDxfId="671"/>
    <tableColumn id="1" xr3:uid="{FBC4A8BB-F441-4B2F-B6BB-B8B86A25A78D}" name="% Merma" dataDxfId="670" totalsRowDxfId="669"/>
    <tableColumn id="7" xr3:uid="{42605396-5FCE-4413-9101-A2658F952AD7}" name="Unidades" dataDxfId="668" totalsRowDxfId="667"/>
    <tableColumn id="5" xr3:uid="{98616284-2B24-45DA-98F4-320F19F06410}" name="Coste Componente" dataDxfId="666" totalsRowDxfId="665" dataCellStyle="Moneda">
      <calculatedColumnFormula>+VLOOKUP(Tabla1103453454455456479116117118120740126148156186254256287328340342343349364366376401413415417419444448449479480481482500501503504505506507508509510511512[[#This Row],[ArtÃ­culo]],Tabla34[#All],3,0)</calculatedColumnFormula>
    </tableColumn>
    <tableColumn id="6" xr3:uid="{1BB24788-840C-4635-9FC0-0F2FB7BA1085}" name="Coste LÃ­nea" totalsRowFunction="sum" dataDxfId="664" totalsRowDxfId="663" dataCellStyle="Moneda">
      <calculatedColumnFormula>+Tabla1103453454455456479116117118120740126148156186254256287328340342343349364366376401413415417419444448449479480481482500501503504505506507508509510511512[[#This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calculatedColumnFormula>
    </tableColumn>
  </tableColumns>
  <tableStyleInfo name="TableStyleLight8"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2" xr:uid="{4E223C5A-053A-40AD-B7EA-7B2542E8C726}" name="Tabla1103453454455456479116117118120740126148156186254256287328340342343349364366376401413415417419444448449479480481482500501503504505506507508509510511512513" displayName="Tabla1103453454455456479116117118120740126148156186254256287328340342343349364366376401413415417419444448449479480481482500501503504505506507508509510511512513" ref="B816:H820" totalsRowCount="1" headerRowDxfId="645" dataDxfId="643" totalsRowDxfId="644" headerRowBorderDxfId="9576" tableBorderDxfId="9575" totalsRowBorderDxfId="9574">
  <autoFilter ref="B816:H819" xr:uid="{4E223C5A-053A-40AD-B7EA-7B2542E8C726}"/>
  <sortState xmlns:xlrd2="http://schemas.microsoft.com/office/spreadsheetml/2017/richdata2" ref="B817:H817">
    <sortCondition descending="1" ref="H97:H111"/>
  </sortState>
  <tableColumns count="7">
    <tableColumn id="2" xr3:uid="{585BA578-9F1E-4A1E-9514-D7796C380F1E}" name="ArtÃ­culo" dataDxfId="659" totalsRowDxfId="658"/>
    <tableColumn id="3" xr3:uid="{D8372B9C-61FB-40E7-8753-43C02D16D578}" name="Unidad Medida" dataDxfId="657" totalsRowDxfId="656"/>
    <tableColumn id="4" xr3:uid="{85F679EF-B84A-4449-8240-D1B08D2B1196}" name="Unidades Netas" dataDxfId="655" totalsRowDxfId="654"/>
    <tableColumn id="1" xr3:uid="{B1E62DD5-293E-4C29-AB52-7FBF6A43035D}" name="% Merma" dataDxfId="653" totalsRowDxfId="652"/>
    <tableColumn id="7" xr3:uid="{220BDCCB-97C6-4DA3-9696-B08BCE2A8794}" name="Unidades" dataDxfId="651" totalsRowDxfId="650"/>
    <tableColumn id="5" xr3:uid="{054B3576-F18A-4410-B352-12B49CB5E8BB}" name="Coste Componente" dataDxfId="649" totalsRowDxfId="648" dataCellStyle="Moneda">
      <calculatedColumnFormula>+VLOOKUP(Tabla1103453454455456479116117118120740126148156186254256287328340342343349364366376401413415417419444448449479480481482500501503504505506507508509510511512513[[#This Row],[ArtÃ­culo]],Tabla34[#All],3,0)</calculatedColumnFormula>
    </tableColumn>
    <tableColumn id="6" xr3:uid="{2273C7F6-0EE4-4067-95CD-9EAF16E96EB1}" name="Coste LÃ­nea" totalsRowFunction="sum" dataDxfId="647" totalsRowDxfId="646" dataCellStyle="Moneda">
      <calculatedColumnFormula>+Tabla1103453454455456479116117118120740126148156186254256287328340342343349364366376401413415417419444448449479480481482500501503504505506507508509510511512513[[#This Row],[Coste Componente]]*Tabla1103453454455456479116117118120740126148156186254256287328340342343349364366376401413415417419444448449479480481482500501503504505506507508509510511512513[[#This Row],[Unidades]]</calculatedColumnFormula>
    </tableColumn>
  </tableColumns>
  <tableStyleInfo name="TableStyleLight8"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3" xr:uid="{F90443DA-6742-4277-A664-028CBFBF437B}" name="Tabla1103453454455456479116117118120740126148156186254256287328340342343349364366376401413415417419444448449479480481482500501503504505506507508509510511512513514" displayName="Tabla1103453454455456479116117118120740126148156186254256287328340342343349364366376401413415417419444448449479480481482500501503504505506507508509510511512513514" ref="B823:H829" totalsRowCount="1" headerRowDxfId="628" dataDxfId="626" totalsRowDxfId="627" headerRowBorderDxfId="9573" tableBorderDxfId="9572" totalsRowBorderDxfId="9571">
  <autoFilter ref="B823:H828" xr:uid="{F90443DA-6742-4277-A664-028CBFBF437B}"/>
  <sortState xmlns:xlrd2="http://schemas.microsoft.com/office/spreadsheetml/2017/richdata2" ref="B824:H824">
    <sortCondition descending="1" ref="H97:H111"/>
  </sortState>
  <tableColumns count="7">
    <tableColumn id="2" xr3:uid="{DB24D748-DA43-4156-870B-7582D77AD32A}" name="ArtÃ­culo" dataDxfId="642" totalsRowDxfId="641"/>
    <tableColumn id="3" xr3:uid="{1D080DC7-3019-43E6-B007-FF0F70928238}" name="Unidad Medida" dataDxfId="640" totalsRowDxfId="639"/>
    <tableColumn id="4" xr3:uid="{BF590B1B-FDF1-434B-8E0A-013FF7605A04}" name="Unidades Netas" dataDxfId="638" totalsRowDxfId="637"/>
    <tableColumn id="1" xr3:uid="{25F2A8FF-5E0C-4188-B2AA-A90EC7635F1F}" name="% Merma" dataDxfId="636" totalsRowDxfId="635"/>
    <tableColumn id="7" xr3:uid="{79D0B681-1A2C-4A0F-B06F-65EDD174A2CD}" name="Unidades" dataDxfId="634" totalsRowDxfId="633"/>
    <tableColumn id="5" xr3:uid="{68FF5050-30B3-49A1-92E2-C0ACBA525567}" name="Coste Componente" dataDxfId="632" totalsRowDxfId="631" dataCellStyle="Moneda">
      <calculatedColumnFormula>+VLOOKUP(Tabla1103453454455456479116117118120740126148156186254256287328340342343349364366376401413415417419444448449479480481482500501503504505506507508509510511512513514[[#This Row],[ArtÃ­culo]],Tabla34[#All],3,0)</calculatedColumnFormula>
    </tableColumn>
    <tableColumn id="6" xr3:uid="{657BF76A-C7A7-4EE1-875A-04E9A8E3D842}" name="Coste LÃ­nea" totalsRowFunction="sum" dataDxfId="630" totalsRowDxfId="629" dataCellStyle="Moneda">
      <calculatedColumnFormula>+Tabla1103453454455456479116117118120740126148156186254256287328340342343349364366376401413415417419444448449479480481482500501503504505506507508509510511512513514[[#This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calculatedColumnFormula>
    </tableColumn>
  </tableColumns>
  <tableStyleInfo name="TableStyleLight8"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4" xr:uid="{E468E0FD-219B-42AD-BBA2-E33199E1BDB2}" name="Tabla1103453454455456479116117118120740126148156186254256287328340342343349364366376401413415417419444448449479480481482500501503504505506507508509510511512513514515" displayName="Tabla1103453454455456479116117118120740126148156186254256287328340342343349364366376401413415417419444448449479480481482500501503504505506507508509510511512513514515" ref="B833:H838" totalsRowCount="1" headerRowDxfId="611" dataDxfId="609" totalsRowDxfId="610" headerRowBorderDxfId="9570" tableBorderDxfId="9569" totalsRowBorderDxfId="9568">
  <autoFilter ref="B833:H837" xr:uid="{E468E0FD-219B-42AD-BBA2-E33199E1BDB2}"/>
  <sortState xmlns:xlrd2="http://schemas.microsoft.com/office/spreadsheetml/2017/richdata2" ref="B834:H834">
    <sortCondition descending="1" ref="H97:H111"/>
  </sortState>
  <tableColumns count="7">
    <tableColumn id="2" xr3:uid="{98CBFBDC-C319-4CC7-8DC8-165C750DF152}" name="ArtÃ­culo" dataDxfId="625" totalsRowDxfId="624"/>
    <tableColumn id="3" xr3:uid="{067C6EC3-40C0-4039-B2B2-51A571209187}" name="Unidad Medida" dataDxfId="623" totalsRowDxfId="622"/>
    <tableColumn id="4" xr3:uid="{79E5BA14-ED57-4C05-8388-18F00A8B9D8B}" name="Unidades Netas" dataDxfId="621" totalsRowDxfId="620"/>
    <tableColumn id="1" xr3:uid="{3BF936D6-CD9D-4181-AB0B-94E20D76CF36}" name="% Merma" dataDxfId="619" totalsRowDxfId="618"/>
    <tableColumn id="7" xr3:uid="{E299B5A3-A643-4F1E-A049-4539F32874BA}" name="Unidades" dataDxfId="617" totalsRowDxfId="616"/>
    <tableColumn id="5" xr3:uid="{3C33A4E3-4C15-4C43-870E-0ACF98020FEC}" name="Coste Componente" dataDxfId="615" totalsRowDxfId="614" dataCellStyle="Moneda">
      <calculatedColumnFormula>+VLOOKUP(Tabla1103453454455456479116117118120740126148156186254256287328340342343349364366376401413415417419444448449479480481482500501503504505506507508509510511512513514515[[#This Row],[ArtÃ­culo]],Tabla34[#All],3,0)</calculatedColumnFormula>
    </tableColumn>
    <tableColumn id="6" xr3:uid="{902BF791-F6DC-4096-BF44-89D47936073E}" name="Coste LÃ­nea" totalsRowFunction="sum" dataDxfId="613" totalsRowDxfId="612" dataCellStyle="Moneda">
      <calculatedColumnFormula>+Tabla1103453454455456479116117118120740126148156186254256287328340342343349364366376401413415417419444448449479480481482500501503504505506507508509510511512513514515[[#This Row],[Coste Componente]]*Tabla1103453454455456479116117118120740126148156186254256287328340342343349364366376401413415417419444448449479480481482500501503504505506507508509510511512513514515[[#This Row],[Unidades]]</calculatedColumnFormula>
    </tableColumn>
  </tableColumns>
  <tableStyleInfo name="TableStyleLight8"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5" xr:uid="{5B75726B-9F0E-4AC4-A21C-78B280B8C118}" name="Tabla1103453454455456479116117118120740126148156186254256287328340342343349364366376401413415417419444448449479480481482500501503504505506507508509510511512513514515516" displayName="Tabla1103453454455456479116117118120740126148156186254256287328340342343349364366376401413415417419444448449479480481482500501503504505506507508509510511512513514515516" ref="B842:H850" totalsRowCount="1" headerRowDxfId="594" dataDxfId="592" totalsRowDxfId="593" headerRowBorderDxfId="9567" tableBorderDxfId="9566" totalsRowBorderDxfId="9565">
  <autoFilter ref="B842:H849" xr:uid="{5B75726B-9F0E-4AC4-A21C-78B280B8C118}"/>
  <sortState xmlns:xlrd2="http://schemas.microsoft.com/office/spreadsheetml/2017/richdata2" ref="B843:H843">
    <sortCondition descending="1" ref="H97:H111"/>
  </sortState>
  <tableColumns count="7">
    <tableColumn id="2" xr3:uid="{00FCCD3A-6F48-4BD1-A6C2-449F1FC15B17}" name="ArtÃ­culo" dataDxfId="608" totalsRowDxfId="607"/>
    <tableColumn id="3" xr3:uid="{B7B3EA53-52D5-44E3-A571-ABA10AE4DAEA}" name="Unidad Medida" dataDxfId="606" totalsRowDxfId="605"/>
    <tableColumn id="4" xr3:uid="{D619077D-A39B-410D-B990-5FFA9788FBBC}" name="Unidades Netas" dataDxfId="604" totalsRowDxfId="603"/>
    <tableColumn id="1" xr3:uid="{B57D5E2C-F44D-40AE-BDE9-1E6E4A9B7904}" name="% Merma" dataDxfId="602" totalsRowDxfId="601"/>
    <tableColumn id="7" xr3:uid="{E4C16E9E-2713-4B2F-A5F2-20B11FAA4BF6}" name="Unidades" dataDxfId="600" totalsRowDxfId="599"/>
    <tableColumn id="5" xr3:uid="{89C0A85B-2EE8-424C-BB41-1920FF62723E}" name="Coste Componente" dataDxfId="598" totalsRowDxfId="597" dataCellStyle="Moneda">
      <calculatedColumnFormula>+VLOOKUP(Tabla1103453454455456479116117118120740126148156186254256287328340342343349364366376401413415417419444448449479480481482500501503504505506507508509510511512513514515516[[#This Row],[ArtÃ­culo]],Tabla34[#All],3,0)</calculatedColumnFormula>
    </tableColumn>
    <tableColumn id="6" xr3:uid="{46065862-3D56-4C6F-B7B1-35DF9DE98FAF}" name="Coste LÃ­nea" totalsRowFunction="sum" dataDxfId="596" totalsRowDxfId="595" dataCellStyle="Moneda">
      <calculatedColumnFormula>+Tabla1103453454455456479116117118120740126148156186254256287328340342343349364366376401413415417419444448449479480481482500501503504505506507508509510511512513514515516[[#This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calculatedColumnFormula>
    </tableColumn>
  </tableColumns>
  <tableStyleInfo name="TableStyleLight8"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6" xr:uid="{E47889CC-51FA-44DC-9EBE-CF3419D97037}" name="Tabla1103453454455456479116117118120740126148156186254256287328340342343349364366376401413415417419444448449479480481482500501503504505506507508509510511512513514515516517" displayName="Tabla1103453454455456479116117118120740126148156186254256287328340342343349364366376401413415417419444448449479480481482500501503504505506507508509510511512513514515516517" ref="B853:H861" totalsRowCount="1" headerRowDxfId="577" dataDxfId="575" totalsRowDxfId="576" headerRowBorderDxfId="9564" tableBorderDxfId="9563" totalsRowBorderDxfId="9562">
  <autoFilter ref="B853:H860" xr:uid="{E47889CC-51FA-44DC-9EBE-CF3419D97037}"/>
  <sortState xmlns:xlrd2="http://schemas.microsoft.com/office/spreadsheetml/2017/richdata2" ref="B854:H854">
    <sortCondition descending="1" ref="H97:H111"/>
  </sortState>
  <tableColumns count="7">
    <tableColumn id="2" xr3:uid="{B2EC00B1-2DB7-42B6-B9BC-E7924325C889}" name="ArtÃ­culo" dataDxfId="591" totalsRowDxfId="590"/>
    <tableColumn id="3" xr3:uid="{6875BE08-C03A-4519-A4E2-C553AB47011F}" name="Unidad Medida" dataDxfId="589" totalsRowDxfId="588"/>
    <tableColumn id="4" xr3:uid="{D5BB96D7-806A-44CF-B864-FD57B17B79B7}" name="Unidades Netas" dataDxfId="587" totalsRowDxfId="586"/>
    <tableColumn id="1" xr3:uid="{298D7018-EDA1-4444-B125-36D9C1434178}" name="% Merma" dataDxfId="585" totalsRowDxfId="584"/>
    <tableColumn id="7" xr3:uid="{3D6B0560-AABE-4E91-AA95-3BB593BFAD79}" name="Unidades" dataDxfId="583" totalsRowDxfId="582"/>
    <tableColumn id="5" xr3:uid="{28A0A57A-978B-4EDA-8A29-267468C77888}" name="Coste Componente" dataDxfId="581" totalsRowDxfId="580" dataCellStyle="Moneda">
      <calculatedColumnFormula>+VLOOKUP(Tabla1103453454455456479116117118120740126148156186254256287328340342343349364366376401413415417419444448449479480481482500501503504505506507508509510511512513514515516517[[#This Row],[ArtÃ­culo]],Tabla34[#All],3,0)</calculatedColumnFormula>
    </tableColumn>
    <tableColumn id="6" xr3:uid="{887D6510-D052-4BA7-9832-98485B592130}" name="Coste LÃ­nea" totalsRowFunction="sum" dataDxfId="579" totalsRowDxfId="578" dataCellStyle="Moneda">
      <calculatedColumnFormula>+Tabla1103453454455456479116117118120740126148156186254256287328340342343349364366376401413415417419444448449479480481482500501503504505506507508509510511512513514515516517[[#This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calculatedColumnFormula>
    </tableColumn>
  </tableColumns>
  <tableStyleInfo name="TableStyleLight8"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7" xr:uid="{147FD61A-B45B-4207-A0BB-D418A16DF201}" name="Tabla1103453454455456479116117118120740126148156186254256287328340342343349364366376401413415417419444448449479480481482500501503504505506507508509510511512513514515516517518" displayName="Tabla1103453454455456479116117118120740126148156186254256287328340342343349364366376401413415417419444448449479480481482500501503504505506507508509510511512513514515516517518" ref="B865:H874" totalsRowCount="1" headerRowDxfId="560" dataDxfId="558" totalsRowDxfId="559" headerRowBorderDxfId="9561" tableBorderDxfId="9560" totalsRowBorderDxfId="9559">
  <autoFilter ref="B865:H873" xr:uid="{147FD61A-B45B-4207-A0BB-D418A16DF201}"/>
  <sortState xmlns:xlrd2="http://schemas.microsoft.com/office/spreadsheetml/2017/richdata2" ref="B866:H866">
    <sortCondition descending="1" ref="H97:H111"/>
  </sortState>
  <tableColumns count="7">
    <tableColumn id="2" xr3:uid="{9DD57F52-FAFB-4B48-9D74-CB0CBE304381}" name="ArtÃ­culo" dataDxfId="574" totalsRowDxfId="573"/>
    <tableColumn id="3" xr3:uid="{5445432E-42F7-41A9-8A63-3B770CF0BE79}" name="Unidad Medida" dataDxfId="572" totalsRowDxfId="571"/>
    <tableColumn id="4" xr3:uid="{C9BB3B78-57FE-4C34-A6D2-EBC1AA4F323D}" name="Unidades Netas" dataDxfId="570" totalsRowDxfId="569"/>
    <tableColumn id="1" xr3:uid="{9B48BC97-8A1E-4D62-B5A2-99CA1DFDDFEC}" name="% Merma" dataDxfId="568" totalsRowDxfId="567"/>
    <tableColumn id="7" xr3:uid="{3011BF11-4658-4822-A0F1-DB3C725831DA}" name="Unidades" dataDxfId="566" totalsRowDxfId="565"/>
    <tableColumn id="5" xr3:uid="{CAF7BF6A-9D85-419E-8374-4529EB211AB5}" name="Coste Componente" dataDxfId="564" totalsRowDxfId="563" dataCellStyle="Moneda">
      <calculatedColumnFormula>+VLOOKUP(Tabla1103453454455456479116117118120740126148156186254256287328340342343349364366376401413415417419444448449479480481482500501503504505506507508509510511512513514515516517518[[#This Row],[ArtÃ­culo]],Tabla34[#All],3,0)</calculatedColumnFormula>
    </tableColumn>
    <tableColumn id="6" xr3:uid="{12A76407-3456-4E68-91AD-E5582A0618FD}" name="Coste LÃ­nea" totalsRowFunction="sum" dataDxfId="562" totalsRowDxfId="561" dataCellStyle="Moneda">
      <calculatedColumnFormula>+Tabla1103453454455456479116117118120740126148156186254256287328340342343349364366376401413415417419444448449479480481482500501503504505506507508509510511512513514515516517518[[#This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calculatedColumnFormula>
    </tableColumn>
  </tableColumns>
  <tableStyleInfo name="TableStyleLight8"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9" xr:uid="{3B1F09DE-F0F6-48D3-A820-5162CD9FBD53}" name="Tabla1103453454455456479116117118120740126148156186254256287328340342343349364366376401413415417419444448449479480481482500501503504505506507508509510511512513514515516517518520" displayName="Tabla1103453454455456479116117118120740126148156186254256287328340342343349364366376401413415417419444448449479480481482500501503504505506507508509510511512513514515516517518520" ref="B878:H880" totalsRowCount="1" headerRowDxfId="543" dataDxfId="541" totalsRowDxfId="542" headerRowBorderDxfId="9558" tableBorderDxfId="9557" totalsRowBorderDxfId="9556">
  <autoFilter ref="B878:H879" xr:uid="{3B1F09DE-F0F6-48D3-A820-5162CD9FBD53}"/>
  <sortState xmlns:xlrd2="http://schemas.microsoft.com/office/spreadsheetml/2017/richdata2" ref="B879:H879">
    <sortCondition descending="1" ref="H97:H111"/>
  </sortState>
  <tableColumns count="7">
    <tableColumn id="2" xr3:uid="{C8F750F7-0CDE-4E18-BE0F-1BA716595466}" name="ArtÃ­culo" dataDxfId="557" totalsRowDxfId="556"/>
    <tableColumn id="3" xr3:uid="{7D6E0252-2871-402E-8249-7DFF03D6570A}" name="Unidad Medida" dataDxfId="555" totalsRowDxfId="554"/>
    <tableColumn id="4" xr3:uid="{CE6B2839-B0DF-4BA3-802F-4FDF4710BED2}" name="Unidades Netas" dataDxfId="553" totalsRowDxfId="552"/>
    <tableColumn id="1" xr3:uid="{5DE8A357-481C-4499-8F51-B9BC005F6884}" name="% Merma" dataDxfId="551" totalsRowDxfId="550"/>
    <tableColumn id="7" xr3:uid="{982E9750-7E9B-4653-B62F-3B18A3DB63E9}" name="Unidades" dataDxfId="549" totalsRowDxfId="548"/>
    <tableColumn id="5" xr3:uid="{10611B5D-C80F-4EBC-BB8A-E8ED0AAE9B80}" name="Coste Componente" dataDxfId="547" totalsRowDxfId="546" dataCellStyle="Moneda">
      <calculatedColumnFormula>+VLOOKUP(Tabla1103453454455456479116117118120740126148156186254256287328340342343349364366376401413415417419444448449479480481482500501503504505506507508509510511512513514515516517518520[[#This Row],[ArtÃ­culo]],Tabla34[#All],3,0)</calculatedColumnFormula>
    </tableColumn>
    <tableColumn id="6" xr3:uid="{B0A877A0-7648-4A38-B291-F6C7B77F8B51}" name="Coste LÃ­nea" totalsRowFunction="sum" dataDxfId="545" totalsRowDxfId="544" dataCellStyle="Moneda">
      <calculatedColumnFormula>+Tabla1103453454455456479116117118120740126148156186254256287328340342343349364366376401413415417419444448449479480481482500501503504505506507508509510511512513514515516517518520[[#This Row],[Coste Componente]]*Tabla1103453454455456479116117118120740126148156186254256287328340342343349364366376401413415417419444448449479480481482500501503504505506507508509510511512513514515516517518520[[#This Row],[Unidades]]</calculatedColumnFormula>
    </tableColumn>
  </tableColumns>
  <tableStyleInfo name="TableStyleLight8"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0" xr:uid="{FA5CDBE3-DCD7-4B12-83B4-5840B30DA5A9}" name="Tabla1103453454455456479116117118120740126148156186254256287328340342343349364366376401413415417419444448449479480481482500501503504505506507508509510511512513514515516517518520521" displayName="Tabla1103453454455456479116117118120740126148156186254256287328340342343349364366376401413415417419444448449479480481482500501503504505506507508509510511512513514515516517518520521" ref="B886:H890" totalsRowCount="1" headerRowDxfId="526" dataDxfId="524" totalsRowDxfId="525" headerRowBorderDxfId="9555" tableBorderDxfId="9554" totalsRowBorderDxfId="9553">
  <autoFilter ref="B886:H889" xr:uid="{FA5CDBE3-DCD7-4B12-83B4-5840B30DA5A9}"/>
  <sortState xmlns:xlrd2="http://schemas.microsoft.com/office/spreadsheetml/2017/richdata2" ref="B887:H887">
    <sortCondition descending="1" ref="H97:H111"/>
  </sortState>
  <tableColumns count="7">
    <tableColumn id="2" xr3:uid="{5FE0B8AE-FA6B-44CD-A64C-0D879A1C69F6}" name="ArtÃ­culo" dataDxfId="540" totalsRowDxfId="539"/>
    <tableColumn id="3" xr3:uid="{BA11FCC0-0547-49FE-8893-C600036F9957}" name="Unidad Medida" dataDxfId="538" totalsRowDxfId="537"/>
    <tableColumn id="4" xr3:uid="{A4FC6706-FFB9-4A45-8805-2C67E57DED60}" name="Unidades Netas" dataDxfId="536" totalsRowDxfId="535"/>
    <tableColumn id="1" xr3:uid="{EBA1C44F-A910-49CA-BF96-1F09F70F14B8}" name="% Merma" dataDxfId="534" totalsRowDxfId="533"/>
    <tableColumn id="7" xr3:uid="{912E5CD4-B822-4398-A3BF-836CAB3FB132}" name="Unidades" dataDxfId="532" totalsRowDxfId="531"/>
    <tableColumn id="5" xr3:uid="{7E196E5B-AEF6-44CF-8103-8FF997AB1AEC}" name="Coste Componente" dataDxfId="530" totalsRowDxfId="529" dataCellStyle="Moneda">
      <calculatedColumnFormula>+VLOOKUP(Tabla1103453454455456479116117118120740126148156186254256287328340342343349364366376401413415417419444448449479480481482500501503504505506507508509510511512513514515516517518520521[[#This Row],[ArtÃ­culo]],Tabla34[#All],3,0)</calculatedColumnFormula>
    </tableColumn>
    <tableColumn id="6" xr3:uid="{048234F5-8BAA-49B0-92FA-7509DF9CF389}" name="Coste LÃ­nea" totalsRowFunction="sum" dataDxfId="528" totalsRowDxfId="527" dataCellStyle="Moneda">
      <calculatedColumnFormula>+Tabla1103453454455456479116117118120740126148156186254256287328340342343349364366376401413415417419444448449479480481482500501503504505506507508509510511512513514515516517518520521[[#This Row],[Coste Componente]]*Tabla1103453454455456479116117118120740126148156186254256287328340342343349364366376401413415417419444448449479480481482500501503504505506507508509510511512513514515516517518520521[[#This Row],[Unidades]]</calculatedColumnFormula>
    </tableColumn>
  </tableColumns>
  <tableStyleInfo name="TableStyleLight8"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1" xr:uid="{C9AFFA84-1672-4FA9-A8C4-2D0CF87F7601}" name="Tabla1103453454455456479116117118120740126148156186254256287328340342343349364366376401413415417419444448449479480481482500501503504505506507508509510511512513514515516517518520521522" displayName="Tabla1103453454455456479116117118120740126148156186254256287328340342343349364366376401413415417419444448449479480481482500501503504505506507508509510511512513514515516517518520521522" ref="B894:H905" totalsRowCount="1" headerRowDxfId="509" dataDxfId="507" totalsRowDxfId="508" headerRowBorderDxfId="9552" tableBorderDxfId="9551" totalsRowBorderDxfId="9550">
  <autoFilter ref="B894:H904" xr:uid="{C9AFFA84-1672-4FA9-A8C4-2D0CF87F7601}"/>
  <sortState xmlns:xlrd2="http://schemas.microsoft.com/office/spreadsheetml/2017/richdata2" ref="B895:H895">
    <sortCondition descending="1" ref="H97:H111"/>
  </sortState>
  <tableColumns count="7">
    <tableColumn id="2" xr3:uid="{5A9625ED-3E28-4BA2-A30B-E623BAA98B4D}" name="ArtÃ­culo" dataDxfId="523" totalsRowDxfId="522"/>
    <tableColumn id="3" xr3:uid="{E93AA50A-CD67-41CD-82F8-13C3CFE834BC}" name="Unidad Medida" dataDxfId="521" totalsRowDxfId="520"/>
    <tableColumn id="4" xr3:uid="{A600799A-2632-4905-8C5B-0293E7B2D4DD}" name="Unidades Netas" dataDxfId="519" totalsRowDxfId="518"/>
    <tableColumn id="1" xr3:uid="{F051D13A-E312-4490-8774-A74406E0EDD0}" name="% Merma" dataDxfId="517" totalsRowDxfId="516"/>
    <tableColumn id="7" xr3:uid="{DB4AF304-48C1-4B11-B1AE-1A04F57B47FF}" name="Unidades" dataDxfId="515" totalsRowDxfId="514"/>
    <tableColumn id="5" xr3:uid="{5D3971BA-1794-46FA-A199-13FA9AF970EE}" name="Coste Componente" dataDxfId="513" totalsRowDxfId="512" dataCellStyle="Moneda">
      <calculatedColumnFormula>+VLOOKUP(Tabla1103453454455456479116117118120740126148156186254256287328340342343349364366376401413415417419444448449479480481482500501503504505506507508509510511512513514515516517518520521522[[#This Row],[ArtÃ­culo]],Tabla34[#All],3,0)</calculatedColumnFormula>
    </tableColumn>
    <tableColumn id="6" xr3:uid="{A8FC1A37-F89E-4A94-9617-852FDA2B36D9}" name="Coste LÃ­nea" totalsRowFunction="sum" dataDxfId="511" totalsRowDxfId="510" dataCellStyle="Moneda">
      <calculatedColumnFormula>+Tabla1103453454455456479116117118120740126148156186254256287328340342343349364366376401413415417419444448449479480481482500501503504505506507508509510511512513514515516517518520521522[[#This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calculatedColumnFormula>
    </tableColumn>
  </tableColumns>
  <tableStyleInfo name="TableStyleLight8"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2" xr:uid="{759CE932-BDD1-44BF-8096-85B4889BE81D}" name="Tabla1103453454455456479116117118120740126148156186254256287328340342343349364366376401413415417419444448449479480481482500501503504505506507508509510511512513514515516517518520521522523" displayName="Tabla1103453454455456479116117118120740126148156186254256287328340342343349364366376401413415417419444448449479480481482500501503504505506507508509510511512513514515516517518520521522523" ref="B909:H917" totalsRowCount="1" headerRowDxfId="492" dataDxfId="490" totalsRowDxfId="491" headerRowBorderDxfId="9549" tableBorderDxfId="9548" totalsRowBorderDxfId="9547">
  <autoFilter ref="B909:H916" xr:uid="{759CE932-BDD1-44BF-8096-85B4889BE81D}"/>
  <sortState xmlns:xlrd2="http://schemas.microsoft.com/office/spreadsheetml/2017/richdata2" ref="B910:H910">
    <sortCondition descending="1" ref="H97:H111"/>
  </sortState>
  <tableColumns count="7">
    <tableColumn id="2" xr3:uid="{C04D9F86-7430-466D-A130-21A320F17522}" name="ArtÃ­culo" dataDxfId="506" totalsRowDxfId="505"/>
    <tableColumn id="3" xr3:uid="{B4673BE6-A688-42A5-B0B9-94113D8F8FC3}" name="Unidad Medida" dataDxfId="504" totalsRowDxfId="503"/>
    <tableColumn id="4" xr3:uid="{CA8D5F9A-0BB3-4B35-B77B-E9CB37C58559}" name="Unidades Netas" dataDxfId="502" totalsRowDxfId="501"/>
    <tableColumn id="1" xr3:uid="{5A2EB37F-2613-4ED6-A3CE-9746F6A5FCFB}" name="% Merma" dataDxfId="500" totalsRowDxfId="499"/>
    <tableColumn id="7" xr3:uid="{1EB23E35-6F3D-41D1-A22D-AAEBBA8AC438}" name="Unidades" dataDxfId="498" totalsRowDxfId="497"/>
    <tableColumn id="5" xr3:uid="{805D8AE0-17B8-4C4B-84E0-C18BF36A9922}" name="Coste Componente" dataDxfId="496" totalsRowDxfId="495" dataCellStyle="Moneda">
      <calculatedColumnFormula>+VLOOKUP(Tabla1103453454455456479116117118120740126148156186254256287328340342343349364366376401413415417419444448449479480481482500501503504505506507508509510511512513514515516517518520521522523[[#This Row],[ArtÃ­culo]],Tabla34[#All],3,0)</calculatedColumnFormula>
    </tableColumn>
    <tableColumn id="6" xr3:uid="{F1F213FA-E048-4557-8349-94091513B9AD}" name="Coste LÃ­nea" totalsRowFunction="sum" dataDxfId="494" totalsRowDxfId="493" dataCellStyle="Moneda">
      <calculatedColumnFormula>+Tabla1103453454455456479116117118120740126148156186254256287328340342343349364366376401413415417419444448449479480481482500501503504505506507508509510511512513514515516517518520521522523[[#This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calculatedColumnFormula>
    </tableColumn>
  </tableColumns>
  <tableStyleInfo name="TableStyleLight8"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6" xr:uid="{6C9F66E0-A6AE-43C4-9A4C-643D0B87B8E4}" name="Tabla1103453454455456479116117118120740126148156186254256287328340342343349364366376401413415417419444448449479480481482500501503504505506507508509510511512513514515516517518520521522523527" displayName="Tabla1103453454455456479116117118120740126148156186254256287328340342343349364366376401413415417419444448449479480481482500501503504505506507508509510511512513514515516517518520521522523527" ref="B921:H930" totalsRowCount="1" headerRowDxfId="475" dataDxfId="473" totalsRowDxfId="474" headerRowBorderDxfId="9546" tableBorderDxfId="9545" totalsRowBorderDxfId="9544">
  <autoFilter ref="B921:H929" xr:uid="{6C9F66E0-A6AE-43C4-9A4C-643D0B87B8E4}"/>
  <sortState xmlns:xlrd2="http://schemas.microsoft.com/office/spreadsheetml/2017/richdata2" ref="B922:H922">
    <sortCondition descending="1" ref="H97:H111"/>
  </sortState>
  <tableColumns count="7">
    <tableColumn id="2" xr3:uid="{5268ABD9-0BA8-4E04-BFF6-EB9DFF8D2051}" name="ArtÃ­culo" dataDxfId="489" totalsRowDxfId="488"/>
    <tableColumn id="3" xr3:uid="{2086AB73-1AC7-49E8-BC13-0B0D439B9CF2}" name="Unidad Medida" dataDxfId="487" totalsRowDxfId="486"/>
    <tableColumn id="4" xr3:uid="{C52F2380-5E3E-4B97-82AF-637DEC0AFCCC}" name="Unidades Netas" dataDxfId="485" totalsRowDxfId="484"/>
    <tableColumn id="1" xr3:uid="{DE9DE694-C4EF-4D8A-8AE4-A7AC7D193521}" name="% Merma" dataDxfId="483" totalsRowDxfId="482"/>
    <tableColumn id="7" xr3:uid="{4F6369E1-80D5-40DB-8CBD-705078D2D1C0}" name="Unidades" dataDxfId="481" totalsRowDxfId="480"/>
    <tableColumn id="5" xr3:uid="{2F5C9DB9-7B63-4BEA-A71C-DC5CDEF592FB}" name="Coste Componente" dataDxfId="479" totalsRowDxfId="478" dataCellStyle="Moneda">
      <calculatedColumnFormula>+VLOOKUP(Tabla1103453454455456479116117118120740126148156186254256287328340342343349364366376401413415417419444448449479480481482500501503504505506507508509510511512513514515516517518520521522523527[[#This Row],[ArtÃ­culo]],Tabla34[#All],3,0)</calculatedColumnFormula>
    </tableColumn>
    <tableColumn id="6" xr3:uid="{83C36E41-EF4C-4498-A94B-3824F2935C29}" name="Coste LÃ­nea" totalsRowFunction="sum" dataDxfId="477" totalsRowDxfId="476" dataCellStyle="Moneda">
      <calculatedColumnFormula>+Tabla1103453454455456479116117118120740126148156186254256287328340342343349364366376401413415417419444448449479480481482500501503504505506507508509510511512513514515516517518520521522523527[[#This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calculatedColumnFormula>
    </tableColumn>
  </tableColumns>
  <tableStyleInfo name="TableStyleLight8"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7" xr:uid="{52B30076-9CBD-49F0-B12C-B23A8D54C3F9}" name="Tabla1103453454455456479116117118120740126148156186254256287328340342343349364366376401413415417419444448449479480481482500501503504505506507508509510511512513514515516517518520521522523527528" displayName="Tabla1103453454455456479116117118120740126148156186254256287328340342343349364366376401413415417419444448449479480481482500501503504505506507508509510511512513514515516517518520521522523527528" ref="B934:H943" totalsRowCount="1" headerRowDxfId="458" dataDxfId="456" totalsRowDxfId="457" headerRowBorderDxfId="9543" tableBorderDxfId="9542" totalsRowBorderDxfId="9541">
  <autoFilter ref="B934:H942" xr:uid="{52B30076-9CBD-49F0-B12C-B23A8D54C3F9}"/>
  <sortState xmlns:xlrd2="http://schemas.microsoft.com/office/spreadsheetml/2017/richdata2" ref="B935:H935">
    <sortCondition descending="1" ref="H97:H111"/>
  </sortState>
  <tableColumns count="7">
    <tableColumn id="2" xr3:uid="{11ED168E-FA9D-43C9-879F-744311BE5D6A}" name="ArtÃ­culo" dataDxfId="472" totalsRowDxfId="471"/>
    <tableColumn id="3" xr3:uid="{6B122575-7980-4F7B-914E-69AA5CFBCF5E}" name="Unidad Medida" dataDxfId="470" totalsRowDxfId="469"/>
    <tableColumn id="4" xr3:uid="{EFADACCD-ABDF-44F3-B6C8-113DC72E5058}" name="Unidades Netas" dataDxfId="468" totalsRowDxfId="467"/>
    <tableColumn id="1" xr3:uid="{1C894883-1E58-4688-B29B-A6A99B99B7FC}" name="% Merma" dataDxfId="466" totalsRowDxfId="465"/>
    <tableColumn id="7" xr3:uid="{5B6DB492-2FD5-4BED-8386-FA0D85657045}" name="Unidades" dataDxfId="464" totalsRowDxfId="463"/>
    <tableColumn id="5" xr3:uid="{C10E0EE0-702C-4AD1-AC59-A3F4FBCCCD15}" name="Coste Componente" dataDxfId="462" totalsRowDxfId="461" dataCellStyle="Moneda">
      <calculatedColumnFormula>+VLOOKUP(Tabla1103453454455456479116117118120740126148156186254256287328340342343349364366376401413415417419444448449479480481482500501503504505506507508509510511512513514515516517518520521522523527528[[#This Row],[ArtÃ­culo]],Tabla34[#All],3,0)</calculatedColumnFormula>
    </tableColumn>
    <tableColumn id="6" xr3:uid="{6CAF5A85-55D8-4BBD-BEBF-5FF28035B727}" name="Coste LÃ­nea" totalsRowFunction="sum" dataDxfId="460" totalsRowDxfId="459" dataCellStyle="Moneda">
      <calculatedColumnFormula>+Tabla1103453454455456479116117118120740126148156186254256287328340342343349364366376401413415417419444448449479480481482500501503504505506507508509510511512513514515516517518520521522523527528[[#This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calculatedColumnFormula>
    </tableColumn>
  </tableColumns>
  <tableStyleInfo name="TableStyleLight8"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8" xr:uid="{3FD9564D-E47C-4F4A-A36A-EF21C60C24D2}" name="Tabla1103453454455456479116117118120740126148156186254256287328340342343349364366376401413415417419444448449479480481482500501503504505506507508509510511512513514515516517518520521522523527528529" displayName="Tabla1103453454455456479116117118120740126148156186254256287328340342343349364366376401413415417419444448449479480481482500501503504505506507508509510511512513514515516517518520521522523527528529" ref="B946:H957" totalsRowCount="1" headerRowDxfId="441" dataDxfId="439" totalsRowDxfId="440" headerRowBorderDxfId="9540" tableBorderDxfId="9539" totalsRowBorderDxfId="9538">
  <autoFilter ref="B946:H956" xr:uid="{3FD9564D-E47C-4F4A-A36A-EF21C60C24D2}"/>
  <sortState xmlns:xlrd2="http://schemas.microsoft.com/office/spreadsheetml/2017/richdata2" ref="B947:H947">
    <sortCondition descending="1" ref="H97:H111"/>
  </sortState>
  <tableColumns count="7">
    <tableColumn id="2" xr3:uid="{05F664D1-EB67-41AC-974F-3710715F9B8A}" name="ArtÃ­culo" dataDxfId="455" totalsRowDxfId="454"/>
    <tableColumn id="3" xr3:uid="{386A3B0F-8F05-4C0C-A3AA-D45722EDAB76}" name="Unidad Medida" dataDxfId="453" totalsRowDxfId="452"/>
    <tableColumn id="4" xr3:uid="{248E2756-C95B-4A0C-B107-E0AE5D0A7DE7}" name="Unidades Netas" dataDxfId="451" totalsRowDxfId="450"/>
    <tableColumn id="1" xr3:uid="{A421B96A-9026-486D-9C93-ECFAEDCE56A6}" name="% Merma" dataDxfId="449" totalsRowDxfId="448"/>
    <tableColumn id="7" xr3:uid="{DFE1F9BC-8405-4F3B-B7B3-40E68CE11469}" name="Unidades" dataDxfId="447" totalsRowDxfId="446"/>
    <tableColumn id="5" xr3:uid="{8BCBA441-1914-432F-99FB-9D9C4FA4599E}" name="Coste Componente" dataDxfId="445" totalsRowDxfId="444" dataCellStyle="Moneda">
      <calculatedColumnFormula>+VLOOKUP(Tabla1103453454455456479116117118120740126148156186254256287328340342343349364366376401413415417419444448449479480481482500501503504505506507508509510511512513514515516517518520521522523527528529[[#This Row],[ArtÃ­culo]],Tabla34[#All],3,0)</calculatedColumnFormula>
    </tableColumn>
    <tableColumn id="6" xr3:uid="{89EED32A-0854-42E5-871E-D2A82920A0B0}" name="Coste LÃ­nea" totalsRowFunction="sum" dataDxfId="443" totalsRowDxfId="442" dataCellStyle="Moneda">
      <calculatedColumnFormula>+Tabla1103453454455456479116117118120740126148156186254256287328340342343349364366376401413415417419444448449479480481482500501503504505506507508509510511512513514515516517518520521522523527528529[[#This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calculatedColumnFormula>
    </tableColumn>
  </tableColumns>
  <tableStyleInfo name="TableStyleLight8"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9" xr:uid="{EAC248CC-1C23-49B3-94B2-3A951088F1EF}" name="Tabla1103453454455456479116117118120740126148156186254256287328340342343349364366376401413415417419444448449479480481482500501503504505506507508509510511512513514515516517518520521522523527528529530" displayName="Tabla1103453454455456479116117118120740126148156186254256287328340342343349364366376401413415417419444448449479480481482500501503504505506507508509510511512513514515516517518520521522523527528529530" ref="B961:H965" totalsRowCount="1" headerRowDxfId="424" dataDxfId="422" totalsRowDxfId="423" headerRowBorderDxfId="9537" tableBorderDxfId="9536" totalsRowBorderDxfId="9535">
  <autoFilter ref="B961:H964" xr:uid="{EAC248CC-1C23-49B3-94B2-3A951088F1EF}"/>
  <sortState xmlns:xlrd2="http://schemas.microsoft.com/office/spreadsheetml/2017/richdata2" ref="B962:H962">
    <sortCondition descending="1" ref="H97:H111"/>
  </sortState>
  <tableColumns count="7">
    <tableColumn id="2" xr3:uid="{A765BE63-551F-4111-AC5D-16FEE0F89D26}" name="ArtÃ­culo" dataDxfId="438" totalsRowDxfId="437"/>
    <tableColumn id="3" xr3:uid="{C308FE52-0FDA-4726-96F2-88478210171C}" name="Unidad Medida" dataDxfId="436" totalsRowDxfId="435"/>
    <tableColumn id="4" xr3:uid="{0E83759B-9E2F-48C3-82D7-CC657630647F}" name="Unidades Netas" dataDxfId="434" totalsRowDxfId="433"/>
    <tableColumn id="1" xr3:uid="{79BD01DA-DB3D-4AE2-B613-F9CAC6F6E5B0}" name="% Merma" dataDxfId="432" totalsRowDxfId="431"/>
    <tableColumn id="7" xr3:uid="{7D75F57D-4CAC-4AEA-88B4-A8374E091068}" name="Unidades" dataDxfId="430" totalsRowDxfId="429"/>
    <tableColumn id="5" xr3:uid="{D14081AD-C09A-4BF0-BAEF-2D58A4198F9D}" name="Coste Componente" dataDxfId="428" totalsRowDxfId="427" dataCellStyle="Moneda">
      <calculatedColumnFormula>+VLOOKUP(Tabla1103453454455456479116117118120740126148156186254256287328340342343349364366376401413415417419444448449479480481482500501503504505506507508509510511512513514515516517518520521522523527528529530[[#This Row],[ArtÃ­culo]],Tabla34[#All],3,0)</calculatedColumnFormula>
    </tableColumn>
    <tableColumn id="6" xr3:uid="{681CBFE1-2B40-4931-BB5A-0A6DC76510D2}" name="Coste LÃ­nea" totalsRowFunction="sum" dataDxfId="426" totalsRowDxfId="425" dataCellStyle="Moneda">
      <calculatedColumnFormula>+Tabla1103453454455456479116117118120740126148156186254256287328340342343349364366376401413415417419444448449479480481482500501503504505506507508509510511512513514515516517518520521522523527528529530[[#This Row],[Coste Componente]]*Tabla1103453454455456479116117118120740126148156186254256287328340342343349364366376401413415417419444448449479480481482500501503504505506507508509510511512513514515516517518520521522523527528529530[[#This Row],[Unidades]]</calculatedColumnFormula>
    </tableColumn>
  </tableColumns>
  <tableStyleInfo name="TableStyleLight8"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0" xr:uid="{BE0F1D8E-F8D7-40E1-B7C9-7720605B68FD}" name="Tabla1103453454455456479116117118120740126148156186254256287328340342343349364366376401413415417419444448449479480481482500501503504505506507508509510511512513514515516517518520521522523527528529530531" displayName="Tabla1103453454455456479116117118120740126148156186254256287328340342343349364366376401413415417419444448449479480481482500501503504505506507508509510511512513514515516517518520521522523527528529530531" ref="B969:H976" totalsRowCount="1" headerRowDxfId="407" dataDxfId="405" totalsRowDxfId="406" headerRowBorderDxfId="9534" tableBorderDxfId="9533" totalsRowBorderDxfId="9532">
  <autoFilter ref="B969:H975" xr:uid="{BE0F1D8E-F8D7-40E1-B7C9-7720605B68FD}"/>
  <sortState xmlns:xlrd2="http://schemas.microsoft.com/office/spreadsheetml/2017/richdata2" ref="B970:H970">
    <sortCondition descending="1" ref="H97:H111"/>
  </sortState>
  <tableColumns count="7">
    <tableColumn id="2" xr3:uid="{3CB0611E-57BA-46A9-9D11-0B5093C1396A}" name="ArtÃ­culo" dataDxfId="421" totalsRowDxfId="420"/>
    <tableColumn id="3" xr3:uid="{658436C2-358D-4502-AB69-0C00A6432A40}" name="Unidad Medida" dataDxfId="419" totalsRowDxfId="418"/>
    <tableColumn id="4" xr3:uid="{993FADB0-7147-4E3E-93CB-9BCCBB566326}" name="Unidades Netas" dataDxfId="417" totalsRowDxfId="416"/>
    <tableColumn id="1" xr3:uid="{C0553B41-B4C1-4CA6-866E-05096913239A}" name="% Merma" dataDxfId="415" totalsRowDxfId="414"/>
    <tableColumn id="7" xr3:uid="{28BF2039-A483-4311-AD83-8C4692619932}" name="Unidades" dataDxfId="413" totalsRowDxfId="412"/>
    <tableColumn id="5" xr3:uid="{E7BA8409-94F9-49E2-8C12-BD549F4D6EED}" name="Coste Componente" dataDxfId="411" totalsRowDxfId="410" dataCellStyle="Moneda">
      <calculatedColumnFormula>+VLOOKUP(Tabla1103453454455456479116117118120740126148156186254256287328340342343349364366376401413415417419444448449479480481482500501503504505506507508509510511512513514515516517518520521522523527528529530531[[#This Row],[ArtÃ­culo]],Tabla34[#All],3,0)</calculatedColumnFormula>
    </tableColumn>
    <tableColumn id="6" xr3:uid="{39C934EA-632C-4FFD-BD46-7D1B56EA8AF2}" name="Coste LÃ­nea" totalsRowFunction="sum" dataDxfId="409" totalsRowDxfId="408" dataCellStyle="Moneda">
      <calculatedColumnFormula>+Tabla1103453454455456479116117118120740126148156186254256287328340342343349364366376401413415417419444448449479480481482500501503504505506507508509510511512513514515516517518520521522523527528529530531[[#This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calculatedColumnFormula>
    </tableColumn>
  </tableColumns>
  <tableStyleInfo name="TableStyleLight8"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0" xr:uid="{8A225A01-DDFE-447D-9E71-DCDF61D20521}" name="Tabla461487182791" displayName="Tabla461487182791" ref="M7:M11" totalsRowShown="0" headerRowDxfId="403" dataDxfId="402" tableBorderDxfId="3231">
  <autoFilter ref="M7:M11" xr:uid="{8A225A01-DDFE-447D-9E71-DCDF61D20521}"/>
  <tableColumns count="1">
    <tableColumn id="1" xr3:uid="{103DD6F5-7755-4E6B-9843-91D634DAADB3}" name="Preparacion" dataDxfId="404"/>
  </tableColumns>
  <tableStyleInfo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1" xr:uid="{5946BBE6-D37B-4C59-8817-EFA2E2B9BEC5}" name="Tabla461487182381792" displayName="Tabla461487182381792" ref="M13:M17" totalsRowShown="0" headerRowDxfId="400" dataDxfId="399" tableBorderDxfId="3230">
  <autoFilter ref="M13:M17" xr:uid="{5946BBE6-D37B-4C59-8817-EFA2E2B9BEC5}"/>
  <tableColumns count="1">
    <tableColumn id="1" xr3:uid="{399BC0F1-F8C3-4B1A-960A-C249D388C8A8}" name="Emplatado" dataDxfId="401"/>
  </tableColumns>
  <tableStyleInfo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2" xr:uid="{D82B08C8-7039-4A56-95E0-AC74B027DD58}" name="Tabla461487182791793" displayName="Tabla461487182791793" ref="M26:M30" totalsRowShown="0" headerRowDxfId="397" dataDxfId="396" tableBorderDxfId="3229">
  <autoFilter ref="M26:M30" xr:uid="{D82B08C8-7039-4A56-95E0-AC74B027DD58}"/>
  <tableColumns count="1">
    <tableColumn id="1" xr3:uid="{DB88368B-90EE-45BD-91C3-AD361DF5BB5D}" name="Preparacion" dataDxfId="398"/>
  </tableColumns>
  <tableStyleInfo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3" xr:uid="{99FB60A3-19E9-4DDC-8C3E-115681EAB341}" name="Tabla461487182381792794" displayName="Tabla461487182381792794" ref="M32:M36" totalsRowShown="0" headerRowDxfId="394" dataDxfId="393" tableBorderDxfId="3228">
  <autoFilter ref="M32:M36" xr:uid="{99FB60A3-19E9-4DDC-8C3E-115681EAB341}"/>
  <tableColumns count="1">
    <tableColumn id="1" xr3:uid="{6545796D-CCB1-4E0C-AD22-7649A8B03CAB}" name="Emplatado" dataDxfId="395"/>
  </tableColumns>
  <tableStyleInfo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4" xr:uid="{A4501FAB-7CA4-4055-93C9-92E92F87C6C4}" name="Tabla461487182791795" displayName="Tabla461487182791795" ref="M43:M47" totalsRowShown="0" headerRowDxfId="391" dataDxfId="390" tableBorderDxfId="3227">
  <autoFilter ref="M43:M47" xr:uid="{A4501FAB-7CA4-4055-93C9-92E92F87C6C4}"/>
  <tableColumns count="1">
    <tableColumn id="1" xr3:uid="{C6E55BC4-C780-42BE-B268-8CEF96ADE152}" name="Preparacion" dataDxfId="392"/>
  </tableColumns>
  <tableStyleInfo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5" xr:uid="{022FDB36-CBF5-4438-B93B-7CC07E94AB3E}" name="Tabla461487182381792796" displayName="Tabla461487182381792796" ref="M49:M50" insertRow="1" totalsRowShown="0" headerRowDxfId="388" dataDxfId="387" tableBorderDxfId="3226">
  <autoFilter ref="M49:M50" xr:uid="{022FDB36-CBF5-4438-B93B-7CC07E94AB3E}"/>
  <tableColumns count="1">
    <tableColumn id="1" xr3:uid="{7B9399D8-7BAC-4BA4-8868-6804572D9745}" name="Emplatado" dataDxfId="389"/>
  </tableColumns>
  <tableStyleInfo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6" xr:uid="{47C1CE4A-5AEF-4AC9-81BA-5617BB583EF1}" name="Tabla461487182791797" displayName="Tabla461487182791797" ref="M53:M54" insertRow="1" totalsRowShown="0" headerRowDxfId="385" dataDxfId="384" tableBorderDxfId="3225">
  <autoFilter ref="M53:M54" xr:uid="{47C1CE4A-5AEF-4AC9-81BA-5617BB583EF1}"/>
  <tableColumns count="1">
    <tableColumn id="1" xr3:uid="{20A22AC0-79F9-4334-921E-3BFA203BECFA}" name="Preparacion" dataDxfId="386"/>
  </tableColumns>
  <tableStyleInfo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7" xr:uid="{C0CAA82A-E9D2-4F29-8B0F-A5413160353F}" name="Tabla461487182381792798" displayName="Tabla461487182381792798" ref="M57:M58" insertRow="1" totalsRowShown="0" headerRowDxfId="382" dataDxfId="381" tableBorderDxfId="3224">
  <autoFilter ref="M57:M58" xr:uid="{C0CAA82A-E9D2-4F29-8B0F-A5413160353F}"/>
  <tableColumns count="1">
    <tableColumn id="1" xr3:uid="{C1DA8E9C-CF39-4560-AB75-8EA696A361CC}" name="Emplatado" dataDxfId="383"/>
  </tableColumns>
  <tableStyleInfo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8" xr:uid="{C47048EB-B141-4965-B5C0-DC3F168B2B3E}" name="Tabla461487182791797799" displayName="Tabla461487182791797799" ref="M61:M62" insertRow="1" totalsRowShown="0" headerRowDxfId="379" dataDxfId="378" tableBorderDxfId="3223">
  <autoFilter ref="M61:M62" xr:uid="{C47048EB-B141-4965-B5C0-DC3F168B2B3E}"/>
  <tableColumns count="1">
    <tableColumn id="1" xr3:uid="{01EF9454-2AAA-45BC-9D4A-2165F0C5729D}" name="Preparacion" dataDxfId="380"/>
  </tableColumns>
  <tableStyleInfo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9" xr:uid="{740E88E6-ABBA-45F5-A35B-645902D793D1}" name="Tabla461487182381792798800" displayName="Tabla461487182381792798800" ref="M65:M66" insertRow="1" totalsRowShown="0" headerRowDxfId="376" dataDxfId="375" tableBorderDxfId="3222">
  <autoFilter ref="M65:M66" xr:uid="{740E88E6-ABBA-45F5-A35B-645902D793D1}"/>
  <tableColumns count="1">
    <tableColumn id="1" xr3:uid="{A4C49E9A-FCED-4454-85C0-1D022CACD6E9}" name="Emplatado" dataDxfId="377"/>
  </tableColumns>
  <tableStyleInfo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0" xr:uid="{9E9DF53F-66D7-4512-A6E0-1823ECE463D4}" name="Tabla461487182791797801" displayName="Tabla461487182791797801" ref="M71:M72" insertRow="1" totalsRowShown="0" headerRowDxfId="373" dataDxfId="372" tableBorderDxfId="3221">
  <autoFilter ref="M71:M72" xr:uid="{9E9DF53F-66D7-4512-A6E0-1823ECE463D4}"/>
  <tableColumns count="1">
    <tableColumn id="1" xr3:uid="{767D00E0-AAFD-46D4-8B7B-79E34EDF716E}" name="Preparacion" dataDxfId="374"/>
  </tableColumns>
  <tableStyleInfo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1" xr:uid="{D52C4AE4-9075-4E12-80B2-9E7391A19DC5}" name="Tabla461487182381792798802" displayName="Tabla461487182381792798802" ref="M75:M76" insertRow="1" totalsRowShown="0" headerRowDxfId="370" dataDxfId="369" tableBorderDxfId="3220">
  <autoFilter ref="M75:M76" xr:uid="{D52C4AE4-9075-4E12-80B2-9E7391A19DC5}"/>
  <tableColumns count="1">
    <tableColumn id="1" xr3:uid="{855769DC-9102-4E44-8534-F5F9E1A2CC13}" name="Emplatado" dataDxfId="371"/>
  </tableColumns>
  <tableStyleInfo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2" xr:uid="{E41EC8D4-94FA-495C-9741-55B2077EDD1A}" name="Tabla461487182791797803" displayName="Tabla461487182791797803" ref="M80:M82" totalsRowShown="0" headerRowDxfId="367" dataDxfId="366" tableBorderDxfId="3219">
  <autoFilter ref="M80:M82" xr:uid="{E41EC8D4-94FA-495C-9741-55B2077EDD1A}"/>
  <tableColumns count="1">
    <tableColumn id="1" xr3:uid="{840EB2AD-FF6F-47A9-A781-6B1AB67982EB}" name="Preparacion" dataDxfId="368"/>
  </tableColumns>
  <tableStyleInfo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3" xr:uid="{EB1EACAE-5B47-4E90-A156-C1589D74774D}" name="Tabla461487182381792798804" displayName="Tabla461487182381792798804" ref="M84:M85" insertRow="1" totalsRowShown="0" headerRowDxfId="364" dataDxfId="363" tableBorderDxfId="3218">
  <autoFilter ref="M84:M85" xr:uid="{EB1EACAE-5B47-4E90-A156-C1589D74774D}"/>
  <tableColumns count="1">
    <tableColumn id="1" xr3:uid="{A754595E-F344-49B3-9061-B5A5C3960C8A}" name="Emplatado" dataDxfId="365"/>
  </tableColumns>
  <tableStyleInfo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4" xr:uid="{8F59B5EE-9CD6-4472-B399-16DCD3959EE6}" name="Tabla461487182791797805" displayName="Tabla461487182791797805" ref="M97:M98" insertRow="1" totalsRowShown="0" headerRowDxfId="361" dataDxfId="360" tableBorderDxfId="3217">
  <autoFilter ref="M97:M98" xr:uid="{8F59B5EE-9CD6-4472-B399-16DCD3959EE6}"/>
  <tableColumns count="1">
    <tableColumn id="1" xr3:uid="{C1018785-5C4C-43C0-8695-D83BC96D1F42}" name="Preparacion" dataDxfId="362"/>
  </tableColumns>
  <tableStyleInfo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5" xr:uid="{0EDAFE77-20A0-405B-9390-5390BF103726}" name="Tabla461487182381792798806" displayName="Tabla461487182381792798806" ref="M101:M102" insertRow="1" totalsRowShown="0" headerRowDxfId="358" dataDxfId="357" tableBorderDxfId="3216">
  <autoFilter ref="M101:M102" xr:uid="{0EDAFE77-20A0-405B-9390-5390BF103726}"/>
  <tableColumns count="1">
    <tableColumn id="1" xr3:uid="{B57564F3-BC03-4298-BF7B-1C91874AB99F}" name="Emplatado" dataDxfId="359"/>
  </tableColumns>
  <tableStyleInfo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6" xr:uid="{96C5B44B-7D79-4ACB-838D-913094CCC0DC}" name="Tabla461487182791797807" displayName="Tabla461487182791797807" ref="M108:M109" insertRow="1" totalsRowShown="0" headerRowDxfId="355" dataDxfId="354" tableBorderDxfId="3215">
  <autoFilter ref="M108:M109" xr:uid="{96C5B44B-7D79-4ACB-838D-913094CCC0DC}"/>
  <tableColumns count="1">
    <tableColumn id="1" xr3:uid="{6ABE14F1-2EFE-4CEE-8599-70F33F3D6FD4}" name="Preparacion" dataDxfId="356"/>
  </tableColumns>
  <tableStyleInfo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7" xr:uid="{D5482225-2FEF-4C3B-AB86-C266D92FF947}" name="Tabla461487182381792798808" displayName="Tabla461487182381792798808" ref="M112:M113" insertRow="1" totalsRowShown="0" headerRowDxfId="352" dataDxfId="351" tableBorderDxfId="3214">
  <autoFilter ref="M112:M113" xr:uid="{D5482225-2FEF-4C3B-AB86-C266D92FF947}"/>
  <tableColumns count="1">
    <tableColumn id="1" xr3:uid="{789F6A08-4E80-4122-9F09-7AEC4EC8E446}" name="Emplatado" dataDxfId="353"/>
  </tableColumns>
  <tableStyleInfo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8" xr:uid="{9E0B1520-71A4-41C5-A73A-951401836842}" name="Tabla461487182791797809" displayName="Tabla461487182791797809" ref="M122:M123" insertRow="1" totalsRowShown="0" headerRowDxfId="349" dataDxfId="348" tableBorderDxfId="3213">
  <autoFilter ref="M122:M123" xr:uid="{9E0B1520-71A4-41C5-A73A-951401836842}"/>
  <tableColumns count="1">
    <tableColumn id="1" xr3:uid="{D59333B0-D164-40BE-8704-C57B266C38FF}" name="Preparacion" dataDxfId="350"/>
  </tableColumns>
  <tableStyleInfo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9" xr:uid="{A569E547-8EB8-4067-BCE7-CD4C8410E6CF}" name="Tabla461487182381792798810" displayName="Tabla461487182381792798810" ref="M126:M127" insertRow="1" totalsRowShown="0" headerRowDxfId="346" dataDxfId="345" tableBorderDxfId="3212">
  <autoFilter ref="M126:M127" xr:uid="{A569E547-8EB8-4067-BCE7-CD4C8410E6CF}"/>
  <tableColumns count="1">
    <tableColumn id="1" xr3:uid="{6E5AD68B-2FFC-4ED2-B7D4-4E22ECF77B89}" name="Emplatado" dataDxfId="347"/>
  </tableColumns>
  <tableStyleInfo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0" xr:uid="{314317F8-E8D1-47AA-A375-D583EF9C9C78}" name="Tabla461487182791797811" displayName="Tabla461487182791797811" ref="M131:M132" insertRow="1" totalsRowShown="0" headerRowDxfId="343" dataDxfId="342" tableBorderDxfId="3211">
  <autoFilter ref="M131:M132" xr:uid="{314317F8-E8D1-47AA-A375-D583EF9C9C78}"/>
  <tableColumns count="1">
    <tableColumn id="1" xr3:uid="{BF1C5D94-0709-499C-B8B5-D4C4DBC7A687}" name="Preparacion" dataDxfId="344"/>
  </tableColumns>
  <tableStyleInfo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1" xr:uid="{F391FDA0-A13F-4A53-856E-4E287F622891}" name="Tabla461487182381792798812" displayName="Tabla461487182381792798812" ref="M135:M136" insertRow="1" totalsRowShown="0" headerRowDxfId="340" dataDxfId="339" tableBorderDxfId="3210">
  <autoFilter ref="M135:M136" xr:uid="{F391FDA0-A13F-4A53-856E-4E287F622891}"/>
  <tableColumns count="1">
    <tableColumn id="1" xr3:uid="{E0E78F4F-AAF6-4DF2-98D8-45262EE5AB92}" name="Emplatado" dataDxfId="341"/>
  </tableColumns>
  <tableStyleInfo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2" xr:uid="{92A02AB7-CF79-466A-9699-1CC193EBE23C}" name="Tabla461487182791797813" displayName="Tabla461487182791797813" ref="M144:M145" insertRow="1" totalsRowShown="0" headerRowDxfId="337" dataDxfId="336" tableBorderDxfId="3209">
  <autoFilter ref="M144:M145" xr:uid="{92A02AB7-CF79-466A-9699-1CC193EBE23C}"/>
  <tableColumns count="1">
    <tableColumn id="1" xr3:uid="{5ED43308-EBAF-425E-A1CE-BEDBB6C3A6E2}" name="Preparacion" dataDxfId="338"/>
  </tableColumns>
  <tableStyleInfo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3" xr:uid="{E1269212-46FA-4AE9-9061-84A0A39B5B28}" name="Tabla461487182381792798814" displayName="Tabla461487182381792798814" ref="M148:M149" insertRow="1" totalsRowShown="0" headerRowDxfId="334" dataDxfId="333" tableBorderDxfId="3208">
  <autoFilter ref="M148:M149" xr:uid="{E1269212-46FA-4AE9-9061-84A0A39B5B28}"/>
  <tableColumns count="1">
    <tableColumn id="1" xr3:uid="{066BEBD8-3048-4DFA-BC73-EEC9F56A577C}" name="Emplatado" dataDxfId="335"/>
  </tableColumns>
  <tableStyleInfo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4" xr:uid="{990B3BED-DF6F-4752-85EE-1F6A84104C23}" name="Tabla461487182791797815" displayName="Tabla461487182791797815" ref="M157:M158" insertRow="1" totalsRowShown="0" headerRowDxfId="331" dataDxfId="330" tableBorderDxfId="3207">
  <autoFilter ref="M157:M158" xr:uid="{990B3BED-DF6F-4752-85EE-1F6A84104C23}"/>
  <tableColumns count="1">
    <tableColumn id="1" xr3:uid="{629732C3-FE82-4028-BDDF-72D9BA10B55A}" name="Preparacion" dataDxfId="332"/>
  </tableColumns>
  <tableStyleInfo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5" xr:uid="{43C9213A-528D-4514-A18D-4F92A3A51DD0}" name="Tabla461487182381792798816" displayName="Tabla461487182381792798816" ref="M161:M162" insertRow="1" totalsRowShown="0" headerRowDxfId="328" dataDxfId="327" tableBorderDxfId="3206">
  <autoFilter ref="M161:M162" xr:uid="{43C9213A-528D-4514-A18D-4F92A3A51DD0}"/>
  <tableColumns count="1">
    <tableColumn id="1" xr3:uid="{FC8623F3-742D-4842-885A-B0B3E121EC83}" name="Emplatado" dataDxfId="329"/>
  </tableColumns>
  <tableStyleInfo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6" xr:uid="{4B1EAB66-4028-474C-8E9F-186B40B20320}" name="Tabla461487182791797817" displayName="Tabla461487182791797817" ref="M170:M171" insertRow="1" totalsRowShown="0" headerRowDxfId="325" dataDxfId="324" tableBorderDxfId="3205">
  <autoFilter ref="M170:M171" xr:uid="{4B1EAB66-4028-474C-8E9F-186B40B20320}"/>
  <tableColumns count="1">
    <tableColumn id="1" xr3:uid="{2CFC27E6-EE94-41E6-8E6B-C4E07530ABEE}" name="Preparacion" dataDxfId="326"/>
  </tableColumns>
  <tableStyleInfo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7" xr:uid="{D2F21A3E-9D35-4F53-8BB9-6AF9CEB54F43}" name="Tabla461487182381792798818" displayName="Tabla461487182381792798818" ref="M174:M175" insertRow="1" totalsRowShown="0" headerRowDxfId="322" dataDxfId="321" tableBorderDxfId="3204">
  <autoFilter ref="M174:M175" xr:uid="{D2F21A3E-9D35-4F53-8BB9-6AF9CEB54F43}"/>
  <tableColumns count="1">
    <tableColumn id="1" xr3:uid="{7C7BD662-013B-4570-9168-1C9BE5B27C7B}" name="Emplatado" dataDxfId="323"/>
  </tableColumns>
  <tableStyleInfo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8" xr:uid="{C4A80E2E-317B-47A0-BB47-04406D36C858}" name="Tabla461487182791797819" displayName="Tabla461487182791797819" ref="M182:M183" insertRow="1" totalsRowShown="0" headerRowDxfId="319" dataDxfId="318" tableBorderDxfId="3203">
  <autoFilter ref="M182:M183" xr:uid="{C4A80E2E-317B-47A0-BB47-04406D36C858}"/>
  <tableColumns count="1">
    <tableColumn id="1" xr3:uid="{0D6D4373-A9E8-4133-8EBD-502A047E6A39}" name="Preparacion" dataDxfId="320"/>
  </tableColumns>
  <tableStyleInfo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9" xr:uid="{BE4F8045-5C78-4801-8466-508FACCD9439}" name="Tabla461487182381792798820" displayName="Tabla461487182381792798820" ref="M186:M187" insertRow="1" totalsRowShown="0" headerRowDxfId="316" dataDxfId="315" tableBorderDxfId="3202">
  <autoFilter ref="M186:M187" xr:uid="{BE4F8045-5C78-4801-8466-508FACCD9439}"/>
  <tableColumns count="1">
    <tableColumn id="1" xr3:uid="{EC073D2B-F64C-48BF-A15F-F3A4EAE26A77}" name="Emplatado" dataDxfId="317"/>
  </tableColumns>
  <tableStyleInfo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0" xr:uid="{150BEF7D-686C-4678-9A7B-2C853D618A80}" name="Tabla461487182791797821" displayName="Tabla461487182791797821" ref="M194:M195" insertRow="1" totalsRowShown="0" headerRowDxfId="313" dataDxfId="312" tableBorderDxfId="3201">
  <autoFilter ref="M194:M195" xr:uid="{150BEF7D-686C-4678-9A7B-2C853D618A80}"/>
  <tableColumns count="1">
    <tableColumn id="1" xr3:uid="{1759CCA0-8123-4B1F-8857-033E5AA6B4B5}" name="Preparacion" dataDxfId="314"/>
  </tableColumns>
  <tableStyleInfo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1" xr:uid="{D96046D4-BF64-4FEB-972C-C841DD06578F}" name="Tabla461487182381792798822" displayName="Tabla461487182381792798822" ref="M198:M199" insertRow="1" totalsRowShown="0" headerRowDxfId="310" dataDxfId="309" tableBorderDxfId="3200">
  <autoFilter ref="M198:M199" xr:uid="{D96046D4-BF64-4FEB-972C-C841DD06578F}"/>
  <tableColumns count="1">
    <tableColumn id="1" xr3:uid="{5556C49C-7BF4-439A-AA3A-7EBB9B37AB2F}" name="Emplatado" dataDxfId="311"/>
  </tableColumns>
  <tableStyleInfo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2" xr:uid="{57C1DFFE-0752-4E85-BDAF-09573475B93E}" name="Tabla461487182791797823" displayName="Tabla461487182791797823" ref="M203:M204" insertRow="1" totalsRowShown="0" headerRowDxfId="307" dataDxfId="306" tableBorderDxfId="3199">
  <autoFilter ref="M203:M204" xr:uid="{57C1DFFE-0752-4E85-BDAF-09573475B93E}"/>
  <tableColumns count="1">
    <tableColumn id="1" xr3:uid="{72CF4CCF-3B59-475E-8C63-6B7323B42ECF}" name="Preparacion" dataDxfId="308"/>
  </tableColumns>
  <tableStyleInfo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3" xr:uid="{C49FEA8A-32B0-48C9-9A0F-04658820180C}" name="Tabla461487182381792798824" displayName="Tabla461487182381792798824" ref="M207:M208" insertRow="1" totalsRowShown="0" headerRowDxfId="304" dataDxfId="303" tableBorderDxfId="3198">
  <autoFilter ref="M207:M208" xr:uid="{C49FEA8A-32B0-48C9-9A0F-04658820180C}"/>
  <tableColumns count="1">
    <tableColumn id="1" xr3:uid="{23384429-7ACA-425A-A983-67EBFBFD780A}" name="Emplatado" dataDxfId="305"/>
  </tableColumns>
  <tableStyleInfo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4" xr:uid="{785FBADB-45D0-45ED-AB39-7FD7D7678CF9}" name="Tabla461487182791797825" displayName="Tabla461487182791797825" ref="M214:M215" insertRow="1" totalsRowShown="0" headerRowDxfId="301" dataDxfId="300" tableBorderDxfId="3197">
  <autoFilter ref="M214:M215" xr:uid="{785FBADB-45D0-45ED-AB39-7FD7D7678CF9}"/>
  <tableColumns count="1">
    <tableColumn id="1" xr3:uid="{7E078778-71EC-4DFF-A03C-0B111D381C93}" name="Preparacion" dataDxfId="302"/>
  </tableColumns>
  <tableStyleInfo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5" xr:uid="{40122638-A975-4BB8-AF1C-C818838967AF}" name="Tabla461487182381792798826" displayName="Tabla461487182381792798826" ref="M218:M219" insertRow="1" totalsRowShown="0" headerRowDxfId="298" dataDxfId="297" tableBorderDxfId="3196">
  <autoFilter ref="M218:M219" xr:uid="{40122638-A975-4BB8-AF1C-C818838967AF}"/>
  <tableColumns count="1">
    <tableColumn id="1" xr3:uid="{256C3CAC-DE08-4C16-A498-4626A9315F5C}" name="Emplatado" dataDxfId="299"/>
  </tableColumns>
  <tableStyleInfo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6" xr:uid="{648D769B-D5A3-4CC6-BFDF-EAE294666639}" name="Tabla461487182791797827" displayName="Tabla461487182791797827" ref="M222:M223" insertRow="1" totalsRowShown="0" headerRowDxfId="295" dataDxfId="294" tableBorderDxfId="3195">
  <autoFilter ref="M222:M223" xr:uid="{648D769B-D5A3-4CC6-BFDF-EAE294666639}"/>
  <tableColumns count="1">
    <tableColumn id="1" xr3:uid="{75C5540F-2BB2-48DF-9812-5FA25EC83796}" name="Preparacion" dataDxfId="296"/>
  </tableColumns>
  <tableStyleInfo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7" xr:uid="{37C48543-B5CA-4821-9F21-ECE87D397D89}" name="Tabla461487182381792798828" displayName="Tabla461487182381792798828" ref="M226:M227" insertRow="1" totalsRowShown="0" headerRowDxfId="292" dataDxfId="291" tableBorderDxfId="3194">
  <autoFilter ref="M226:M227" xr:uid="{37C48543-B5CA-4821-9F21-ECE87D397D89}"/>
  <tableColumns count="1">
    <tableColumn id="1" xr3:uid="{738540B8-20BD-4E3B-A5F3-AA1B5FA550A3}" name="Emplatado" dataDxfId="293"/>
  </tableColumns>
  <tableStyleInfo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8" xr:uid="{F2F687E7-F972-4796-9B88-EE4849844440}" name="Tabla461487182791797829" displayName="Tabla461487182791797829" ref="M234:M235" insertRow="1" totalsRowShown="0" headerRowDxfId="289" dataDxfId="288" tableBorderDxfId="3193">
  <autoFilter ref="M234:M235" xr:uid="{F2F687E7-F972-4796-9B88-EE4849844440}"/>
  <tableColumns count="1">
    <tableColumn id="1" xr3:uid="{236F9746-9C64-4923-B599-664AE668828C}" name="Preparacion" dataDxfId="290"/>
  </tableColumns>
  <tableStyleInfo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9" xr:uid="{ACEBC246-F16D-4E97-B127-02CCE76DD67B}" name="Tabla461487182381792798830" displayName="Tabla461487182381792798830" ref="M238:M239" insertRow="1" totalsRowShown="0" headerRowDxfId="286" dataDxfId="285" tableBorderDxfId="3192">
  <autoFilter ref="M238:M239" xr:uid="{ACEBC246-F16D-4E97-B127-02CCE76DD67B}"/>
  <tableColumns count="1">
    <tableColumn id="1" xr3:uid="{425E3CF1-94B3-4A98-8FE0-3094648E8386}" name="Emplatado" dataDxfId="287"/>
  </tableColumns>
  <tableStyleInfo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0" xr:uid="{5298654E-0A38-4A95-BEFD-5E50A9BF172E}" name="Tabla461487182791797829831" displayName="Tabla461487182791797829831" ref="M246:M247" insertRow="1" totalsRowShown="0" headerRowDxfId="283" dataDxfId="282" tableBorderDxfId="3191">
  <autoFilter ref="M246:M247" xr:uid="{5298654E-0A38-4A95-BEFD-5E50A9BF172E}"/>
  <tableColumns count="1">
    <tableColumn id="1" xr3:uid="{FD0AE3C6-6794-4A63-8483-ADFFC52F9EEC}" name="Preparacion" dataDxfId="284"/>
  </tableColumns>
  <tableStyleInfo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1" xr:uid="{F3536783-2712-4877-A6DF-5BAF22A08E39}" name="Tabla461487182381792798830832" displayName="Tabla461487182381792798830832" ref="M250:M251" insertRow="1" totalsRowShown="0" headerRowDxfId="280" dataDxfId="279" tableBorderDxfId="3190">
  <autoFilter ref="M250:M251" xr:uid="{F3536783-2712-4877-A6DF-5BAF22A08E39}"/>
  <tableColumns count="1">
    <tableColumn id="1" xr3:uid="{6F05671E-CAE4-4839-A753-1ECB42E21444}" name="Emplatado" dataDxfId="281"/>
  </tableColumns>
  <tableStyleInfo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2" xr:uid="{44EF7765-A702-46B2-A618-DAC741DBA3C3}" name="Tabla461487182791797829833" displayName="Tabla461487182791797829833" ref="M258:M259" insertRow="1" totalsRowShown="0" headerRowDxfId="277" dataDxfId="276" tableBorderDxfId="3189">
  <autoFilter ref="M258:M259" xr:uid="{44EF7765-A702-46B2-A618-DAC741DBA3C3}"/>
  <tableColumns count="1">
    <tableColumn id="1" xr3:uid="{D5908A72-2DA2-4ABE-BD9D-26717918DCDE}" name="Preparacion" dataDxfId="278"/>
  </tableColumns>
  <tableStyleInfo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3" xr:uid="{1DBF4B79-0166-4440-883D-08021A6A788E}" name="Tabla461487182381792798830834" displayName="Tabla461487182381792798830834" ref="M262:M263" insertRow="1" totalsRowShown="0" headerRowDxfId="274" dataDxfId="273" tableBorderDxfId="3188">
  <autoFilter ref="M262:M263" xr:uid="{1DBF4B79-0166-4440-883D-08021A6A788E}"/>
  <tableColumns count="1">
    <tableColumn id="1" xr3:uid="{FE53B401-22C0-4E55-BED6-7F87D43BC31B}" name="Emplatado" dataDxfId="275"/>
  </tableColumns>
  <tableStyleInfo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4" xr:uid="{809D60BF-D7DC-481D-898D-A743B61943BE}" name="Tabla461487182791797829835" displayName="Tabla461487182791797829835" ref="M270:M271" insertRow="1" totalsRowShown="0" headerRowDxfId="271" dataDxfId="270" tableBorderDxfId="3187">
  <autoFilter ref="M270:M271" xr:uid="{809D60BF-D7DC-481D-898D-A743B61943BE}"/>
  <tableColumns count="1">
    <tableColumn id="1" xr3:uid="{FF93D13D-8A7E-41A2-BD41-FF3F27BAEACA}" name="Preparacion" dataDxfId="272"/>
  </tableColumns>
  <tableStyleInfo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5" xr:uid="{9DC38608-F4F9-4066-ABBF-AAF53CF740CF}" name="Tabla461487182381792798830836" displayName="Tabla461487182381792798830836" ref="M274:M275" insertRow="1" totalsRowShown="0" headerRowDxfId="268" dataDxfId="267" tableBorderDxfId="3186">
  <autoFilter ref="M274:M275" xr:uid="{9DC38608-F4F9-4066-ABBF-AAF53CF740CF}"/>
  <tableColumns count="1">
    <tableColumn id="1" xr3:uid="{0B522657-57F1-4DD3-9C68-70F46BF109A5}" name="Emplatado" dataDxfId="269"/>
  </tableColumns>
  <tableStyleInfo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6" xr:uid="{204D8693-36BE-4DC9-85ED-1861CB6E8126}" name="Tabla461487182791797829837" displayName="Tabla461487182791797829837" ref="M286:M287" insertRow="1" totalsRowShown="0" headerRowDxfId="265" dataDxfId="264" tableBorderDxfId="3185">
  <autoFilter ref="M286:M287" xr:uid="{204D8693-36BE-4DC9-85ED-1861CB6E8126}"/>
  <tableColumns count="1">
    <tableColumn id="1" xr3:uid="{DCB43779-1A4E-4E07-B294-1B271C7B2457}" name="Preparacion" dataDxfId="266"/>
  </tableColumns>
  <tableStyleInfo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7" xr:uid="{D385EB33-0AE1-4386-9C8B-4331330B64D7}" name="Tabla461487182381792798830838" displayName="Tabla461487182381792798830838" ref="M290:M291" insertRow="1" totalsRowShown="0" headerRowDxfId="262" dataDxfId="261" tableBorderDxfId="3184">
  <autoFilter ref="M290:M291" xr:uid="{D385EB33-0AE1-4386-9C8B-4331330B64D7}"/>
  <tableColumns count="1">
    <tableColumn id="1" xr3:uid="{FA75572F-8AF5-48B0-B611-397CB3AEDF21}" name="Emplatado" dataDxfId="263"/>
  </tableColumns>
  <tableStyleInfo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0" xr:uid="{6EC9412F-7BF7-4236-B29B-772A301D73E5}" name="Tabla461487182791797829841" displayName="Tabla461487182791797829841" ref="M294:M295" insertRow="1" totalsRowShown="0" headerRowDxfId="259" dataDxfId="258" tableBorderDxfId="3183">
  <autoFilter ref="M294:M295" xr:uid="{6EC9412F-7BF7-4236-B29B-772A301D73E5}"/>
  <tableColumns count="1">
    <tableColumn id="1" xr3:uid="{52A7647B-311D-4932-B3CE-382E5AAD1DFC}" name="Preparacion" dataDxfId="260"/>
  </tableColumns>
  <tableStyleInfo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1" xr:uid="{B10BDFDF-90F1-435B-AD93-8B53BB6A2FD6}" name="Tabla461487182381792798830842" displayName="Tabla461487182381792798830842" ref="M298:M299" insertRow="1" totalsRowShown="0" headerRowDxfId="256" dataDxfId="255" tableBorderDxfId="3182">
  <autoFilter ref="M298:M299" xr:uid="{B10BDFDF-90F1-435B-AD93-8B53BB6A2FD6}"/>
  <tableColumns count="1">
    <tableColumn id="1" xr3:uid="{ECA64E04-9F4C-43A2-BD0D-06C4565E554F}" name="Emplatado" dataDxfId="257"/>
  </tableColumns>
  <tableStyleInfo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2" xr:uid="{D3179515-6A72-4EA8-8572-320738EB135F}" name="Tabla461487182791797829843" displayName="Tabla461487182791797829843" ref="M302:M303" insertRow="1" totalsRowShown="0" headerRowDxfId="253" dataDxfId="252" tableBorderDxfId="3181">
  <autoFilter ref="M302:M303" xr:uid="{D3179515-6A72-4EA8-8572-320738EB135F}"/>
  <tableColumns count="1">
    <tableColumn id="1" xr3:uid="{2B5AFA59-792E-425C-B199-D1788612BEFE}" name="Preparacion" dataDxfId="254"/>
  </tableColumns>
  <tableStyleInfo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3" xr:uid="{C579EFCA-9820-4BF7-9130-3EDF6C8481CA}" name="Tabla461487182381792798830844" displayName="Tabla461487182381792798830844" ref="M306:M307" insertRow="1" totalsRowShown="0" headerRowDxfId="250" dataDxfId="249" tableBorderDxfId="3180">
  <autoFilter ref="M306:M307" xr:uid="{C579EFCA-9820-4BF7-9130-3EDF6C8481CA}"/>
  <tableColumns count="1">
    <tableColumn id="1" xr3:uid="{815DE3BE-22DF-47CB-A4B9-566A8BAC6125}" name="Emplatado" dataDxfId="251"/>
  </tableColumns>
  <tableStyleInfo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4" xr:uid="{2FE044DF-5A98-45C9-BFDC-C7C0701140E8}" name="Tabla461487182791797829845" displayName="Tabla461487182791797829845" ref="M311:M312" insertRow="1" totalsRowShown="0" headerRowDxfId="247" dataDxfId="246" tableBorderDxfId="3179">
  <autoFilter ref="M311:M312" xr:uid="{2FE044DF-5A98-45C9-BFDC-C7C0701140E8}"/>
  <tableColumns count="1">
    <tableColumn id="1" xr3:uid="{E5608515-4F39-48C0-B518-38ED760C4247}" name="Preparacion" dataDxfId="248"/>
  </tableColumns>
  <tableStyleInfo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5" xr:uid="{0D641A6F-F4E8-45B3-A58D-BF6A91772E88}" name="Tabla461487182381792798830846" displayName="Tabla461487182381792798830846" ref="M315:M316" insertRow="1" totalsRowShown="0" headerRowDxfId="244" dataDxfId="243" tableBorderDxfId="3178">
  <autoFilter ref="M315:M316" xr:uid="{0D641A6F-F4E8-45B3-A58D-BF6A91772E88}"/>
  <tableColumns count="1">
    <tableColumn id="1" xr3:uid="{F6E68629-177A-4F2E-883A-974B302006BE}" name="Emplatado" dataDxfId="245"/>
  </tableColumns>
  <tableStyleInfo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6" xr:uid="{E7BFB623-A26C-4B49-96A3-9627293C9F87}" name="Tabla461487182791797829847" displayName="Tabla461487182791797829847" ref="M326:M327" insertRow="1" totalsRowShown="0" headerRowDxfId="241" dataDxfId="240" tableBorderDxfId="3177">
  <autoFilter ref="M326:M327" xr:uid="{E7BFB623-A26C-4B49-96A3-9627293C9F87}"/>
  <tableColumns count="1">
    <tableColumn id="1" xr3:uid="{483CE90B-C232-4569-A333-C26D7EF60EA8}" name="Preparacion" dataDxfId="242"/>
  </tableColumns>
  <tableStyleInfo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7" xr:uid="{4447D05F-C5E7-4C01-8694-A9CE9AE1D4BE}" name="Tabla461487182381792798830848" displayName="Tabla461487182381792798830848" ref="M330:M331" insertRow="1" totalsRowShown="0" headerRowDxfId="238" dataDxfId="237" tableBorderDxfId="3176">
  <autoFilter ref="M330:M331" xr:uid="{4447D05F-C5E7-4C01-8694-A9CE9AE1D4BE}"/>
  <tableColumns count="1">
    <tableColumn id="1" xr3:uid="{5B83A00A-F77D-4E01-92AD-A9BF2A6E1DD9}" name="Emplatado" dataDxfId="239"/>
  </tableColumns>
  <tableStyleInfo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8" xr:uid="{B51E3933-0B7B-4DC8-995C-1AA07D8ED9F1}" name="Tabla461487182791797829849" displayName="Tabla461487182791797829849" ref="M339:M340" insertRow="1" totalsRowShown="0" headerRowDxfId="235" dataDxfId="234" tableBorderDxfId="3175">
  <autoFilter ref="M339:M340" xr:uid="{B51E3933-0B7B-4DC8-995C-1AA07D8ED9F1}"/>
  <tableColumns count="1">
    <tableColumn id="1" xr3:uid="{4ED3ED04-887F-45B4-9149-3E9BA45C77AE}" name="Preparacion" dataDxfId="236"/>
  </tableColumns>
  <tableStyleInfo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9" xr:uid="{FBC31643-33CA-49FC-9306-4BCDDBBCE8A9}" name="Tabla461487182381792798830850" displayName="Tabla461487182381792798830850" ref="M343:M344" insertRow="1" totalsRowShown="0" headerRowDxfId="232" dataDxfId="231" tableBorderDxfId="3174">
  <autoFilter ref="M343:M344" xr:uid="{FBC31643-33CA-49FC-9306-4BCDDBBCE8A9}"/>
  <tableColumns count="1">
    <tableColumn id="1" xr3:uid="{9C44062B-265B-4114-85B5-BDAB8AEC2862}" name="Emplatado" dataDxfId="233"/>
  </tableColumns>
  <tableStyleInfo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0" xr:uid="{D7FFE216-AD5A-4D8B-BC55-F5463C451A62}" name="Tabla461487182791797829851" displayName="Tabla461487182791797829851" ref="M347:M348" insertRow="1" totalsRowShown="0" headerRowDxfId="229" dataDxfId="228" tableBorderDxfId="3173">
  <autoFilter ref="M347:M348" xr:uid="{D7FFE216-AD5A-4D8B-BC55-F5463C451A62}"/>
  <tableColumns count="1">
    <tableColumn id="1" xr3:uid="{EC279B05-205D-493B-8B27-1FFF70B076BD}" name="Preparacion" dataDxfId="230"/>
  </tableColumns>
  <tableStyleInfo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1" xr:uid="{C5ED84B2-7A57-4004-B45F-02006FBE6289}" name="Tabla461487182381792798830852" displayName="Tabla461487182381792798830852" ref="M351:M352" insertRow="1" totalsRowShown="0" headerRowDxfId="226" dataDxfId="225" tableBorderDxfId="3172">
  <autoFilter ref="M351:M352" xr:uid="{C5ED84B2-7A57-4004-B45F-02006FBE6289}"/>
  <tableColumns count="1">
    <tableColumn id="1" xr3:uid="{76B91B68-23AC-4EBD-A39E-0A305A23CFD0}" name="Emplatado" dataDxfId="227"/>
  </tableColumns>
  <tableStyleInfo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2" xr:uid="{39A0337E-FC39-4A8D-942E-5652E70C1249}" name="Tabla461487182791797829853" displayName="Tabla461487182791797829853" ref="M358:M359" insertRow="1" totalsRowShown="0" headerRowDxfId="223" dataDxfId="222" tableBorderDxfId="3171">
  <autoFilter ref="M358:M359" xr:uid="{39A0337E-FC39-4A8D-942E-5652E70C1249}"/>
  <tableColumns count="1">
    <tableColumn id="1" xr3:uid="{DFE86CA0-1CAF-4A07-85DD-E088B7A6BF3A}" name="Preparacion" dataDxfId="224"/>
  </tableColumns>
  <tableStyleInfo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3" xr:uid="{47B045B6-FFC1-4CA5-A7E1-C8A89749FF12}" name="Tabla461487182381792798830854" displayName="Tabla461487182381792798830854" ref="M362:M363" insertRow="1" totalsRowShown="0" headerRowDxfId="220" dataDxfId="219" tableBorderDxfId="3170">
  <autoFilter ref="M362:M363" xr:uid="{47B045B6-FFC1-4CA5-A7E1-C8A89749FF12}"/>
  <tableColumns count="1">
    <tableColumn id="1" xr3:uid="{9D9FA3B7-1DC9-4167-AB63-60FC0A62D217}" name="Emplatado" dataDxfId="221"/>
  </tableColumns>
  <tableStyleInfo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4" xr:uid="{85B702D4-98A3-4D10-BD73-CA661208AC4B}" name="Tabla461487182791797829855" displayName="Tabla461487182791797829855" ref="M373:M374" insertRow="1" totalsRowShown="0" headerRowDxfId="217" dataDxfId="216" tableBorderDxfId="3169">
  <autoFilter ref="M373:M374" xr:uid="{85B702D4-98A3-4D10-BD73-CA661208AC4B}"/>
  <tableColumns count="1">
    <tableColumn id="1" xr3:uid="{56A5751B-FB91-4A86-8181-06ECAF4ADAFA}" name="Preparacion" dataDxfId="218"/>
  </tableColumns>
  <tableStyleInfo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5" xr:uid="{315B1476-D261-4F67-A17B-6F76486E9BC5}" name="Tabla461487182381792798830856" displayName="Tabla461487182381792798830856" ref="M377:M378" insertRow="1" totalsRowShown="0" headerRowDxfId="214" dataDxfId="213" tableBorderDxfId="3168">
  <autoFilter ref="M377:M378" xr:uid="{315B1476-D261-4F67-A17B-6F76486E9BC5}"/>
  <tableColumns count="1">
    <tableColumn id="1" xr3:uid="{50DFF7AD-C8B5-479A-B92B-69C10C505DC6}" name="Emplatado" dataDxfId="215"/>
  </tableColumns>
  <tableStyleInfo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6" xr:uid="{77F40CFD-C112-4EAD-A923-D6FAE8C5E3B7}" name="Tabla461487182791797829857" displayName="Tabla461487182791797829857" ref="M380:M383" totalsRowShown="0" headerRowDxfId="211" dataDxfId="210" tableBorderDxfId="3167">
  <autoFilter ref="M380:M383" xr:uid="{77F40CFD-C112-4EAD-A923-D6FAE8C5E3B7}"/>
  <tableColumns count="1">
    <tableColumn id="1" xr3:uid="{3369D31B-1CF2-4D2F-9845-9C689C407308}" name="Preparacion" dataDxfId="212"/>
  </tableColumns>
  <tableStyleInfo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7" xr:uid="{BB3ABACC-7CA7-4498-954C-74454ED2F728}" name="Tabla461487182381792798830858" displayName="Tabla461487182381792798830858" ref="M385:M386" insertRow="1" totalsRowShown="0" headerRowDxfId="208" dataDxfId="207" tableBorderDxfId="3166">
  <autoFilter ref="M385:M386" xr:uid="{BB3ABACC-7CA7-4498-954C-74454ED2F728}"/>
  <tableColumns count="1">
    <tableColumn id="1" xr3:uid="{8FD5952F-7EC8-4F8D-A87F-2C75C3C35D18}" name="Emplatado" dataDxfId="209"/>
  </tableColumns>
  <tableStyleInfo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8" xr:uid="{98657536-3D86-4489-B0D4-89A5C8B675F0}" name="Tabla461487182791797829859" displayName="Tabla461487182791797829859" ref="M390:M391" insertRow="1" totalsRowShown="0" headerRowDxfId="205" dataDxfId="204" tableBorderDxfId="3165">
  <autoFilter ref="M390:M391" xr:uid="{98657536-3D86-4489-B0D4-89A5C8B675F0}"/>
  <tableColumns count="1">
    <tableColumn id="1" xr3:uid="{E7D5D971-A1A3-4D20-8549-ADF8CDE0DB7D}" name="Preparacion" dataDxfId="206"/>
  </tableColumns>
  <tableStyleInfo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9" xr:uid="{FFD39401-885D-4991-9345-924450832BEE}" name="Tabla461487182381792798830860" displayName="Tabla461487182381792798830860" ref="M394:M395" insertRow="1" totalsRowShown="0" headerRowDxfId="202" dataDxfId="201" tableBorderDxfId="3164">
  <autoFilter ref="M394:M395" xr:uid="{FFD39401-885D-4991-9345-924450832BEE}"/>
  <tableColumns count="1">
    <tableColumn id="1" xr3:uid="{2D88BC9E-800C-4DA4-AD8D-664DD82B4116}" name="Emplatado" dataDxfId="203"/>
  </tableColumns>
  <tableStyleInfo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0" xr:uid="{2B228B34-CA2B-482F-8F65-1AA1B6A9A036}" name="Tabla461487182791797829861" displayName="Tabla461487182791797829861" ref="M399:M401" totalsRowShown="0" headerRowDxfId="199" dataDxfId="198" tableBorderDxfId="3163">
  <autoFilter ref="M399:M401" xr:uid="{2B228B34-CA2B-482F-8F65-1AA1B6A9A036}"/>
  <tableColumns count="1">
    <tableColumn id="1" xr3:uid="{5FA68825-DCD7-4ABC-8986-52F2837AB5E0}" name="Preparacion" dataDxfId="200"/>
  </tableColumns>
  <tableStyleInfo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1" xr:uid="{8A2680E6-9850-4805-983F-AF7C19119D0C}" name="Tabla461487182381792798830862" displayName="Tabla461487182381792798830862" ref="M403:M404" insertRow="1" totalsRowShown="0" headerRowDxfId="196" dataDxfId="195" tableBorderDxfId="3162">
  <autoFilter ref="M403:M404" xr:uid="{8A2680E6-9850-4805-983F-AF7C19119D0C}"/>
  <tableColumns count="1">
    <tableColumn id="1" xr3:uid="{60C7B0CA-45A7-4583-A55D-0559CA96A49D}" name="Emplatado" dataDxfId="197"/>
  </tableColumns>
  <tableStyleInfo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2" xr:uid="{CA5830AE-C206-4BFB-9445-2B57C7E819D0}" name="Tabla461487182791797829861863" displayName="Tabla461487182791797829861863" ref="M415:M416" insertRow="1" totalsRowShown="0" headerRowDxfId="193" dataDxfId="192" tableBorderDxfId="3161">
  <autoFilter ref="M415:M416" xr:uid="{CA5830AE-C206-4BFB-9445-2B57C7E819D0}"/>
  <tableColumns count="1">
    <tableColumn id="1" xr3:uid="{E1E3DE1C-674A-4218-8882-C331301E7B80}" name="Preparacion" dataDxfId="194"/>
  </tableColumns>
  <tableStyleInfo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3" xr:uid="{4F5C33E1-2C59-425E-A0EB-41E057245CA3}" name="Tabla461487182381792798830862864" displayName="Tabla461487182381792798830862864" ref="M419:M420" insertRow="1" totalsRowShown="0" headerRowDxfId="190" dataDxfId="189" tableBorderDxfId="3160">
  <autoFilter ref="M419:M420" xr:uid="{4F5C33E1-2C59-425E-A0EB-41E057245CA3}"/>
  <tableColumns count="1">
    <tableColumn id="1" xr3:uid="{7715800C-8E70-4D53-A638-0278087801A9}" name="Emplatado" dataDxfId="191"/>
  </tableColumns>
  <tableStyleInfo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4" xr:uid="{21C8D215-E89A-467E-9425-DFCA70225845}" name="Tabla461487182791797829861865" displayName="Tabla461487182791797829861865" ref="M432:M433" insertRow="1" totalsRowShown="0" headerRowDxfId="187" dataDxfId="186" tableBorderDxfId="3159">
  <autoFilter ref="M432:M433" xr:uid="{21C8D215-E89A-467E-9425-DFCA70225845}"/>
  <tableColumns count="1">
    <tableColumn id="1" xr3:uid="{90501710-EFC8-4A90-97C5-BA7D1F92B7FB}" name="Preparacion" dataDxfId="188"/>
  </tableColumns>
  <tableStyleInfo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5" xr:uid="{EF07A58C-73A6-4DD5-9B40-A92F7E69A9AA}" name="Tabla461487182381792798830862866" displayName="Tabla461487182381792798830862866" ref="M436:M437" insertRow="1" totalsRowShown="0" headerRowDxfId="184" dataDxfId="183" tableBorderDxfId="3158">
  <autoFilter ref="M436:M437" xr:uid="{EF07A58C-73A6-4DD5-9B40-A92F7E69A9AA}"/>
  <tableColumns count="1">
    <tableColumn id="1" xr3:uid="{9ABC4051-0B4D-46CB-BA8C-942B93D0F6A7}" name="Emplatado" dataDxfId="185"/>
  </tableColumns>
  <tableStyleInfo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6" xr:uid="{7F7D84A1-8016-45F5-B175-F54236D37C2D}" name="Tabla461487182791797829861867" displayName="Tabla461487182791797829861867" ref="M443:M444" insertRow="1" totalsRowShown="0" headerRowDxfId="181" dataDxfId="180" tableBorderDxfId="3157">
  <autoFilter ref="M443:M444" xr:uid="{7F7D84A1-8016-45F5-B175-F54236D37C2D}"/>
  <tableColumns count="1">
    <tableColumn id="1" xr3:uid="{8355AFC0-32B7-4B1B-8514-57332C48522E}" name="Preparacion" dataDxfId="182"/>
  </tableColumns>
  <tableStyleInfo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7" xr:uid="{4BD839CF-5368-448F-BB51-8DB4BC7304EC}" name="Tabla461487182381792798830862868" displayName="Tabla461487182381792798830862868" ref="M447:M448" insertRow="1" totalsRowShown="0" headerRowDxfId="178" dataDxfId="177" tableBorderDxfId="3156">
  <autoFilter ref="M447:M448" xr:uid="{4BD839CF-5368-448F-BB51-8DB4BC7304EC}"/>
  <tableColumns count="1">
    <tableColumn id="1" xr3:uid="{7C7CC188-B794-4BB4-934C-832561D91FEA}" name="Emplatado" dataDxfId="179"/>
  </tableColumns>
  <tableStyleInfo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8" xr:uid="{9CF97298-8A9E-4C3F-9899-64FB89EFA84F}" name="Tabla461487182791797829861869" displayName="Tabla461487182791797829861869" ref="M456:M457" insertRow="1" totalsRowShown="0" headerRowDxfId="175" dataDxfId="174" tableBorderDxfId="3155">
  <autoFilter ref="M456:M457" xr:uid="{9CF97298-8A9E-4C3F-9899-64FB89EFA84F}"/>
  <tableColumns count="1">
    <tableColumn id="1" xr3:uid="{04191B0E-0EAE-4ECA-997A-738AAA7F8FA2}" name="Preparacion" dataDxfId="176"/>
  </tableColumns>
  <tableStyleInfo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9" xr:uid="{581C4564-B3E3-4EE1-91C4-16644F74208D}" name="Tabla461487182381792798830862870" displayName="Tabla461487182381792798830862870" ref="M460:M461" insertRow="1" totalsRowShown="0" headerRowDxfId="172" dataDxfId="171" tableBorderDxfId="3154">
  <autoFilter ref="M460:M461" xr:uid="{581C4564-B3E3-4EE1-91C4-16644F74208D}"/>
  <tableColumns count="1">
    <tableColumn id="1" xr3:uid="{A6F6B8B6-CD0B-41E7-B345-5BCF177DD370}" name="Emplatado" dataDxfId="173"/>
  </tableColumns>
  <tableStyleInfo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0" xr:uid="{111A973E-C6FD-435A-AF7C-D72E20E42C0C}" name="Tabla461487182791797829861871" displayName="Tabla461487182791797829861871" ref="M467:M468" insertRow="1" totalsRowShown="0" headerRowDxfId="169" dataDxfId="168" tableBorderDxfId="3153">
  <autoFilter ref="M467:M468" xr:uid="{111A973E-C6FD-435A-AF7C-D72E20E42C0C}"/>
  <tableColumns count="1">
    <tableColumn id="1" xr3:uid="{426CCD52-3B6B-41EE-AD29-A82ACE82E7CD}" name="Preparacion" dataDxfId="170"/>
  </tableColumns>
  <tableStyleInfo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1" xr:uid="{1755A035-56B4-4DC3-AE7D-F9C8E5DB24D2}" name="Tabla461487182381792798830862872" displayName="Tabla461487182381792798830862872" ref="M471:M472" insertRow="1" totalsRowShown="0" headerRowDxfId="166" dataDxfId="165" tableBorderDxfId="3152">
  <autoFilter ref="M471:M472" xr:uid="{1755A035-56B4-4DC3-AE7D-F9C8E5DB24D2}"/>
  <tableColumns count="1">
    <tableColumn id="1" xr3:uid="{CD3B6003-58F9-495B-AA47-0B5F0D372C0F}" name="Emplatado" dataDxfId="167"/>
  </tableColumns>
  <tableStyleInfo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2" xr:uid="{80E06E06-38E0-454F-8DCE-27089044AE1E}" name="Tabla461487182791797829861873" displayName="Tabla461487182791797829861873" ref="M483:M484" insertRow="1" totalsRowShown="0" headerRowDxfId="163" dataDxfId="162" tableBorderDxfId="3151">
  <autoFilter ref="M483:M484" xr:uid="{80E06E06-38E0-454F-8DCE-27089044AE1E}"/>
  <tableColumns count="1">
    <tableColumn id="1" xr3:uid="{15E54953-E36E-4E5A-AA34-28220EEE716C}" name="Preparacion" dataDxfId="164"/>
  </tableColumns>
  <tableStyleInfo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3" xr:uid="{51A425D7-C1BF-4DB1-9F93-80CEFE70D92C}" name="Tabla461487182381792798830862874" displayName="Tabla461487182381792798830862874" ref="M487:M488" insertRow="1" totalsRowShown="0" headerRowDxfId="160" dataDxfId="159" tableBorderDxfId="3150">
  <autoFilter ref="M487:M488" xr:uid="{51A425D7-C1BF-4DB1-9F93-80CEFE70D92C}"/>
  <tableColumns count="1">
    <tableColumn id="1" xr3:uid="{A48E4568-B11B-4E66-B694-BCA51EFB2DF9}" name="Emplatado" dataDxfId="161"/>
  </tableColumns>
  <tableStyleInfo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4" xr:uid="{4175DEAF-6836-492D-8930-1E84334DCE6B}" name="Tabla461487182791797829861875" displayName="Tabla461487182791797829861875" ref="M494:M495" insertRow="1" totalsRowShown="0" headerRowDxfId="157" dataDxfId="156" tableBorderDxfId="3149">
  <autoFilter ref="M494:M495" xr:uid="{4175DEAF-6836-492D-8930-1E84334DCE6B}"/>
  <tableColumns count="1">
    <tableColumn id="1" xr3:uid="{7CCA8865-C380-4822-8DF8-1FE2AEE429AE}" name="Preparacion" dataDxfId="158"/>
  </tableColumns>
  <tableStyleInfo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5" xr:uid="{2A5B3E5B-479E-477C-8064-443DF82FA547}" name="Tabla461487182381792798830862876" displayName="Tabla461487182381792798830862876" ref="M498:M499" insertRow="1" totalsRowShown="0" headerRowDxfId="154" dataDxfId="153" tableBorderDxfId="3148">
  <autoFilter ref="M498:M499" xr:uid="{2A5B3E5B-479E-477C-8064-443DF82FA547}"/>
  <tableColumns count="1">
    <tableColumn id="1" xr3:uid="{F70CE239-4388-4A36-84B6-3003EEBEAA52}" name="Emplatado" dataDxfId="155"/>
  </tableColumns>
  <tableStyleInfo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6" xr:uid="{6D82B827-6DC7-4ADF-9170-CA8479400DF2}" name="Tabla461487182791797829861877" displayName="Tabla461487182791797829861877" ref="M501:M502" insertRow="1" totalsRowShown="0" headerRowDxfId="151" dataDxfId="150" tableBorderDxfId="3147">
  <autoFilter ref="M501:M502" xr:uid="{6D82B827-6DC7-4ADF-9170-CA8479400DF2}"/>
  <tableColumns count="1">
    <tableColumn id="1" xr3:uid="{66C1CEB2-5BE2-4D5A-8D74-51A6225F2CD0}" name="Preparacion" dataDxfId="152"/>
  </tableColumns>
  <tableStyleInfo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7" xr:uid="{6830AA09-2799-46BB-A232-0CE9D9AF981A}" name="Tabla461487182381792798830862878" displayName="Tabla461487182381792798830862878" ref="M505:M506" insertRow="1" totalsRowShown="0" headerRowDxfId="148" dataDxfId="147" tableBorderDxfId="3146">
  <autoFilter ref="M505:M506" xr:uid="{6830AA09-2799-46BB-A232-0CE9D9AF981A}"/>
  <tableColumns count="1">
    <tableColumn id="1" xr3:uid="{505ED67D-899E-43E5-AA20-47D1144CC5DE}" name="Emplatado" dataDxfId="149"/>
  </tableColumns>
  <tableStyleInfo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8" xr:uid="{DACF9740-5448-4B2E-A116-F24158708A91}" name="Tabla461487182791797829861879" displayName="Tabla461487182791797829861879" ref="M508:M509" insertRow="1" totalsRowShown="0" headerRowDxfId="145" dataDxfId="144" tableBorderDxfId="3145">
  <autoFilter ref="M508:M509" xr:uid="{DACF9740-5448-4B2E-A116-F24158708A91}"/>
  <tableColumns count="1">
    <tableColumn id="1" xr3:uid="{F34C52EA-0154-4EAE-9B79-37DF23CD71E5}" name="Preparacion" dataDxfId="146"/>
  </tableColumns>
  <tableStyleInfo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9" xr:uid="{E70A35A0-AAF2-4662-9819-52557AC22A61}" name="Tabla461487182381792798830862880" displayName="Tabla461487182381792798830862880" ref="M512:M513" insertRow="1" totalsRowShown="0" headerRowDxfId="142" dataDxfId="141" tableBorderDxfId="3144">
  <autoFilter ref="M512:M513" xr:uid="{E70A35A0-AAF2-4662-9819-52557AC22A61}"/>
  <tableColumns count="1">
    <tableColumn id="1" xr3:uid="{C6B523CF-BF92-46FA-8CFD-392165617C35}" name="Emplatado" dataDxfId="143"/>
  </tableColumns>
  <tableStyleInfo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0" xr:uid="{B96649A2-5D89-4D19-B198-98013707E687}" name="Tabla461487182791797829861881" displayName="Tabla461487182791797829861881" ref="M517:M518" insertRow="1" totalsRowShown="0" headerRowDxfId="139" dataDxfId="138" tableBorderDxfId="3143">
  <autoFilter ref="M517:M518" xr:uid="{B96649A2-5D89-4D19-B198-98013707E687}"/>
  <tableColumns count="1">
    <tableColumn id="1" xr3:uid="{1A5D9B6C-3CFF-4BDB-A69A-E6A5BF6A651E}" name="Preparacion" dataDxfId="140"/>
  </tableColumns>
  <tableStyleInfo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1" xr:uid="{2023FBD5-347D-4A39-A0F4-7A4FBD947D80}" name="Tabla461487182381792798830862882" displayName="Tabla461487182381792798830862882" ref="M521:M522" insertRow="1" totalsRowShown="0" headerRowDxfId="136" dataDxfId="135" tableBorderDxfId="3142">
  <autoFilter ref="M521:M522" xr:uid="{2023FBD5-347D-4A39-A0F4-7A4FBD947D80}"/>
  <tableColumns count="1">
    <tableColumn id="1" xr3:uid="{6A276497-0E90-4588-8C73-C730F232D3DC}" name="Emplatado" dataDxfId="137"/>
  </tableColumns>
  <tableStyleInfo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2" xr:uid="{49D7A9B0-1D43-4854-96E8-D5F98B75D91F}" name="Tabla461487182791797829861883" displayName="Tabla461487182791797829861883" ref="M527:M528" insertRow="1" totalsRowShown="0" headerRowDxfId="133" dataDxfId="132" tableBorderDxfId="3141">
  <autoFilter ref="M527:M528" xr:uid="{49D7A9B0-1D43-4854-96E8-D5F98B75D91F}"/>
  <tableColumns count="1">
    <tableColumn id="1" xr3:uid="{DC525811-9DDD-4910-95E1-56D717CF7800}" name="Preparacion" dataDxfId="134"/>
  </tableColumns>
  <tableStyleInfo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4" xr:uid="{30952D23-066B-40CC-AB98-16D33F7CC33F}" name="Tabla461487182791797829861883885" displayName="Tabla461487182791797829861883885" ref="M537:M538" insertRow="1" totalsRowShown="0" headerRowDxfId="130" dataDxfId="129" tableBorderDxfId="3140">
  <autoFilter ref="M537:M538" xr:uid="{30952D23-066B-40CC-AB98-16D33F7CC33F}"/>
  <tableColumns count="1">
    <tableColumn id="1" xr3:uid="{1DC11D37-A879-47BA-966B-9279C5761E80}" name="Preparacion" dataDxfId="131"/>
  </tableColumns>
  <tableStyleInfo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5" xr:uid="{65B349F6-AE8F-4F21-9D2A-5A5BCE323687}" name="Tabla461487182791797829861883886" displayName="Tabla461487182791797829861883886" ref="M547:M548" insertRow="1" totalsRowShown="0" headerRowDxfId="127" dataDxfId="126" tableBorderDxfId="3139">
  <autoFilter ref="M547:M548" xr:uid="{65B349F6-AE8F-4F21-9D2A-5A5BCE323687}"/>
  <tableColumns count="1">
    <tableColumn id="1" xr3:uid="{0B74C80F-00CC-4C82-8304-DEF99C35D601}" name="Preparacion" dataDxfId="128"/>
  </tableColumns>
  <tableStyleInfo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6" xr:uid="{E2D31DD8-8E20-4D68-AE33-3338FB5C7B51}" name="Tabla461487182791797829861883887" displayName="Tabla461487182791797829861883887" ref="M555:M556" insertRow="1" totalsRowShown="0" headerRowDxfId="124" dataDxfId="123" tableBorderDxfId="3138">
  <autoFilter ref="M555:M556" xr:uid="{E2D31DD8-8E20-4D68-AE33-3338FB5C7B51}"/>
  <tableColumns count="1">
    <tableColumn id="1" xr3:uid="{D6CE1FD3-CADB-423B-A456-51244C050904}" name="Preparacion" dataDxfId="125"/>
  </tableColumns>
  <tableStyleInfo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7" xr:uid="{05AB9F4E-8344-444E-B929-DB4AE2E8A7F3}" name="Tabla461487182791797829861883888" displayName="Tabla461487182791797829861883888" ref="M565:M566" insertRow="1" totalsRowShown="0" headerRowDxfId="121" dataDxfId="120" tableBorderDxfId="3137">
  <autoFilter ref="M565:M566" xr:uid="{05AB9F4E-8344-444E-B929-DB4AE2E8A7F3}"/>
  <tableColumns count="1">
    <tableColumn id="1" xr3:uid="{C3A0CEFD-8A0E-4DEB-B703-33B8B8450128}" name="Preparacion" dataDxfId="122"/>
  </tableColumns>
  <tableStyleInfo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8" xr:uid="{2629C496-05FD-4BD7-9484-A4AE1CEE2EF8}" name="Tabla461487182791797829861883889" displayName="Tabla461487182791797829861883889" ref="M578:M579" insertRow="1" totalsRowShown="0" headerRowDxfId="118" dataDxfId="117" tableBorderDxfId="3136">
  <autoFilter ref="M578:M579" xr:uid="{2629C496-05FD-4BD7-9484-A4AE1CEE2EF8}"/>
  <tableColumns count="1">
    <tableColumn id="1" xr3:uid="{BA3C0D19-BFE3-4FCB-B71E-24B5CA8E041A}" name="Preparacion" dataDxfId="119"/>
  </tableColumns>
  <tableStyleInfo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9" xr:uid="{CE0AB7A6-76B3-4849-B74A-7664EB9F4FDF}" name="Tabla461487182791797829861883890" displayName="Tabla461487182791797829861883890" ref="M585:M586" insertRow="1" totalsRowShown="0" headerRowDxfId="115" dataDxfId="114" tableBorderDxfId="3135">
  <autoFilter ref="M585:M586" xr:uid="{CE0AB7A6-76B3-4849-B74A-7664EB9F4FDF}"/>
  <tableColumns count="1">
    <tableColumn id="1" xr3:uid="{3C68A307-CA75-4016-967A-2CF07114FC79}" name="Preparacion" dataDxfId="116"/>
  </tableColumns>
  <tableStyleInfo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0" xr:uid="{E950F7FD-507A-4420-8D42-492131E3928F}" name="Tabla461487182791797829861883891" displayName="Tabla461487182791797829861883891" ref="M594:M595" insertRow="1" totalsRowShown="0" headerRowDxfId="112" dataDxfId="111" tableBorderDxfId="3134">
  <autoFilter ref="M594:M595" xr:uid="{E950F7FD-507A-4420-8D42-492131E3928F}"/>
  <tableColumns count="1">
    <tableColumn id="1" xr3:uid="{5B2729EC-79A8-4D25-837B-4EB9E5D818CC}" name="Preparacion" dataDxfId="113"/>
  </tableColumns>
  <tableStyleInfo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1" xr:uid="{BA683A23-B52D-42F6-865F-A7398BA6E122}" name="Tabla461487182791797829861883892" displayName="Tabla461487182791797829861883892" ref="M606:M607" insertRow="1" totalsRowShown="0" headerRowDxfId="109" dataDxfId="108" tableBorderDxfId="3133">
  <autoFilter ref="M606:M607" xr:uid="{BA683A23-B52D-42F6-865F-A7398BA6E122}"/>
  <tableColumns count="1">
    <tableColumn id="1" xr3:uid="{7808490D-2113-4102-9174-FF7B15C00C2D}" name="Preparacion" dataDxfId="110"/>
  </tableColumns>
  <tableStyleInfo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3" xr:uid="{34D52A42-4CD9-4E62-A80B-FF2E9B16E3DE}" name="Tabla461487182791797829861883892894" displayName="Tabla461487182791797829861883892894" ref="M615:M616" insertRow="1" totalsRowShown="0" headerRowDxfId="106" dataDxfId="105" tableBorderDxfId="3132">
  <autoFilter ref="M615:M616" xr:uid="{34D52A42-4CD9-4E62-A80B-FF2E9B16E3DE}"/>
  <tableColumns count="1">
    <tableColumn id="1" xr3:uid="{FD9C51A5-7568-44F8-9F60-2067B5A1C59B}" name="Preparacion" dataDxfId="107"/>
  </tableColumns>
  <tableStyleInfo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4" xr:uid="{977ECAF6-9A0E-495A-8C69-11E439B9F77D}" name="Tabla461487182791797829861883892895" displayName="Tabla461487182791797829861883892895" ref="M622:M623" insertRow="1" totalsRowShown="0" headerRowDxfId="103" dataDxfId="102" tableBorderDxfId="3131">
  <autoFilter ref="M622:M623" xr:uid="{977ECAF6-9A0E-495A-8C69-11E439B9F77D}"/>
  <tableColumns count="1">
    <tableColumn id="1" xr3:uid="{A24ABCC9-6F4C-4C7E-83A4-929324155667}" name="Preparacion" dataDxfId="104"/>
  </tableColumns>
  <tableStyleInfo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5" xr:uid="{7F2AE59B-7F74-435C-BB17-1112262678D4}" name="Tabla461487182791797829861883892896" displayName="Tabla461487182791797829861883892896" ref="M630:M631" insertRow="1" totalsRowShown="0" headerRowDxfId="100" dataDxfId="99" tableBorderDxfId="3130">
  <autoFilter ref="M630:M631" xr:uid="{7F2AE59B-7F74-435C-BB17-1112262678D4}"/>
  <tableColumns count="1">
    <tableColumn id="1" xr3:uid="{18A6ECF9-FBCF-44CE-B34F-4C68B5BE3B24}" name="Preparacion" dataDxfId="101"/>
  </tableColumns>
  <tableStyleInfo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6" xr:uid="{586C54D2-D483-422D-96D8-A83791FF0AB4}" name="Tabla461487182791797829861883892897" displayName="Tabla461487182791797829861883892897" ref="M639:M640" insertRow="1" totalsRowShown="0" headerRowDxfId="97" dataDxfId="96" tableBorderDxfId="3129">
  <autoFilter ref="M639:M640" xr:uid="{586C54D2-D483-422D-96D8-A83791FF0AB4}"/>
  <tableColumns count="1">
    <tableColumn id="1" xr3:uid="{56F04505-9AD1-4BFA-895B-4723698B8A1C}" name="Preparacion" dataDxfId="98"/>
  </tableColumns>
  <tableStyleInfo showFirstColumn="0" showLastColumn="0"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7" xr:uid="{4559FFE1-BD77-4330-A786-286185940853}" name="Tabla461487182791797829861883892898" displayName="Tabla461487182791797829861883892898" ref="M649:M650" insertRow="1" totalsRowShown="0" headerRowDxfId="94" dataDxfId="93" tableBorderDxfId="3128">
  <autoFilter ref="M649:M650" xr:uid="{4559FFE1-BD77-4330-A786-286185940853}"/>
  <tableColumns count="1">
    <tableColumn id="1" xr3:uid="{3CF58FF7-9484-4DA3-87DB-8ECA155436D4}" name="Preparacion" dataDxfId="95"/>
  </tableColumns>
  <tableStyleInfo showFirstColumn="0" showLastColumn="0"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8" xr:uid="{75C0D96A-9195-4EAC-A641-CDB232848B1C}" name="Tabla461487182791797829861883892899" displayName="Tabla461487182791797829861883892899" ref="M661:M662" insertRow="1" totalsRowShown="0" headerRowDxfId="91" dataDxfId="90" tableBorderDxfId="3127">
  <autoFilter ref="M661:M662" xr:uid="{75C0D96A-9195-4EAC-A641-CDB232848B1C}"/>
  <tableColumns count="1">
    <tableColumn id="1" xr3:uid="{5E41FF04-ACFC-42A2-B080-284EF60DC605}" name="Preparacion" dataDxfId="92"/>
  </tableColumns>
  <tableStyleInfo showFirstColumn="0" showLastColumn="0"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9" xr:uid="{A4FBF3CA-C8EE-4194-8DB6-49A9B98147AF}" name="Tabla461487182791797829861883892900" displayName="Tabla461487182791797829861883892900" ref="M677:M678" insertRow="1" totalsRowShown="0" headerRowDxfId="88" dataDxfId="87" tableBorderDxfId="3126">
  <autoFilter ref="M677:M678" xr:uid="{A4FBF3CA-C8EE-4194-8DB6-49A9B98147AF}"/>
  <tableColumns count="1">
    <tableColumn id="1" xr3:uid="{20DCC2D9-5F60-4F26-8B52-C33B8640C3D8}" name="Preparacion" dataDxfId="89"/>
  </tableColumns>
  <tableStyleInfo showFirstColumn="0" showLastColumn="0"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0" xr:uid="{A4483E31-6DDB-4930-92D0-FB9C5822AE43}" name="Tabla461487182791797829861883892901" displayName="Tabla461487182791797829861883892901" ref="M685:M686" insertRow="1" totalsRowShown="0" headerRowDxfId="85" dataDxfId="84" tableBorderDxfId="3125">
  <autoFilter ref="M685:M686" xr:uid="{A4483E31-6DDB-4930-92D0-FB9C5822AE43}"/>
  <tableColumns count="1">
    <tableColumn id="1" xr3:uid="{039581AD-6BF1-4448-A6BF-3DB1E7838E2D}" name="Preparacion" dataDxfId="86"/>
  </tableColumns>
  <tableStyleInfo showFirstColumn="0" showLastColumn="0"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1" xr:uid="{C9E16991-40DE-46C5-A36D-A66EC527BE04}" name="Tabla461487182791797829861883892902" displayName="Tabla461487182791797829861883892902" ref="M695:M696" insertRow="1" totalsRowShown="0" headerRowDxfId="82" dataDxfId="81" tableBorderDxfId="3124">
  <autoFilter ref="M695:M696" xr:uid="{C9E16991-40DE-46C5-A36D-A66EC527BE04}"/>
  <tableColumns count="1">
    <tableColumn id="1" xr3:uid="{14487AEC-317D-49C9-861D-494AC6CA5736}" name="Preparacion" dataDxfId="83"/>
  </tableColumns>
  <tableStyleInfo showFirstColumn="0" showLastColumn="0"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2" xr:uid="{F294628D-D5CA-4F5A-A5B5-0910549D5A7E}" name="Tabla461487182791797829861883892903" displayName="Tabla461487182791797829861883892903" ref="M709:M710" insertRow="1" totalsRowShown="0" headerRowDxfId="79" dataDxfId="78" tableBorderDxfId="3123">
  <autoFilter ref="M709:M710" xr:uid="{F294628D-D5CA-4F5A-A5B5-0910549D5A7E}"/>
  <tableColumns count="1">
    <tableColumn id="1" xr3:uid="{74B3DDB1-762A-495E-B40C-EA966B0FB748}" name="Preparacion" dataDxfId="80"/>
  </tableColumns>
  <tableStyleInfo showFirstColumn="0" showLastColumn="0"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3" xr:uid="{B69AA467-A6E1-4995-BD26-077AEFEF1E54}" name="Tabla461487182791797829861883892904" displayName="Tabla461487182791797829861883892904" ref="M716:M717" insertRow="1" totalsRowShown="0" headerRowDxfId="76" dataDxfId="75" tableBorderDxfId="3122">
  <autoFilter ref="M716:M717" xr:uid="{B69AA467-A6E1-4995-BD26-077AEFEF1E54}"/>
  <tableColumns count="1">
    <tableColumn id="1" xr3:uid="{0C52D6E2-96A2-487D-AB51-0A29E4352295}" name="Preparacion" dataDxfId="77"/>
  </tableColumns>
  <tableStyleInfo showFirstColumn="0" showLastColumn="0"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4" xr:uid="{77ABDB82-1F74-4F15-9FD1-AF0E45DD83A8}" name="Tabla461487182791797829861883892905" displayName="Tabla461487182791797829861883892905" ref="M724:M725" insertRow="1" totalsRowShown="0" headerRowDxfId="73" dataDxfId="72" tableBorderDxfId="3121">
  <autoFilter ref="M724:M725" xr:uid="{77ABDB82-1F74-4F15-9FD1-AF0E45DD83A8}"/>
  <tableColumns count="1">
    <tableColumn id="1" xr3:uid="{4D272CA7-0291-472F-A78D-54482F0C33D7}" name="Preparacion" dataDxfId="74"/>
  </tableColumns>
  <tableStyleInfo showFirstColumn="0" showLastColumn="0"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6" xr:uid="{BAF9CB20-30F6-4140-91DE-DFD9A1B537D4}" name="Tabla461487182791797829861883892905907" displayName="Tabla461487182791797829861883892905907" ref="M731:M732" insertRow="1" totalsRowShown="0" headerRowDxfId="70" dataDxfId="69" tableBorderDxfId="3120">
  <autoFilter ref="M731:M732" xr:uid="{BAF9CB20-30F6-4140-91DE-DFD9A1B537D4}"/>
  <tableColumns count="1">
    <tableColumn id="1" xr3:uid="{CD52A34C-1F73-422F-967D-16B77F570C80}" name="Preparacion" dataDxfId="71"/>
  </tableColumns>
  <tableStyleInfo showFirstColumn="0" showLastColumn="0"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7" xr:uid="{13BD2461-D585-4018-B47E-F24559AE8E21}" name="Tabla461487182791797829861883892905908" displayName="Tabla461487182791797829861883892905908" ref="M740:M741" insertRow="1" totalsRowShown="0" headerRowDxfId="67" dataDxfId="66" tableBorderDxfId="3119">
  <autoFilter ref="M740:M741" xr:uid="{13BD2461-D585-4018-B47E-F24559AE8E21}"/>
  <tableColumns count="1">
    <tableColumn id="1" xr3:uid="{37211779-3C9B-459E-8CD4-B1F21D25391A}" name="Preparacion" dataDxfId="68"/>
  </tableColumns>
  <tableStyleInfo showFirstColumn="0" showLastColumn="0"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8" xr:uid="{CF18805E-6C7D-44AA-A61D-195F97D9B121}" name="Tabla461487182791797829861883892905909" displayName="Tabla461487182791797829861883892905909" ref="M748:M749" insertRow="1" totalsRowShown="0" headerRowDxfId="64" dataDxfId="63" tableBorderDxfId="3118">
  <autoFilter ref="M748:M749" xr:uid="{CF18805E-6C7D-44AA-A61D-195F97D9B121}"/>
  <tableColumns count="1">
    <tableColumn id="1" xr3:uid="{D67A056C-F208-4845-B1F0-A6A1B16A5181}" name="Preparacion" dataDxfId="65"/>
  </tableColumns>
  <tableStyleInfo showFirstColumn="0" showLastColumn="0"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9" xr:uid="{8FA081A6-4CD9-4E3C-91D4-F926BA30222A}" name="Tabla461487182791797829861883892905910" displayName="Tabla461487182791797829861883892905910" ref="M758:M759" insertRow="1" totalsRowShown="0" headerRowDxfId="61" dataDxfId="60" tableBorderDxfId="3117">
  <autoFilter ref="M758:M759" xr:uid="{8FA081A6-4CD9-4E3C-91D4-F926BA30222A}"/>
  <tableColumns count="1">
    <tableColumn id="1" xr3:uid="{7EEF93D3-6212-47BE-AC73-E426DFF76DFE}" name="Preparacion" dataDxfId="62"/>
  </tableColumns>
  <tableStyleInfo showFirstColumn="0" showLastColumn="0"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0" xr:uid="{A9890803-D20D-440C-A956-C0650C3FBF0B}" name="Tabla461487182791797829861883892905911" displayName="Tabla461487182791797829861883892905911" ref="M766:M767" insertRow="1" totalsRowShown="0" headerRowDxfId="58" dataDxfId="57" tableBorderDxfId="3116">
  <autoFilter ref="M766:M767" xr:uid="{A9890803-D20D-440C-A956-C0650C3FBF0B}"/>
  <tableColumns count="1">
    <tableColumn id="1" xr3:uid="{E2D919D8-B2C1-4AD0-980F-15CAC34B998C}" name="Preparacion" dataDxfId="59"/>
  </tableColumns>
  <tableStyleInfo showFirstColumn="0" showLastColumn="0"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1" xr:uid="{C38FE8D7-2756-4245-8E4B-2C150D262B07}" name="Tabla461487182791797829861883892905912" displayName="Tabla461487182791797829861883892905912" ref="M774:M775" insertRow="1" totalsRowShown="0" headerRowDxfId="55" dataDxfId="54" tableBorderDxfId="3115">
  <autoFilter ref="M774:M775" xr:uid="{C38FE8D7-2756-4245-8E4B-2C150D262B07}"/>
  <tableColumns count="1">
    <tableColumn id="1" xr3:uid="{CFAC6FCE-921C-4E9A-AAA4-4A70291F0E1E}" name="Preparacion" dataDxfId="56"/>
  </tableColumns>
  <tableStyleInfo showFirstColumn="0" showLastColumn="0"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2" xr:uid="{70A4482C-8CDB-4D0B-8361-B597236A4633}" name="Tabla461487182791797829861883892905913" displayName="Tabla461487182791797829861883892905913" ref="M786:M787" insertRow="1" totalsRowShown="0" headerRowDxfId="52" dataDxfId="51" tableBorderDxfId="3114">
  <autoFilter ref="M786:M787" xr:uid="{70A4482C-8CDB-4D0B-8361-B597236A4633}"/>
  <tableColumns count="1">
    <tableColumn id="1" xr3:uid="{9896BB61-E433-4720-B77D-F209FDBDE97D}" name="Preparacion" dataDxfId="53"/>
  </tableColumns>
  <tableStyleInfo showFirstColumn="0" showLastColumn="0"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3" xr:uid="{8521BBC8-2950-45E2-A523-2607ECDE740D}" name="Tabla461487182791797829861883892905914" displayName="Tabla461487182791797829861883892905914" ref="M794:M795" insertRow="1" totalsRowShown="0" headerRowDxfId="49" dataDxfId="48" tableBorderDxfId="3113">
  <autoFilter ref="M794:M795" xr:uid="{8521BBC8-2950-45E2-A523-2607ECDE740D}"/>
  <tableColumns count="1">
    <tableColumn id="1" xr3:uid="{E402A98E-FD68-438A-BE41-93EDE40A35E3}" name="Preparacion" dataDxfId="50"/>
  </tableColumns>
  <tableStyleInfo showFirstColumn="0" showLastColumn="0"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4" xr:uid="{4B3D0B48-2515-48CF-9985-8D542407EC98}" name="Tabla461487182791797829861883892905915" displayName="Tabla461487182791797829861883892905915" ref="M805:M806" insertRow="1" totalsRowShown="0" headerRowDxfId="46" dataDxfId="45" tableBorderDxfId="3112">
  <autoFilter ref="M805:M806" xr:uid="{4B3D0B48-2515-48CF-9985-8D542407EC98}"/>
  <tableColumns count="1">
    <tableColumn id="1" xr3:uid="{A78E9746-26A3-47D4-8745-8D848C233346}" name="Preparacion" dataDxfId="47"/>
  </tableColumns>
  <tableStyleInfo showFirstColumn="0" showLastColumn="0"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5" xr:uid="{3484E5B4-E50B-4DE2-AFC4-34AAB97679C8}" name="Tabla461487182791797829861883892905916" displayName="Tabla461487182791797829861883892905916" ref="M816:M817" insertRow="1" totalsRowShown="0" headerRowDxfId="43" dataDxfId="42" tableBorderDxfId="3111">
  <autoFilter ref="M816:M817" xr:uid="{3484E5B4-E50B-4DE2-AFC4-34AAB97679C8}"/>
  <tableColumns count="1">
    <tableColumn id="1" xr3:uid="{A64C0501-8FD5-4187-A3C1-4EE8360BFE18}" name="Preparacion" dataDxfId="44"/>
  </tableColumns>
  <tableStyleInfo showFirstColumn="0" showLastColumn="0"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6" xr:uid="{F68DABF9-0DC2-4EC0-967F-5A047AA4E99B}" name="Tabla461487182791797829861883892905917" displayName="Tabla461487182791797829861883892905917" ref="M823:M824" insertRow="1" totalsRowShown="0" headerRowDxfId="40" dataDxfId="39" tableBorderDxfId="3110">
  <autoFilter ref="M823:M824" xr:uid="{F68DABF9-0DC2-4EC0-967F-5A047AA4E99B}"/>
  <tableColumns count="1">
    <tableColumn id="1" xr3:uid="{45F2A4C6-FEE2-4065-A4F9-C88BC2775617}" name="Preparacion" dataDxfId="41"/>
  </tableColumns>
  <tableStyleInfo showFirstColumn="0" showLastColumn="0"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7" xr:uid="{1E70D503-01BE-4127-A7F4-01BCAD3D3B5D}" name="Tabla461487182791797829861883892905918" displayName="Tabla461487182791797829861883892905918" ref="M833:M834" insertRow="1" totalsRowShown="0" headerRowDxfId="37" dataDxfId="36" tableBorderDxfId="3109">
  <autoFilter ref="M833:M834" xr:uid="{1E70D503-01BE-4127-A7F4-01BCAD3D3B5D}"/>
  <tableColumns count="1">
    <tableColumn id="1" xr3:uid="{390F9D36-CA74-4D93-A5E5-4A4B1BE65254}" name="Preparacion" dataDxfId="38"/>
  </tableColumns>
  <tableStyleInfo showFirstColumn="0" showLastColumn="0"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8" xr:uid="{B93F2D0B-FD38-4585-BA24-FC36FCC7BEB3}" name="Tabla461487182791797829861883892905919" displayName="Tabla461487182791797829861883892905919" ref="M842:M843" insertRow="1" totalsRowShown="0" headerRowDxfId="34" dataDxfId="33" tableBorderDxfId="3108">
  <autoFilter ref="M842:M843" xr:uid="{B93F2D0B-FD38-4585-BA24-FC36FCC7BEB3}"/>
  <tableColumns count="1">
    <tableColumn id="1" xr3:uid="{26A87525-5F4A-42CB-A873-9F92D3821C1F}" name="Preparacion" dataDxfId="35"/>
  </tableColumns>
  <tableStyleInfo showFirstColumn="0" showLastColumn="0"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9" xr:uid="{2F222BDD-9765-4602-BFA2-DCD77DBDF6C6}" name="Tabla461487182791797829861883892905920" displayName="Tabla461487182791797829861883892905920" ref="M853:M854" insertRow="1" totalsRowShown="0" headerRowDxfId="31" dataDxfId="30" tableBorderDxfId="3107">
  <autoFilter ref="M853:M854" xr:uid="{2F222BDD-9765-4602-BFA2-DCD77DBDF6C6}"/>
  <tableColumns count="1">
    <tableColumn id="1" xr3:uid="{E5D3B27E-05C8-4241-88DB-BD923AD800A8}" name="Preparacion" dataDxfId="32"/>
  </tableColumns>
  <tableStyleInfo showFirstColumn="0" showLastColumn="0"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0" xr:uid="{E19FB325-4B7F-4749-9944-866D6F7F0547}" name="Tabla461487182791797829861883892905921" displayName="Tabla461487182791797829861883892905921" ref="M865:M866" insertRow="1" totalsRowShown="0" headerRowDxfId="28" dataDxfId="27" tableBorderDxfId="3106">
  <autoFilter ref="M865:M866" xr:uid="{E19FB325-4B7F-4749-9944-866D6F7F0547}"/>
  <tableColumns count="1">
    <tableColumn id="1" xr3:uid="{CE3A670D-2666-488D-8571-B5990B55A15B}" name="Preparacion" dataDxfId="29"/>
  </tableColumns>
  <tableStyleInfo showFirstColumn="0" showLastColumn="0"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1" xr:uid="{C59FFAC5-8363-487B-AAA0-4C1853402B87}" name="Tabla461487182791797829861883892905922" displayName="Tabla461487182791797829861883892905922" ref="M878:M879" insertRow="1" totalsRowShown="0" headerRowDxfId="25" dataDxfId="24" tableBorderDxfId="3105">
  <autoFilter ref="M878:M879" xr:uid="{C59FFAC5-8363-487B-AAA0-4C1853402B87}"/>
  <tableColumns count="1">
    <tableColumn id="1" xr3:uid="{4558DCEF-FACB-45A7-8BEE-73E346926AED}" name="Preparacion" dataDxfId="26"/>
  </tableColumns>
  <tableStyleInfo showFirstColumn="0" showLastColumn="0"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2" xr:uid="{B50B0017-0F28-4DE4-B3CE-46195DF8A9FF}" name="Tabla461487182791797829861883892905923" displayName="Tabla461487182791797829861883892905923" ref="M886:M887" insertRow="1" totalsRowShown="0" headerRowDxfId="22" dataDxfId="21" tableBorderDxfId="3104">
  <autoFilter ref="M886:M887" xr:uid="{B50B0017-0F28-4DE4-B3CE-46195DF8A9FF}"/>
  <tableColumns count="1">
    <tableColumn id="1" xr3:uid="{A00201D5-F449-47DA-9067-63FDEFD6EC27}" name="Preparacion" dataDxfId="23"/>
  </tableColumns>
  <tableStyleInfo showFirstColumn="0" showLastColumn="0"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3" xr:uid="{B5252FE0-0CAE-48E9-8BA1-838C37344D7D}" name="Tabla461487182791797829861883892905924" displayName="Tabla461487182791797829861883892905924" ref="M894:M895" insertRow="1" totalsRowShown="0" headerRowDxfId="19" dataDxfId="18" tableBorderDxfId="3103">
  <autoFilter ref="M894:M895" xr:uid="{B5252FE0-0CAE-48E9-8BA1-838C37344D7D}"/>
  <tableColumns count="1">
    <tableColumn id="1" xr3:uid="{5A2FE515-C96D-4B64-8B08-F59C5607898C}" name="Preparacion" dataDxfId="20"/>
  </tableColumns>
  <tableStyleInfo showFirstColumn="0" showLastColumn="0"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4" xr:uid="{062B3A08-9C23-4EEC-B767-A772CDDFFE9E}" name="Tabla461487182791797829861883892905925" displayName="Tabla461487182791797829861883892905925" ref="M909:M910" insertRow="1" totalsRowShown="0" headerRowDxfId="16" dataDxfId="15" tableBorderDxfId="3102">
  <autoFilter ref="M909:M910" xr:uid="{062B3A08-9C23-4EEC-B767-A772CDDFFE9E}"/>
  <tableColumns count="1">
    <tableColumn id="1" xr3:uid="{D4AB814D-DAA4-445D-BCFD-6E8861D32B98}" name="Preparacion" dataDxfId="17"/>
  </tableColumns>
  <tableStyleInfo showFirstColumn="0" showLastColumn="0"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5" xr:uid="{435ADE1D-4E83-4C58-9BF3-23F3A93274EE}" name="Tabla461487182791797829861883892905926" displayName="Tabla461487182791797829861883892905926" ref="M921:M922" insertRow="1" totalsRowShown="0" headerRowDxfId="13" dataDxfId="12" tableBorderDxfId="3101">
  <autoFilter ref="M921:M922" xr:uid="{435ADE1D-4E83-4C58-9BF3-23F3A93274EE}"/>
  <tableColumns count="1">
    <tableColumn id="1" xr3:uid="{58544F25-6681-425D-8257-AF034A35C9BA}" name="Preparacion" dataDxfId="14"/>
  </tableColumns>
  <tableStyleInfo showFirstColumn="0" showLastColumn="0"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6" xr:uid="{1219D5B5-CC43-4310-A36E-371C804D60C1}" name="Tabla461487182791797829861883892905927" displayName="Tabla461487182791797829861883892905927" ref="M934:M935" insertRow="1" totalsRowShown="0" headerRowDxfId="10" dataDxfId="9" tableBorderDxfId="3100">
  <autoFilter ref="M934:M935" xr:uid="{1219D5B5-CC43-4310-A36E-371C804D60C1}"/>
  <tableColumns count="1">
    <tableColumn id="1" xr3:uid="{8B9E4D29-24D7-405A-9AE7-0CA8785E3C07}" name="Preparacion" dataDxfId="11"/>
  </tableColumns>
  <tableStyleInfo showFirstColumn="0" showLastColumn="0"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7" xr:uid="{068109D9-9F49-4D6B-A154-18213C5CB28E}" name="Tabla461487182791797829861883892905928" displayName="Tabla461487182791797829861883892905928" ref="M946:M947" insertRow="1" totalsRowShown="0" headerRowDxfId="7" dataDxfId="6" tableBorderDxfId="3099">
  <autoFilter ref="M946:M947" xr:uid="{068109D9-9F49-4D6B-A154-18213C5CB28E}"/>
  <tableColumns count="1">
    <tableColumn id="1" xr3:uid="{8F272114-5F15-43F6-967B-79AA63B7CDF3}" name="Preparacion" dataDxfId="8"/>
  </tableColumns>
  <tableStyleInfo showFirstColumn="0" showLastColumn="0"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8" xr:uid="{34B71AB9-1A06-463F-BEA2-6B21BFCB0ACF}" name="Tabla461487182791797829861883892905929" displayName="Tabla461487182791797829861883892905929" ref="M961:M962" insertRow="1" totalsRowShown="0" headerRowDxfId="4" dataDxfId="3" tableBorderDxfId="3098">
  <autoFilter ref="M961:M962" xr:uid="{34B71AB9-1A06-463F-BEA2-6B21BFCB0ACF}"/>
  <tableColumns count="1">
    <tableColumn id="1" xr3:uid="{F7262241-EB1A-4B18-B3FA-1DFE755133B0}" name="Preparacion" dataDxfId="5"/>
  </tableColumns>
  <tableStyleInfo showFirstColumn="0" showLastColumn="0"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9" xr:uid="{60F033B5-10F9-4BEA-AE61-00B031A91830}" name="Tabla461487182791797829861883892905930" displayName="Tabla461487182791797829861883892905930" ref="M969:M970" insertRow="1" totalsRowShown="0" headerRowDxfId="1" dataDxfId="0" tableBorderDxfId="3097">
  <autoFilter ref="M969:M970" xr:uid="{60F033B5-10F9-4BEA-AE61-00B031A91830}"/>
  <tableColumns count="1">
    <tableColumn id="1" xr3:uid="{A92E6B91-2A20-4080-B9D2-7A1F4C2FB834}" name="Preparacion" dataDxfId="2"/>
  </tableColumns>
  <tableStyleInfo showFirstColumn="0" showLastColumn="0"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751E70D3-DEB1-401A-912F-1D25B63FD3FE}" name="Tabla1103453454455456479455868778695108117127136" displayName="Tabla1103453454455456479455868778695108117127136" ref="B7:H13" totalsRowCount="1" headerRowDxfId="6770" dataDxfId="6768" totalsRowDxfId="6766" headerRowBorderDxfId="6769" tableBorderDxfId="6767" totalsRowBorderDxfId="6765">
  <autoFilter ref="B7:H12" xr:uid="{25E24D6A-940D-4437-B263-679AE371D044}"/>
  <sortState xmlns:xlrd2="http://schemas.microsoft.com/office/spreadsheetml/2017/richdata2" ref="B8:H10">
    <sortCondition descending="1" ref="H194:H210"/>
  </sortState>
  <tableColumns count="7">
    <tableColumn id="2" xr3:uid="{C3F3B606-4C82-49B9-8028-99FA0F43B5A5}" name="Ingrediente" dataDxfId="6764" totalsRowDxfId="6763"/>
    <tableColumn id="3" xr3:uid="{B02F7F5D-9E4D-47DD-8E2F-9392E1321C6A}" name="Und" dataDxfId="6762" totalsRowDxfId="6761"/>
    <tableColumn id="4" xr3:uid="{8DDF5A1C-B808-4F63-A0A6-01976E660A77}" name="Cant." dataDxfId="6760" totalsRowDxfId="6759"/>
    <tableColumn id="1" xr3:uid="{94FB7509-3882-44CE-80E6-1923D5B775D4}" name="Columna1" dataDxfId="6758" totalsRowDxfId="6757"/>
    <tableColumn id="7" xr3:uid="{753AB208-05CB-4BF1-B05A-B9704CCB65CC}" name="Columna2" dataDxfId="6756" totalsRowDxfId="6755"/>
    <tableColumn id="5" xr3:uid="{D01D5D02-02FD-4F81-8564-145AA5865EF4}" name="Costo" dataDxfId="6754" totalsRowDxfId="6753" dataCellStyle="Moneda">
      <calculatedColumnFormula>+VLOOKUP(Tabla1103453454455456479455868778695108117127136[[#This Row],[Ingrediente]],Tabla34[#All],3,0)</calculatedColumnFormula>
    </tableColumn>
    <tableColumn id="6" xr3:uid="{CC86A9C4-CF14-4116-B6DA-AF867C245F37}" name="Total costo" totalsRowFunction="sum" dataDxfId="6752" totalsRowDxfId="6751" dataCellStyle="Moneda">
      <calculatedColumnFormula>+Tabla1103453454455456479455868778695108117127136[[#This Row],[Costo]]*Tabla1103453454455456479455868778695108117127136[[#This Row],[Columna2]]</calculatedColumnFormula>
    </tableColumn>
  </tableColumns>
  <tableStyleInfo name="TableStyleLight8" showFirstColumn="0" showLastColumn="0"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A84C4E12-627D-4937-B4DD-BC1A7203E9BF}" name="Tabla110345345445545647936465969788796109118128137" displayName="Tabla110345345445545647936465969788796109118128137" ref="B19:H25" totalsRowCount="1" headerRowDxfId="6750" dataDxfId="6748" totalsRowDxfId="6746" headerRowBorderDxfId="6749" tableBorderDxfId="6747" totalsRowBorderDxfId="6745">
  <autoFilter ref="B19:H24" xr:uid="{465BE583-B429-4C2B-93EC-227E72041455}"/>
  <sortState xmlns:xlrd2="http://schemas.microsoft.com/office/spreadsheetml/2017/richdata2" ref="B20:H23">
    <sortCondition descending="1" ref="H193:H209"/>
  </sortState>
  <tableColumns count="7">
    <tableColumn id="2" xr3:uid="{B22C5199-0A56-49D2-B8EA-6E9C192B485C}" name="Ingrediente" dataDxfId="6744" totalsRowDxfId="6743"/>
    <tableColumn id="3" xr3:uid="{91495ED1-EE69-4808-AD63-041F2EEFA3B5}" name="Und" dataDxfId="6742" totalsRowDxfId="6741"/>
    <tableColumn id="4" xr3:uid="{386F60AE-F8C0-45B0-9591-B95F019122BC}" name="Cant." dataDxfId="6740" totalsRowDxfId="6739"/>
    <tableColumn id="1" xr3:uid="{28A3FAD2-647D-4589-BF56-760BBFF2F97D}" name="Columna1" dataDxfId="6738" totalsRowDxfId="6737"/>
    <tableColumn id="7" xr3:uid="{27AA382F-8967-4F49-A33C-B3F8AC9A56E7}" name="Columna2" dataDxfId="6736" totalsRowDxfId="6735"/>
    <tableColumn id="5" xr3:uid="{E84F7172-B5BE-4389-AF8F-9146E29951FC}" name="Costo" dataDxfId="6734" totalsRowDxfId="6733" dataCellStyle="Moneda">
      <calculatedColumnFormula>+VLOOKUP(Tabla110345345445545647936465969788796109118128137[[#This Row],[Ingrediente]],Tabla34[#All],3,0)</calculatedColumnFormula>
    </tableColumn>
    <tableColumn id="6" xr3:uid="{1DDECB71-2FD1-4778-936F-1C1FC6246ACF}" name="Total costo" totalsRowFunction="sum" dataDxfId="6732" totalsRowDxfId="6731" dataCellStyle="Moneda">
      <calculatedColumnFormula>+Tabla110345345445545647936465969788796109118128137[[#This Row],[Costo]]*Tabla110345345445545647936465969788796109118128137[[#This Row],[Columna2]]</calculatedColumnFormula>
    </tableColumn>
  </tableColumns>
  <tableStyleInfo name="TableStyleLight8" showFirstColumn="0" showLastColumn="0"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88379E5E-6014-4F66-9C19-43E9850CE107}" name="Tabla11034534544554564793637476070798897110119129138" displayName="Tabla11034534544554564793637476070798897110119129138" ref="B30:H35" totalsRowCount="1" headerRowDxfId="6730" dataDxfId="6728" totalsRowDxfId="6726" headerRowBorderDxfId="6729" tableBorderDxfId="6727" totalsRowBorderDxfId="6725">
  <autoFilter ref="B30:H34" xr:uid="{D046284E-C2C1-4680-A383-F9B742CBF79C}"/>
  <sortState xmlns:xlrd2="http://schemas.microsoft.com/office/spreadsheetml/2017/richdata2" ref="B31:H32">
    <sortCondition descending="1" ref="H188:H204"/>
  </sortState>
  <tableColumns count="7">
    <tableColumn id="2" xr3:uid="{55133A27-C9CD-48A6-9A6E-85781009F98D}" name="Ingrediente" dataDxfId="6724" totalsRowDxfId="6723"/>
    <tableColumn id="3" xr3:uid="{3CDD5B64-761E-44D7-8C05-8885C9B06EE7}" name="Und" dataDxfId="6722" totalsRowDxfId="6721"/>
    <tableColumn id="4" xr3:uid="{0A457243-AE77-4623-889B-848B9A13E797}" name="Cant." dataDxfId="6720" totalsRowDxfId="6719"/>
    <tableColumn id="1" xr3:uid="{E0360B26-A36B-4D8E-BC9A-2AC42528D894}" name="Columna1" dataDxfId="6718" totalsRowDxfId="6717"/>
    <tableColumn id="7" xr3:uid="{D2A913B7-2BC4-4B9C-B4FF-43528685545A}" name="Columna2" dataDxfId="6716" totalsRowDxfId="6715"/>
    <tableColumn id="5" xr3:uid="{88905DE1-AFE4-4F52-84F8-723DFCD1650B}" name="Costo" dataDxfId="6714" totalsRowDxfId="6713" dataCellStyle="Moneda">
      <calculatedColumnFormula>+VLOOKUP(Tabla11034534544554564793637476070798897110119129138[[#This Row],[Ingrediente]],Tabla34[#All],3,0)</calculatedColumnFormula>
    </tableColumn>
    <tableColumn id="6" xr3:uid="{493B040A-B80B-4253-AD7B-E8D1D75F5A61}" name="Total costo" totalsRowFunction="sum" dataDxfId="6712" totalsRowDxfId="6711" dataCellStyle="Moneda">
      <calculatedColumnFormula>+Tabla11034534544554564793637476070798897110119129138[[#This Row],[Costo]]*Tabla11034534544554564793637476070798897110119129138[[#This Row],[Columna2]]</calculatedColumnFormula>
    </tableColumn>
  </tableColumns>
  <tableStyleInfo name="TableStyleLight8" showFirstColumn="0" showLastColumn="0"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6C8AEBFA-4742-4223-AF08-C071B7F51168}" name="Tabla11034534544554564793638486171808998111120130139" displayName="Tabla11034534544554564793638486171808998111120130139" ref="B41:H46" totalsRowCount="1" headerRowDxfId="6710" dataDxfId="6708" totalsRowDxfId="6706" headerRowBorderDxfId="6709" tableBorderDxfId="6707" totalsRowBorderDxfId="6705">
  <autoFilter ref="B41:H45" xr:uid="{C36CCCC4-7A27-4243-8E76-2253568FF38F}"/>
  <sortState xmlns:xlrd2="http://schemas.microsoft.com/office/spreadsheetml/2017/richdata2" ref="B42:H43">
    <sortCondition descending="1" ref="H185:H201"/>
  </sortState>
  <tableColumns count="7">
    <tableColumn id="2" xr3:uid="{1B7F9FE2-638C-49F0-8793-06892C37222F}" name="Ingrediente" dataDxfId="6704" totalsRowDxfId="6703"/>
    <tableColumn id="3" xr3:uid="{65DECAA0-FAD9-4D98-8D9C-C416F2E67B12}" name="Und" dataDxfId="6702" totalsRowDxfId="6701"/>
    <tableColumn id="4" xr3:uid="{924E3BA4-0B46-46D7-968C-4C815292DD8B}" name="Cant." dataDxfId="6700" totalsRowDxfId="6699"/>
    <tableColumn id="1" xr3:uid="{0E2B60B9-430C-488B-BCC6-9F9F87BFC0AB}" name="Columna1" dataDxfId="6698" totalsRowDxfId="6697"/>
    <tableColumn id="7" xr3:uid="{61026387-8BE3-4FD7-BFEE-9EA4DC8E2B98}" name="Columna2" dataDxfId="6696" totalsRowDxfId="6695"/>
    <tableColumn id="5" xr3:uid="{8874F4AC-5080-46F8-81AB-040AD904B9A7}" name="Costo" dataDxfId="6694" totalsRowDxfId="6693" dataCellStyle="Moneda">
      <calculatedColumnFormula>+VLOOKUP(Tabla11034534544554564793638486171808998111120130139[[#This Row],[Ingrediente]],Tabla34[#All],3,0)</calculatedColumnFormula>
    </tableColumn>
    <tableColumn id="6" xr3:uid="{73403EE2-2BE5-42D8-B893-FD7FC648C96F}" name="Total costo" totalsRowFunction="sum" dataDxfId="6692" totalsRowDxfId="6691" dataCellStyle="Moneda">
      <calculatedColumnFormula>+Tabla11034534544554564793638486171808998111120130139[[#This Row],[Costo]]*Tabla11034534544554564793638486171808998111120130139[[#This Row],[Columna2]]</calculatedColumnFormula>
    </tableColumn>
  </tableColumns>
  <tableStyleInfo name="TableStyleLight8" showFirstColumn="0" showLastColumn="0"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6987A0E-9B69-48F4-B377-0409F89F44F6}" name="Tabla11034534544554564793638486171808998111120130139162" displayName="Tabla11034534544554564793638486171808998111120130139162" ref="B54:H61" totalsRowCount="1" headerRowDxfId="6690" dataDxfId="6688" totalsRowDxfId="6686" headerRowBorderDxfId="6689" tableBorderDxfId="6687" totalsRowBorderDxfId="6685">
  <autoFilter ref="B54:H60" xr:uid="{E6987A0E-9B69-48F4-B377-0409F89F44F6}"/>
  <sortState xmlns:xlrd2="http://schemas.microsoft.com/office/spreadsheetml/2017/richdata2" ref="B55:H56">
    <sortCondition descending="1" ref="H185:H201"/>
  </sortState>
  <tableColumns count="7">
    <tableColumn id="2" xr3:uid="{A22CB23A-42D9-49AA-BAD4-5B6BF3DB7015}" name="Ingrediente" dataDxfId="6684" totalsRowDxfId="6683"/>
    <tableColumn id="3" xr3:uid="{1A9C9C81-1D11-4452-918B-D210EF68DFB4}" name="Und" dataDxfId="6682" totalsRowDxfId="6681"/>
    <tableColumn id="4" xr3:uid="{1FA783B3-78BD-4773-90B0-1FB71D41114C}" name="Cant." dataDxfId="6680" totalsRowDxfId="6679"/>
    <tableColumn id="1" xr3:uid="{B9AD87EB-7F54-4F13-8EE0-49148FEC314C}" name="Columna1" dataDxfId="6678" totalsRowDxfId="6677"/>
    <tableColumn id="7" xr3:uid="{7A767E96-2E42-4E7E-B994-8599AE163416}" name="Columna2" dataDxfId="6676" totalsRowDxfId="6675"/>
    <tableColumn id="5" xr3:uid="{0B87968E-138E-4FD8-A078-A8A6EC0F5B60}" name="Costo" dataDxfId="6674" totalsRowDxfId="6673" dataCellStyle="Moneda">
      <calculatedColumnFormula>+VLOOKUP(Tabla11034534544554564793638486171808998111120130139162[[#This Row],[Ingrediente]],Tabla34[#All],3,0)</calculatedColumnFormula>
    </tableColumn>
    <tableColumn id="6" xr3:uid="{D2261EE2-1043-4FE3-AECD-248F84B3A79F}" name="Total costo" totalsRowFunction="sum" dataDxfId="6672" totalsRowDxfId="6671" dataCellStyle="Moneda">
      <calculatedColumnFormula>+Tabla11034534544554564793638486171808998111120130139162[[#This Row],[Costo]]*Tabla11034534544554564793638486171808998111120130139162[[#This Row],[Columna2]]</calculatedColumnFormula>
    </tableColumn>
  </tableColumns>
  <tableStyleInfo name="TableStyleLight8" showFirstColumn="0" showLastColumn="0"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1" xr:uid="{735F5C6C-55FB-4BB1-AA75-A1679E527B7A}" name="Tabla46148718279179782986188389290593010011002" displayName="Tabla46148718279179782986188389290593010011002" ref="M6:M7" insertRow="1" totalsRowShown="0" headerRowDxfId="2820" dataDxfId="2819" tableBorderDxfId="2818">
  <autoFilter ref="M6:M7" xr:uid="{735F5C6C-55FB-4BB1-AA75-A1679E527B7A}"/>
  <tableColumns count="1">
    <tableColumn id="1" xr3:uid="{A23502F3-FB33-462A-97EA-62D870F9C1D8}" name="Preparacion" dataDxfId="2817"/>
  </tableColumns>
  <tableStyleInfo showFirstColumn="0" showLastColumn="0"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2" xr:uid="{CF738134-38FB-4F2F-9274-DD4EAFCB95F9}" name="Tabla46148718279179782986188389290593010011003" displayName="Tabla46148718279179782986188389290593010011003" ref="M18:M19" insertRow="1" totalsRowShown="0" headerRowDxfId="2816" dataDxfId="2815" tableBorderDxfId="2814">
  <autoFilter ref="M18:M19" xr:uid="{CF738134-38FB-4F2F-9274-DD4EAFCB95F9}"/>
  <tableColumns count="1">
    <tableColumn id="1" xr3:uid="{E03E8DBD-9FF5-4F7A-BF0A-F07BD1ADD133}" name="Preparacion" dataDxfId="2813"/>
  </tableColumns>
  <tableStyleInfo showFirstColumn="0" showLastColumn="0"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3" xr:uid="{1FAC2AF9-3FBE-45FA-A389-76BA114A569F}" name="Tabla46148718279179782986188389290593010011004" displayName="Tabla46148718279179782986188389290593010011004" ref="M29:M30" insertRow="1" totalsRowShown="0" headerRowDxfId="2812" dataDxfId="2811" tableBorderDxfId="2810">
  <autoFilter ref="M29:M30" xr:uid="{1FAC2AF9-3FBE-45FA-A389-76BA114A569F}"/>
  <tableColumns count="1">
    <tableColumn id="1" xr3:uid="{0C9A0A64-C989-43D2-A498-4B5BC9F31243}" name="Preparacion" dataDxfId="2809"/>
  </tableColumns>
  <tableStyleInfo showFirstColumn="0" showLastColumn="0"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4" xr:uid="{BD262C90-2F04-4B11-BDAA-77A3D034D5E2}" name="Tabla46148718279179782986188389290593010011005" displayName="Tabla46148718279179782986188389290593010011005" ref="M40:M41" insertRow="1" totalsRowShown="0" headerRowDxfId="2808" dataDxfId="2807" tableBorderDxfId="2806">
  <autoFilter ref="M40:M41" xr:uid="{BD262C90-2F04-4B11-BDAA-77A3D034D5E2}"/>
  <tableColumns count="1">
    <tableColumn id="1" xr3:uid="{74A1EC4F-C379-4AEE-B56B-1D7723576677}" name="Preparacion" dataDxfId="2805"/>
  </tableColumns>
  <tableStyleInfo showFirstColumn="0" showLastColumn="0" showRowStripes="1"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5" xr:uid="{94CC7304-9D43-4B15-86A5-C56997066E49}" name="Tabla46148718279179782986188389290593010011006" displayName="Tabla46148718279179782986188389290593010011006" ref="M53:M54" insertRow="1" totalsRowShown="0" headerRowDxfId="2804" dataDxfId="2803" tableBorderDxfId="2802">
  <autoFilter ref="M53:M54" xr:uid="{94CC7304-9D43-4B15-86A5-C56997066E49}"/>
  <tableColumns count="1">
    <tableColumn id="1" xr3:uid="{630F415E-D443-4514-ACE3-C05E2F11AD95}" name="Preparacion" dataDxfId="2801"/>
  </tableColumns>
  <tableStyleInfo showFirstColumn="0" showLastColumn="0" showRowStripes="1"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1A5E794-DAAE-433C-9FE5-01975FF3E635}" name="Tabla11034534544554564794558" displayName="Tabla11034534544554564794558" ref="B7:H22" totalsRowCount="1" headerRowDxfId="8173" dataDxfId="8171" totalsRowDxfId="8169" headerRowBorderDxfId="8172" tableBorderDxfId="8170" totalsRowBorderDxfId="8168">
  <autoFilter ref="B7:H21" xr:uid="{25E24D6A-940D-4437-B263-679AE371D044}"/>
  <sortState xmlns:xlrd2="http://schemas.microsoft.com/office/spreadsheetml/2017/richdata2" ref="B8:H21">
    <sortCondition descending="1" ref="H11:H21"/>
  </sortState>
  <tableColumns count="7">
    <tableColumn id="2" xr3:uid="{FA74D5E6-2F69-4CB4-8D39-1F5C0A6349FC}" name="Ingrediente" dataDxfId="8167" totalsRowDxfId="8166"/>
    <tableColumn id="3" xr3:uid="{D8425482-3A9D-45FA-8DC0-502F8ACBBA1B}" name="Und" dataDxfId="8165" totalsRowDxfId="8164"/>
    <tableColumn id="4" xr3:uid="{DCFEA31D-9EC8-4933-AF01-623E54FC672B}" name="Cant." dataDxfId="8163" totalsRowDxfId="8162"/>
    <tableColumn id="1" xr3:uid="{465E424F-184F-4AF3-8104-3CE36DC5C6D6}" name="Columna1" dataDxfId="8161" totalsRowDxfId="8160"/>
    <tableColumn id="7" xr3:uid="{79B8C979-AAF7-408E-84CB-C7B30CEA4E5F}" name="Columna2" dataDxfId="8159" totalsRowDxfId="8158"/>
    <tableColumn id="5" xr3:uid="{F03CD53E-BF5B-4E97-A07C-3DD95EFC547C}" name="Costo" dataDxfId="8157" totalsRowDxfId="8156" dataCellStyle="Moneda">
      <calculatedColumnFormula>+VLOOKUP(Tabla11034534544554564794558[[#This Row],[Ingrediente]],Tabla34[#All],3,0)</calculatedColumnFormula>
    </tableColumn>
    <tableColumn id="6" xr3:uid="{C4ED6D55-06E9-469C-896A-FDE74FAC4983}" name="Total costo" totalsRowFunction="sum" dataDxfId="8155" totalsRowDxfId="8154" dataCellStyle="Moneda">
      <calculatedColumnFormula>+Tabla11034534544554564794558[[#This Row],[Costo]]*Tabla11034534544554564794558[[#This Row],[Columna2]]</calculatedColumnFormula>
    </tableColumn>
  </tableColumns>
  <tableStyleInfo name="TableStyleLight8" showFirstColumn="0" showLastColumn="0" showRowStripes="1"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8AB3DBE-FCC9-4E52-BA55-1FB88D7DC99D}" name="Tabla1103453454455456479364659" displayName="Tabla1103453454455456479364659" ref="B25:H35" totalsRowCount="1" headerRowDxfId="8153" dataDxfId="8151" totalsRowDxfId="8149" headerRowBorderDxfId="8152" tableBorderDxfId="8150" totalsRowBorderDxfId="8148">
  <autoFilter ref="B25:H34" xr:uid="{465BE583-B429-4C2B-93EC-227E72041455}"/>
  <sortState xmlns:xlrd2="http://schemas.microsoft.com/office/spreadsheetml/2017/richdata2" ref="B26:H34">
    <sortCondition descending="1" ref="H29:H34"/>
  </sortState>
  <tableColumns count="7">
    <tableColumn id="2" xr3:uid="{D18AF741-C9E9-420E-B841-0282D8D89462}" name="Ingrediente" dataDxfId="8147" totalsRowDxfId="8146"/>
    <tableColumn id="3" xr3:uid="{46CEEA33-88EC-4EAC-B5A8-59908AB90C0E}" name="Und" dataDxfId="8145" totalsRowDxfId="8144"/>
    <tableColumn id="4" xr3:uid="{5A6C69D3-148E-47FF-9B5E-D33DA091B6FD}" name="Cant." dataDxfId="8143" totalsRowDxfId="8142"/>
    <tableColumn id="1" xr3:uid="{8920F7F6-C9B6-4A24-8282-852AB26E8319}" name="Columna1" dataDxfId="8141" totalsRowDxfId="8140"/>
    <tableColumn id="7" xr3:uid="{B6F5BBE1-E2EC-4AFD-97E1-63D92D946638}" name="Columna2" dataDxfId="8139" totalsRowDxfId="8138"/>
    <tableColumn id="5" xr3:uid="{F1D03EE6-92E9-494A-988C-2A2FE4660C85}" name="Costo" dataDxfId="8137" totalsRowDxfId="8136" dataCellStyle="Moneda">
      <calculatedColumnFormula>+VLOOKUP(Tabla1103453454455456479364659[[#This Row],[Ingrediente]],Tabla34[#All],3,0)</calculatedColumnFormula>
    </tableColumn>
    <tableColumn id="6" xr3:uid="{BF75D262-DF5D-4159-BF8B-A5C79C9AC268}" name="Total costo" totalsRowFunction="sum" dataDxfId="8135" totalsRowDxfId="8134" dataCellStyle="Moneda">
      <calculatedColumnFormula>+Tabla1103453454455456479364659[[#This Row],[Costo]]*Tabla1103453454455456479364659[[#This Row],[Columna2]]</calculatedColumnFormula>
    </tableColumn>
  </tableColumns>
  <tableStyleInfo name="TableStyleLight8" showFirstColumn="0" showLastColumn="0" showRowStripes="1"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5ECE79D-0E19-4F14-A1E2-31CAA6676E48}" name="Tabla110345345445545647936374760" displayName="Tabla110345345445545647936374760" ref="B39:H58" totalsRowCount="1" headerRowDxfId="8133" dataDxfId="8131" totalsRowDxfId="8129" headerRowBorderDxfId="8132" tableBorderDxfId="8130" totalsRowBorderDxfId="8128">
  <autoFilter ref="B39:H57" xr:uid="{D046284E-C2C1-4680-A383-F9B742CBF79C}"/>
  <sortState xmlns:xlrd2="http://schemas.microsoft.com/office/spreadsheetml/2017/richdata2" ref="B40:H49">
    <sortCondition descending="1" ref="H43:H49"/>
  </sortState>
  <tableColumns count="7">
    <tableColumn id="2" xr3:uid="{D1943946-4C0C-44F5-8439-1E438D504C35}" name="Ingrediente" dataDxfId="8127" totalsRowDxfId="8126"/>
    <tableColumn id="3" xr3:uid="{D1776872-EF65-4917-AC26-EE9A851ABE55}" name="Und" dataDxfId="8125" totalsRowDxfId="8124"/>
    <tableColumn id="4" xr3:uid="{F17F8756-07D9-489C-9A8A-7DBBCAB34D06}" name="Cant." dataDxfId="8123" totalsRowDxfId="8122"/>
    <tableColumn id="1" xr3:uid="{427F7B3D-EF7E-46A1-80BD-5AEBD2AD1451}" name="Columna1" dataDxfId="8121" totalsRowDxfId="8120"/>
    <tableColumn id="7" xr3:uid="{4F2A9232-50DA-434C-AB84-AEE163F9D311}" name="Columna2" dataDxfId="8119" totalsRowDxfId="8118"/>
    <tableColumn id="5" xr3:uid="{F7868151-75B8-42BC-81D4-EA93F3ECA82B}" name="Costo" dataDxfId="8117" totalsRowDxfId="8116" dataCellStyle="Moneda">
      <calculatedColumnFormula>+VLOOKUP(Tabla110345345445545647936374760[[#This Row],[Ingrediente]],Tabla34[#All],3,0)</calculatedColumnFormula>
    </tableColumn>
    <tableColumn id="6" xr3:uid="{B4278158-22DE-4B58-BD59-B7FF85C810AF}" name="Total costo" totalsRowFunction="sum" dataDxfId="8115" totalsRowDxfId="8114" dataCellStyle="Moneda">
      <calculatedColumnFormula>+Tabla110345345445545647936374760[[#This Row],[Costo]]*Tabla110345345445545647936374760[[#This Row],[Columna2]]</calculatedColumnFormula>
    </tableColumn>
  </tableColumns>
  <tableStyleInfo name="TableStyleLight8" showFirstColumn="0" showLastColumn="0" showRowStripes="1"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CFF81D45-AEDB-4738-A7CC-C8A0712246C3}" name="Tabla461487182" displayName="Tabla461487182" ref="M6:M10" totalsRowShown="0" headerRowDxfId="4193" dataDxfId="4192" tableBorderDxfId="4191">
  <autoFilter ref="M6:M10" xr:uid="{CFF81D45-AEDB-4738-A7CC-C8A0712246C3}"/>
  <tableColumns count="1">
    <tableColumn id="1" xr3:uid="{203C12BE-FACD-48AD-8187-D0B4CF36A074}" name="Preparacion" dataDxfId="4190"/>
  </tableColumns>
  <tableStyleInfo showFirstColumn="0" showLastColumn="0" showRowStripes="1"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0" xr:uid="{8E541F6C-0F5A-4EA0-9288-28610B7DBE99}" name="Tabla461487182381" displayName="Tabla461487182381" ref="M12:M16" totalsRowShown="0" headerRowDxfId="4189" dataDxfId="4188" tableBorderDxfId="4187">
  <autoFilter ref="M12:M16" xr:uid="{8E541F6C-0F5A-4EA0-9288-28610B7DBE99}"/>
  <tableColumns count="1">
    <tableColumn id="1" xr3:uid="{BB0BAA91-9474-4EA9-84F3-0FCD5A680221}" name="Emplatado" dataDxfId="4186"/>
  </tableColumns>
  <tableStyleInfo showFirstColumn="0" showLastColumn="0" showRowStripes="1"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6" xr:uid="{A9917F43-FF87-4C00-87AD-4AB50FF845DA}" name="Tabla461487182457" displayName="Tabla461487182457" ref="M24:M26" totalsRowShown="0" headerRowDxfId="4185" dataDxfId="4184" tableBorderDxfId="4183">
  <autoFilter ref="M24:M26" xr:uid="{A9917F43-FF87-4C00-87AD-4AB50FF845DA}"/>
  <tableColumns count="1">
    <tableColumn id="1" xr3:uid="{06F2D523-C5D1-434D-A7FB-A25ADAF2FC2F}" name="Preparacion" dataDxfId="4182"/>
  </tableColumns>
  <tableStyleInfo showFirstColumn="0" showLastColumn="0" showRowStripes="1"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0" xr:uid="{41C23EE6-CBCD-49C6-94BA-E029D14A8A5F}" name="Tabla461487182381461" displayName="Tabla461487182381461" ref="M28:M32" totalsRowShown="0" headerRowDxfId="4181" dataDxfId="4180" tableBorderDxfId="4179">
  <autoFilter ref="M28:M32" xr:uid="{41C23EE6-CBCD-49C6-94BA-E029D14A8A5F}"/>
  <tableColumns count="1">
    <tableColumn id="1" xr3:uid="{06DDCEDA-F15C-4A5C-BD4E-26D782F5BACC}" name="Emplatado" dataDxfId="4178"/>
  </tableColumns>
  <tableStyleInfo showFirstColumn="0" showLastColumn="0" showRowStripes="1"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1" xr:uid="{62BA4569-5371-41F1-891C-DF27F6583795}" name="Tabla461487182457462" displayName="Tabla461487182457462" ref="M38:M42" totalsRowShown="0" headerRowDxfId="4177" dataDxfId="4176" tableBorderDxfId="4175">
  <autoFilter ref="M38:M42" xr:uid="{62BA4569-5371-41F1-891C-DF27F6583795}"/>
  <tableColumns count="1">
    <tableColumn id="1" xr3:uid="{22CA2A81-E090-400E-9B2F-F7DDDC1C0DD6}" name="Preparacion" dataDxfId="4174"/>
  </tableColumns>
  <tableStyleInfo showFirstColumn="0" showLastColumn="0" showRowStripes="1"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5" xr:uid="{2B5B70CF-43BD-4CC2-87CE-79C7BF9B32CE}" name="Tabla461487182381461466" displayName="Tabla461487182381461466" ref="M44:M48" totalsRowShown="0" headerRowDxfId="4173" dataDxfId="4172" tableBorderDxfId="4171">
  <autoFilter ref="M44:M48" xr:uid="{2B5B70CF-43BD-4CC2-87CE-79C7BF9B32CE}"/>
  <tableColumns count="1">
    <tableColumn id="1" xr3:uid="{9329405D-EC26-4945-A911-7BDA0582FE77}" name="Emplatado" dataDxfId="4170"/>
  </tableColumns>
  <tableStyleInfo showFirstColumn="0" showLastColumn="0" showRowStripes="1"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E24D6A-940D-4437-B263-679AE371D044}" name="Tabla1103453454455456479" displayName="Tabla1103453454455456479" ref="B7:H13" totalsRowCount="1" headerRowDxfId="11183" dataDxfId="11181" totalsRowDxfId="11179" headerRowBorderDxfId="11182" tableBorderDxfId="11180" totalsRowBorderDxfId="11178">
  <autoFilter ref="B7:H12" xr:uid="{25E24D6A-940D-4437-B263-679AE371D044}"/>
  <sortState xmlns:xlrd2="http://schemas.microsoft.com/office/spreadsheetml/2017/richdata2" ref="B8:H12">
    <sortCondition descending="1" ref="H9:H12"/>
  </sortState>
  <tableColumns count="7">
    <tableColumn id="2" xr3:uid="{EE8549DB-2A61-4A0D-9925-A12DB91BD6B2}" name="Ingrediente" dataDxfId="11177" totalsRowDxfId="11176"/>
    <tableColumn id="3" xr3:uid="{2E0A8594-34DD-4838-A945-CF0626FD8410}" name="Und" dataDxfId="11175" totalsRowDxfId="11174"/>
    <tableColumn id="7" xr3:uid="{4E2E9AC3-1C7B-4E5E-8BEC-5072ADEB0BAD}" name="Unidades Netas" dataDxfId="11173" totalsRowDxfId="11172"/>
    <tableColumn id="1" xr3:uid="{A921796B-8A9D-4543-96E5-1637751F2306}" name="% Merma" dataDxfId="11171" totalsRowDxfId="11170"/>
    <tableColumn id="4" xr3:uid="{8A1CBFCF-579A-4119-A5AC-4A636097D11D}" name="Unidades" dataDxfId="11169" totalsRowDxfId="11168"/>
    <tableColumn id="5" xr3:uid="{DFCDC07D-EB7E-4D2F-9DF6-933951B5188B}" name="Costo" dataDxfId="11167" totalsRowDxfId="11166" dataCellStyle="Moneda">
      <calculatedColumnFormula>+VLOOKUP(Tabla1103453454455456479[[#This Row],[Ingrediente]],Tabla34[#All],3,0)</calculatedColumnFormula>
    </tableColumn>
    <tableColumn id="6" xr3:uid="{B08FB915-0933-4C7C-AC7F-168904C45DB3}" name="Total costo" totalsRowFunction="sum" dataDxfId="11165" totalsRowDxfId="11164" dataCellStyle="Moneda">
      <calculatedColumnFormula>+Tabla1103453454455456479[[#This Row],[Costo]]*Tabla1103453454455456479[[#This Row],[Unidades]]</calculatedColumnFormula>
    </tableColumn>
  </tableColumns>
  <tableStyleInfo name="TableStyleLight8" showFirstColumn="0" showLastColumn="0" showRowStripes="1" showColumnStripes="0"/>
</table>
</file>

<file path=xl/tables/table2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046284E-C2C1-4680-A383-F9B742CBF79C}" name="Tabla11034534544554564793637" displayName="Tabla11034534544554564793637" ref="B30:H46" totalsRowCount="1" headerRowDxfId="11163" dataDxfId="11161" totalsRowDxfId="11159" headerRowBorderDxfId="11162" tableBorderDxfId="11160" totalsRowBorderDxfId="11158">
  <autoFilter ref="B30:H45" xr:uid="{D046284E-C2C1-4680-A383-F9B742CBF79C}"/>
  <sortState xmlns:xlrd2="http://schemas.microsoft.com/office/spreadsheetml/2017/richdata2" ref="B31:H45">
    <sortCondition descending="1" ref="H34:H45"/>
  </sortState>
  <tableColumns count="7">
    <tableColumn id="2" xr3:uid="{19098835-A999-4CB4-82A1-C4A54852AA42}" name="Ingrediente" dataDxfId="11157" totalsRowDxfId="11156"/>
    <tableColumn id="3" xr3:uid="{ECF85316-FE16-4531-AF1B-81234C497404}" name="Und" dataDxfId="11155" totalsRowDxfId="11154"/>
    <tableColumn id="4" xr3:uid="{3B67F2DA-EDC8-4186-A2DB-025358A7CB85}" name="Unidades Netas" dataDxfId="11153" totalsRowDxfId="11152"/>
    <tableColumn id="1" xr3:uid="{0B01BF08-7647-42F4-B7E1-7387CDF9CB77}" name="% Merma" dataDxfId="11151" totalsRowDxfId="11150"/>
    <tableColumn id="7" xr3:uid="{50071C50-3E01-4AC9-AFA2-EFA02FF0C876}" name="Unidades" dataDxfId="11149" totalsRowDxfId="11148"/>
    <tableColumn id="5" xr3:uid="{50A24C14-DF6B-47FC-857B-00E6797F6B4E}" name="Costo" dataDxfId="11147" totalsRowDxfId="11146" dataCellStyle="Moneda">
      <calculatedColumnFormula>+VLOOKUP(Tabla11034534544554564793637[[#This Row],[Ingrediente]],Tabla34[#All],3,0)</calculatedColumnFormula>
    </tableColumn>
    <tableColumn id="6" xr3:uid="{5C38D83F-8E1D-4AA7-B3DA-A4016DD1A5BD}" name="Total costo" totalsRowFunction="sum" dataDxfId="11145" totalsRowDxfId="11144" dataCellStyle="Moneda">
      <calculatedColumnFormula>+Tabla11034534544554564793637[[#This Row],[Costo]]*Tabla11034534544554564793637[[#This Row],[Unidades]]</calculatedColumnFormula>
    </tableColumn>
  </tableColumns>
  <tableStyleInfo name="TableStyleLight8" showFirstColumn="0" showLastColumn="0" showRowStripes="1" showColumnStripes="0"/>
</table>
</file>

<file path=xl/tables/table2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36CCCC4-7A27-4243-8E76-2253568FF38F}" name="Tabla11034534544554564793638" displayName="Tabla11034534544554564793638" ref="B50:H64" totalsRowCount="1" headerRowDxfId="11143" dataDxfId="11141" totalsRowDxfId="11139" headerRowBorderDxfId="11142" tableBorderDxfId="11140" totalsRowBorderDxfId="11138">
  <autoFilter ref="B50:H63" xr:uid="{C36CCCC4-7A27-4243-8E76-2253568FF38F}"/>
  <sortState xmlns:xlrd2="http://schemas.microsoft.com/office/spreadsheetml/2017/richdata2" ref="B51:H63">
    <sortCondition descending="1" ref="H55:H63"/>
  </sortState>
  <tableColumns count="7">
    <tableColumn id="2" xr3:uid="{9E6098E8-2198-4FB6-8749-484198CF21D8}" name="Ingrediente" dataDxfId="11137" totalsRowDxfId="11136"/>
    <tableColumn id="3" xr3:uid="{09811359-D72A-4FDC-B8D3-92558D08B5EF}" name="Und" dataDxfId="11135" totalsRowDxfId="11134"/>
    <tableColumn id="4" xr3:uid="{867BA9D0-4DCD-4B1F-AC8F-1136D68F6082}" name="Unidades Netas" dataDxfId="11133" totalsRowDxfId="11132"/>
    <tableColumn id="1" xr3:uid="{043A2E05-EC4D-4BA4-80BB-BE0EF8408F34}" name="% Merma" dataDxfId="11131" totalsRowDxfId="11130"/>
    <tableColumn id="7" xr3:uid="{56012A14-6EFE-4A88-80C6-C5F0F28E038D}" name="Unidades" dataDxfId="11129" totalsRowDxfId="11128"/>
    <tableColumn id="5" xr3:uid="{EA535C05-1EE6-49D5-AE18-B52D48006D15}" name="Costo" dataDxfId="11127" totalsRowDxfId="11126" dataCellStyle="Moneda">
      <calculatedColumnFormula>+VLOOKUP(Tabla11034534544554564793638[[#This Row],[Ingrediente]],Tabla34[#All],3,0)</calculatedColumnFormula>
    </tableColumn>
    <tableColumn id="6" xr3:uid="{2FC4ACD5-9BD1-446A-B136-606F45D695A1}" name="Total costo" totalsRowFunction="sum" dataDxfId="11125" totalsRowDxfId="11124" dataCellStyle="Moneda">
      <calculatedColumnFormula>+Tabla11034534544554564793638[[#This Row],[Costo]]*Tabla11034534544554564793638[[#This Row],[Unidades]]</calculatedColumnFormula>
    </tableColumn>
  </tableColumns>
  <tableStyleInfo name="TableStyleLight8" showFirstColumn="0" showLastColumn="0" showRowStripes="1" showColumnStripes="0"/>
</table>
</file>

<file path=xl/tables/table2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62057E2-89CF-41E7-BB60-37ADC6497F01}" name="Tabla11034534544554564793639" displayName="Tabla11034534544554564793639" ref="B68:H85" totalsRowCount="1" headerRowDxfId="11123" dataDxfId="11121" totalsRowDxfId="11119" headerRowBorderDxfId="11122" tableBorderDxfId="11120" totalsRowBorderDxfId="11118">
  <autoFilter ref="B68:H84" xr:uid="{E62057E2-89CF-41E7-BB60-37ADC6497F01}"/>
  <sortState xmlns:xlrd2="http://schemas.microsoft.com/office/spreadsheetml/2017/richdata2" ref="B69:H84">
    <sortCondition descending="1" ref="H72:H84"/>
  </sortState>
  <tableColumns count="7">
    <tableColumn id="2" xr3:uid="{6C5BBF38-D624-4CD2-92D2-A33C74C896B4}" name="Ingrediente" dataDxfId="11117" totalsRowDxfId="11116"/>
    <tableColumn id="3" xr3:uid="{997BCCBE-4D15-46BF-ABFF-6F7DFF2275D7}" name="Und" dataDxfId="11115" totalsRowDxfId="11114"/>
    <tableColumn id="4" xr3:uid="{0F89007D-7242-49BA-9B1A-70AB08D93199}" name="Unidades Netas" dataDxfId="11113" totalsRowDxfId="11112"/>
    <tableColumn id="1" xr3:uid="{4E403502-822B-40E0-8FE7-F36B8EC8A6A0}" name="% Merma" dataDxfId="11111" totalsRowDxfId="11110"/>
    <tableColumn id="7" xr3:uid="{2B890C70-314D-4342-B85D-79F29846EAAF}" name="Unidades" dataDxfId="11109" totalsRowDxfId="11108"/>
    <tableColumn id="5" xr3:uid="{820AF5EE-BEAC-4F8A-91BF-1EC365024C4B}" name="Costo" dataDxfId="11107" totalsRowDxfId="11106" dataCellStyle="Moneda">
      <calculatedColumnFormula>+VLOOKUP(Tabla11034534544554564793639[[#This Row],[Ingrediente]],Tabla34[#All],3,0)</calculatedColumnFormula>
    </tableColumn>
    <tableColumn id="6" xr3:uid="{24FF8FE8-F1E4-49D5-88E3-A064C58C0E42}" name="Total costo" totalsRowFunction="sum" dataDxfId="11105" totalsRowDxfId="11104" dataCellStyle="Moneda">
      <calculatedColumnFormula>+Tabla11034534544554564793639[[#This Row],[Costo]]*Tabla11034534544554564793639[[#This Row],[Unidades]]</calculatedColumnFormula>
    </tableColumn>
  </tableColumns>
  <tableStyleInfo name="TableStyleLight8" showFirstColumn="0" showLastColumn="0" showRowStripes="1" showColumnStripes="0"/>
</table>
</file>

<file path=xl/tables/table2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9975DE-B647-4B8B-92CB-C56339E05411}" name="Tabla11034534544554564793640" displayName="Tabla11034534544554564793640" ref="B89:H100" totalsRowCount="1" headerRowDxfId="11103" dataDxfId="11101" totalsRowDxfId="11099" headerRowBorderDxfId="11102" tableBorderDxfId="11100" totalsRowBorderDxfId="11098">
  <autoFilter ref="B89:H99" xr:uid="{629975DE-B647-4B8B-92CB-C56339E05411}"/>
  <sortState xmlns:xlrd2="http://schemas.microsoft.com/office/spreadsheetml/2017/richdata2" ref="B90:H99">
    <sortCondition descending="1" ref="H90:H99"/>
  </sortState>
  <tableColumns count="7">
    <tableColumn id="2" xr3:uid="{79355851-37E3-49B2-ACD2-6A29AEED52DA}" name="Ingrediente" dataDxfId="11097" totalsRowDxfId="11096"/>
    <tableColumn id="3" xr3:uid="{E4F0BBB0-B1C3-4756-A1C5-36DFBE919101}" name="Und" dataDxfId="11095" totalsRowDxfId="11094"/>
    <tableColumn id="4" xr3:uid="{BFA9C79E-EB6B-48CD-9ECA-FCB45929808F}" name="Unidades Netas" dataDxfId="11093" totalsRowDxfId="11092"/>
    <tableColumn id="1" xr3:uid="{FE80AA65-47ED-4371-A2CC-5B35FECED389}" name="% Merma" dataDxfId="11091" totalsRowDxfId="11090"/>
    <tableColumn id="7" xr3:uid="{F9420255-52A5-4172-99ED-3DF86ADC210A}" name="Unidades" dataDxfId="11089" totalsRowDxfId="11088"/>
    <tableColumn id="5" xr3:uid="{F24CC5FF-1B31-405E-9C5E-36BBB9931318}" name="Costo" dataDxfId="11087" totalsRowDxfId="11086" dataCellStyle="Moneda">
      <calculatedColumnFormula>+VLOOKUP(Tabla11034534544554564793640[[#This Row],[Ingrediente]],Tabla34[#All],3,0)</calculatedColumnFormula>
    </tableColumn>
    <tableColumn id="6" xr3:uid="{6DE4FCC1-D9DA-44F4-A307-44DCBC297E1D}" name="Total costo" totalsRowFunction="sum" dataDxfId="11085" totalsRowDxfId="11084" dataCellStyle="Moneda">
      <calculatedColumnFormula>+Tabla11034534544554564793640[[#This Row],[Costo]]*Tabla11034534544554564793640[[#This Row],[Unidades]]</calculatedColumnFormula>
    </tableColumn>
  </tableColumns>
  <tableStyleInfo name="TableStyleLight8" showFirstColumn="0" showLastColumn="0" showRowStripes="1" showColumnStripes="0"/>
</table>
</file>

<file path=xl/tables/table2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C489715-9E0B-4E4C-B6B2-8303FD83957C}" name="Tabla11034534544554564793643" displayName="Tabla11034534544554564793643" ref="B104:H110" totalsRowCount="1" headerRowDxfId="11083" dataDxfId="11081" totalsRowDxfId="11079" headerRowBorderDxfId="11082" tableBorderDxfId="11080" totalsRowBorderDxfId="11078">
  <autoFilter ref="B104:H109" xr:uid="{4C489715-9E0B-4E4C-B6B2-8303FD83957C}"/>
  <sortState xmlns:xlrd2="http://schemas.microsoft.com/office/spreadsheetml/2017/richdata2" ref="B105:H109">
    <sortCondition descending="1" ref="H194:H210"/>
  </sortState>
  <tableColumns count="7">
    <tableColumn id="2" xr3:uid="{44DA3A3E-B4F6-40B5-A4CB-FE0C313A4E89}" name="Ingrediente" dataDxfId="11077" totalsRowDxfId="11076"/>
    <tableColumn id="3" xr3:uid="{5DBE7B89-CE81-47B7-B2D4-014ED3B26566}" name="Und" dataDxfId="11075" totalsRowDxfId="11074"/>
    <tableColumn id="4" xr3:uid="{40FB753E-77EF-45DD-B480-4DBA21A95009}" name="Unidades Netas" dataDxfId="11073" totalsRowDxfId="11072"/>
    <tableColumn id="1" xr3:uid="{84493221-82B9-4806-B454-458BE3E3291A}" name="% Merma" dataDxfId="11071" totalsRowDxfId="11070"/>
    <tableColumn id="7" xr3:uid="{B5060B6C-3C26-4E41-B599-C60EDCF416E7}" name="Unidades" dataDxfId="11069" totalsRowDxfId="11068"/>
    <tableColumn id="5" xr3:uid="{7115AB86-F5B9-48D9-8E55-22866726A789}" name="Costo" dataDxfId="11067" totalsRowDxfId="11066" dataCellStyle="Moneda">
      <calculatedColumnFormula>+VLOOKUP(Tabla11034534544554564793643[[#This Row],[Ingrediente]],Tabla34[#All],3,0)</calculatedColumnFormula>
    </tableColumn>
    <tableColumn id="6" xr3:uid="{8ECE94C6-9056-4D40-B167-42D9B9541D2B}" name="Total costo" totalsRowFunction="sum" dataDxfId="11065" totalsRowDxfId="11064" dataCellStyle="Moneda">
      <calculatedColumnFormula>+Tabla11034534544554564793643[[#This Row],[Costo]]*Tabla11034534544554564793643[[#This Row],[Unidades]]</calculatedColumnFormula>
    </tableColumn>
  </tableColumns>
  <tableStyleInfo name="TableStyleLight8" showFirstColumn="0" showLastColumn="0" showRowStripes="1" showColumnStripes="0"/>
</table>
</file>

<file path=xl/tables/table2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D50976C-78CC-40CF-B831-03996D1ED8D7}" name="Tabla11034534544554564793644" displayName="Tabla11034534544554564793644" ref="B116:H128" totalsRowCount="1" headerRowDxfId="11063" dataDxfId="11061" totalsRowDxfId="11059" headerRowBorderDxfId="11062" tableBorderDxfId="11060" totalsRowBorderDxfId="11058">
  <autoFilter ref="B116:H127" xr:uid="{1D50976C-78CC-40CF-B831-03996D1ED8D7}"/>
  <sortState xmlns:xlrd2="http://schemas.microsoft.com/office/spreadsheetml/2017/richdata2" ref="B117:H123">
    <sortCondition descending="1" ref="H198:H214"/>
  </sortState>
  <tableColumns count="7">
    <tableColumn id="2" xr3:uid="{2BEB08CC-1701-4DAF-89CA-186CC4B61BFB}" name="Ingrediente" dataDxfId="11057" totalsRowDxfId="11056"/>
    <tableColumn id="3" xr3:uid="{5778F253-5150-46B0-8AD0-553CFA058D61}" name="Und" dataDxfId="11055" totalsRowDxfId="11054"/>
    <tableColumn id="4" xr3:uid="{ED494624-34E6-4168-9F43-8DEDB06F3F4A}" name="Unidades Netas" dataDxfId="11053" totalsRowDxfId="11052"/>
    <tableColumn id="1" xr3:uid="{E6E8156C-B087-4300-A5CD-7F59C38BED34}" name="% Merma" dataDxfId="11051" totalsRowDxfId="11050"/>
    <tableColumn id="7" xr3:uid="{EA9811E3-6862-4C95-8B96-D932339E57FC}" name="Unidades" dataDxfId="11049" totalsRowDxfId="11048"/>
    <tableColumn id="5" xr3:uid="{BCD0FDCD-74BC-4B86-97ED-12B71E4E4BCB}" name="Costo" dataDxfId="11047" totalsRowDxfId="11046" dataCellStyle="Moneda">
      <calculatedColumnFormula>+VLOOKUP(Tabla11034534544554564793644[[#This Row],[Ingrediente]],Tabla34[#All],3,0)</calculatedColumnFormula>
    </tableColumn>
    <tableColumn id="6" xr3:uid="{95F59EE4-370A-40C7-B9C5-EA0568F197C8}" name="Total costo" totalsRowFunction="sum" dataDxfId="11045" totalsRowDxfId="11044" dataCellStyle="Moneda">
      <calculatedColumnFormula>+Tabla11034534544554564793644[[#This Row],[Costo]]*Tabla11034534544554564793644[[#This Row],[Unidades]]</calculatedColumnFormula>
    </tableColumn>
  </tableColumns>
  <tableStyleInfo name="TableStyleLight8" showFirstColumn="0" showLastColumn="0" showRowStripes="1" showColumnStripes="0"/>
</table>
</file>

<file path=xl/tables/table2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E686204-9DC5-4C7C-B2DA-B6F0160BBBB5}" name="Tabla1103453454455456479364654" displayName="Tabla1103453454455456479364654" ref="B18:H23" totalsRowCount="1" headerRowDxfId="11043" dataDxfId="11041" totalsRowDxfId="11039" headerRowBorderDxfId="11042" tableBorderDxfId="11040" totalsRowBorderDxfId="11038">
  <autoFilter ref="B18:H22" xr:uid="{9E686204-9DC5-4C7C-B2DA-B6F0160BBBB5}"/>
  <sortState xmlns:xlrd2="http://schemas.microsoft.com/office/spreadsheetml/2017/richdata2" ref="B19:H22">
    <sortCondition descending="1" ref="H19:H22"/>
  </sortState>
  <tableColumns count="7">
    <tableColumn id="2" xr3:uid="{779C7B0F-1E08-4B2C-9C90-04BBB6B7F574}" name="Ingrediente" dataDxfId="11037" totalsRowDxfId="11036"/>
    <tableColumn id="3" xr3:uid="{B187FA63-810E-4C50-929D-71F91B18EA45}" name="Und" dataDxfId="11035" totalsRowDxfId="11034"/>
    <tableColumn id="4" xr3:uid="{14271BEA-79A3-454F-87E1-5F53F382E45F}" name="Unidades Netas" dataDxfId="11033" totalsRowDxfId="11032"/>
    <tableColumn id="7" xr3:uid="{50B2FEEC-1E27-4AC8-812B-A86D5E385EBC}" name="% Merma" dataDxfId="11031" totalsRowDxfId="11030"/>
    <tableColumn id="1" xr3:uid="{24578829-2D3C-4669-B854-120FE428B409}" name="Unidades" dataDxfId="11029" totalsRowDxfId="11028"/>
    <tableColumn id="5" xr3:uid="{5A1DFB7B-4FD9-4ED3-9804-1B478223E308}" name="Costo" dataDxfId="11027" totalsRowDxfId="11026" dataCellStyle="Moneda">
      <calculatedColumnFormula>+VLOOKUP(Tabla1103453454455456479364654[[#This Row],[Ingrediente]],Tabla34[#All],3,0)</calculatedColumnFormula>
    </tableColumn>
    <tableColumn id="6" xr3:uid="{2D9550EB-5467-412A-9A58-C1D6A4ACD63D}" name="Total costo" totalsRowFunction="sum" dataDxfId="11025" totalsRowDxfId="11024" dataCellStyle="Moneda">
      <calculatedColumnFormula>+Tabla1103453454455456479364654[[#This Row],[Costo]]*Tabla1103453454455456479364654[[#This Row],[Unidades]]</calculatedColumnFormula>
    </tableColumn>
  </tableColumns>
  <tableStyleInfo name="TableStyleLight8" showFirstColumn="0" showLastColumn="0" showRowStripes="1" showColumnStripes="0"/>
</table>
</file>

<file path=xl/tables/table2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8821BEA-6FD4-4777-BF7D-E9F7BC613587}" name="Tabla1103453454455456479364418" displayName="Tabla1103453454455456479364418" ref="B132:H144" totalsRowCount="1" headerRowDxfId="11023" dataDxfId="11021" totalsRowDxfId="11019" headerRowBorderDxfId="11022" tableBorderDxfId="11020" totalsRowBorderDxfId="11018">
  <autoFilter ref="B132:H143" xr:uid="{D4F075A8-F479-46CF-A0A2-30C9C0C1EB0A}"/>
  <sortState xmlns:xlrd2="http://schemas.microsoft.com/office/spreadsheetml/2017/richdata2" ref="B133:H140">
    <sortCondition descending="1" ref="H194:H210"/>
  </sortState>
  <tableColumns count="7">
    <tableColumn id="2" xr3:uid="{BCEEDCFF-8754-49FE-92F2-B4BBFAA08D66}" name="Ingrediente" dataDxfId="11017" totalsRowDxfId="11016"/>
    <tableColumn id="3" xr3:uid="{8145A1A7-35F7-4BCF-BFFB-CDAD24ECFC11}" name="Und" dataDxfId="11015" totalsRowDxfId="11014"/>
    <tableColumn id="4" xr3:uid="{5DA05298-8DEC-4617-97DC-F066FD71721B}" name="Unidades Netas" dataDxfId="11013" totalsRowDxfId="11012"/>
    <tableColumn id="1" xr3:uid="{F263B8DF-C924-4EE2-8903-69B3B043DD2E}" name="% Merma" dataDxfId="11011" totalsRowDxfId="11010"/>
    <tableColumn id="7" xr3:uid="{D0428889-0237-4E8E-A65E-DDD0DE3FBCA2}" name="Unidades" dataDxfId="11009" totalsRowDxfId="11008"/>
    <tableColumn id="5" xr3:uid="{89FBF0F0-3356-488E-A97C-0F55AE61BBCA}" name="Costo" dataDxfId="11007" totalsRowDxfId="11006" dataCellStyle="Moneda">
      <calculatedColumnFormula>+VLOOKUP(Tabla1103453454455456479364418[[#This Row],[Ingrediente]],Tabla34[#All],3,0)</calculatedColumnFormula>
    </tableColumn>
    <tableColumn id="6" xr3:uid="{DD94D961-B601-4ECD-B834-DE3FC64258CD}" name="Total costo" totalsRowFunction="sum" dataDxfId="11005" totalsRowDxfId="11004" dataCellStyle="Moneda">
      <calculatedColumnFormula>+Tabla1103453454455456479364418[[#This Row],[Costo]]*Tabla1103453454455456479364418[[#This Row],[Unidades]]</calculatedColumnFormula>
    </tableColumn>
  </tableColumns>
  <tableStyleInfo name="TableStyleLight8" showFirstColumn="0" showLastColumn="0" showRowStripes="1" showColumnStripes="0"/>
</table>
</file>

<file path=xl/tables/table2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C7AB394-6A73-4679-900F-E58D50C010B1}" name="Tabla1103453454455456479364419" displayName="Tabla1103453454455456479364419" ref="B148:H156" totalsRowCount="1" headerRowDxfId="11003" dataDxfId="11001" totalsRowDxfId="10999" headerRowBorderDxfId="11002" tableBorderDxfId="11000" totalsRowBorderDxfId="10998">
  <autoFilter ref="B148:H155" xr:uid="{8F15FE2A-79E1-4483-BC43-FC8F086C9E8A}"/>
  <sortState xmlns:xlrd2="http://schemas.microsoft.com/office/spreadsheetml/2017/richdata2" ref="B149:H153">
    <sortCondition descending="1" ref="H190:H206"/>
  </sortState>
  <tableColumns count="7">
    <tableColumn id="2" xr3:uid="{1C67A884-B1BD-4375-9047-85942895C0BD}" name="Ingrediente" dataDxfId="10997" totalsRowDxfId="10996"/>
    <tableColumn id="3" xr3:uid="{BAF189E4-D93A-4D77-B423-C4B0CFA6837C}" name="Und" dataDxfId="10995" totalsRowDxfId="10994"/>
    <tableColumn id="4" xr3:uid="{38A9505C-677F-4582-9BAE-C424B90A6D2A}" name="Unidades Netas" dataDxfId="10993" totalsRowDxfId="10992"/>
    <tableColumn id="1" xr3:uid="{619688DA-8F46-4639-B6E6-4E5299678982}" name="% Merma" dataDxfId="10991" totalsRowDxfId="10990"/>
    <tableColumn id="7" xr3:uid="{746B06EA-5E36-47E8-A9CF-DC4BC1E724E7}" name="Unidades" dataDxfId="10989" totalsRowDxfId="10988"/>
    <tableColumn id="5" xr3:uid="{906C465E-9FF4-464B-B8C0-1277264355BC}" name="Costo" dataDxfId="10987" totalsRowDxfId="10986" dataCellStyle="Moneda">
      <calculatedColumnFormula>+VLOOKUP(Tabla1103453454455456479364419[[#This Row],[Ingrediente]],Tabla34[#All],3,0)</calculatedColumnFormula>
    </tableColumn>
    <tableColumn id="6" xr3:uid="{76E297D2-29D7-406C-B793-8FCBBFA619F6}" name="Total costo" totalsRowFunction="sum" dataDxfId="10985" totalsRowDxfId="10984" dataCellStyle="Moneda">
      <calculatedColumnFormula>+Tabla1103453454455456479364419[[#This Row],[Costo]]*Tabla1103453454455456479364419[[#This Row],[Unidades]]</calculatedColumnFormula>
    </tableColumn>
  </tableColumns>
  <tableStyleInfo name="TableStyleLight8" showFirstColumn="0" showLastColumn="0" showRowStripes="1" showColumnStripes="0"/>
</table>
</file>

<file path=xl/tables/table2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E42E39D-CDAE-4D52-B653-F44E719269FF}" name="Tabla1103453454455456479364420" displayName="Tabla1103453454455456479364420" ref="B160:H166" totalsRowCount="1" headerRowDxfId="10983" dataDxfId="10981" totalsRowDxfId="10979" headerRowBorderDxfId="10982" tableBorderDxfId="10980" totalsRowBorderDxfId="10978">
  <autoFilter ref="B160:H165" xr:uid="{ACC660EC-10EF-4784-B474-CEF568E0B0DC}"/>
  <sortState xmlns:xlrd2="http://schemas.microsoft.com/office/spreadsheetml/2017/richdata2" ref="B161:H165">
    <sortCondition descending="1" ref="H186:H202"/>
  </sortState>
  <tableColumns count="7">
    <tableColumn id="2" xr3:uid="{52F060D7-B321-40F7-A510-0EA3A664BEE0}" name="Ingrediente" dataDxfId="10977" totalsRowDxfId="10976"/>
    <tableColumn id="3" xr3:uid="{3D8C1B99-4431-45A1-A3F6-4A31A8FC1B56}" name="Und" dataDxfId="10975" totalsRowDxfId="10974"/>
    <tableColumn id="4" xr3:uid="{491631CB-474D-4849-8EBB-2DAEFFE45661}" name="Unidades Netas" dataDxfId="10973" totalsRowDxfId="10972"/>
    <tableColumn id="1" xr3:uid="{89E61684-4366-4736-92BD-9491A709A526}" name="% Merma" dataDxfId="10971" totalsRowDxfId="10970"/>
    <tableColumn id="7" xr3:uid="{1CA513C4-D29B-42D4-835B-8B4F9CE13790}" name="Unidades" dataDxfId="10969" totalsRowDxfId="10968"/>
    <tableColumn id="5" xr3:uid="{1498DDBA-887D-41E5-86FE-4CA8024377A7}" name="Costo" dataDxfId="10967" totalsRowDxfId="10966" dataCellStyle="Moneda">
      <calculatedColumnFormula>+VLOOKUP(Tabla1103453454455456479364420[[#This Row],[Ingrediente]],Tabla34[#All],3,0)</calculatedColumnFormula>
    </tableColumn>
    <tableColumn id="6" xr3:uid="{1A46C71E-CA45-4254-B878-EE1235B64810}" name="Total costo" totalsRowFunction="sum" dataDxfId="10965" totalsRowDxfId="10964" dataCellStyle="Moneda">
      <calculatedColumnFormula>+Tabla1103453454455456479364420[[#This Row],[Costo]]*Tabla1103453454455456479364420[[#This Row],[Unidades]]</calculatedColumnFormula>
    </tableColumn>
  </tableColumns>
  <tableStyleInfo name="TableStyleLight8" showFirstColumn="0" showLastColumn="0" showRowStripes="1" showColumnStripes="0"/>
</table>
</file>

<file path=xl/tables/table2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0A0B7D0-511F-4637-B333-8376C1D64BD7}" name="Tabla1103453454455456479364421" displayName="Tabla1103453454455456479364421" ref="B171:H185" totalsRowCount="1" headerRowDxfId="10963" dataDxfId="10961" totalsRowDxfId="10959" headerRowBorderDxfId="10962" tableBorderDxfId="10960" totalsRowBorderDxfId="10958">
  <autoFilter ref="B171:H184" xr:uid="{6237D89B-1F9B-415D-BE97-2BE49476E6F0}"/>
  <sortState xmlns:xlrd2="http://schemas.microsoft.com/office/spreadsheetml/2017/richdata2" ref="B172:H182">
    <sortCondition descending="1" ref="H172:H182"/>
  </sortState>
  <tableColumns count="7">
    <tableColumn id="2" xr3:uid="{6F94D557-9621-4B4A-8847-4DDFE84392FD}" name="Ingrediente" dataDxfId="10957" totalsRowDxfId="10956"/>
    <tableColumn id="3" xr3:uid="{53565F72-974E-4E24-95CD-6A6A0447017C}" name="Und" dataDxfId="10955" totalsRowDxfId="10954"/>
    <tableColumn id="4" xr3:uid="{7D343B73-DCE6-410B-9BB7-6BD59CDA112C}" name="Unidades Netas" dataDxfId="10953" totalsRowDxfId="10952"/>
    <tableColumn id="1" xr3:uid="{65A0881E-4090-4BA6-83AF-7CB068F3D809}" name="% Merma" dataDxfId="10951" totalsRowDxfId="10950"/>
    <tableColumn id="7" xr3:uid="{FB6D8A4E-AB2F-492D-9C6A-DFD745957C9F}" name="Unidades" dataDxfId="10949" totalsRowDxfId="10948"/>
    <tableColumn id="5" xr3:uid="{876072D2-59E1-4D1B-865A-8001B28665AE}" name="Costo" dataDxfId="10947" totalsRowDxfId="10946" dataCellStyle="Moneda">
      <calculatedColumnFormula>+VLOOKUP(Tabla1103453454455456479364421[[#This Row],[Ingrediente]],Tabla34[#All],3,0)</calculatedColumnFormula>
    </tableColumn>
    <tableColumn id="6" xr3:uid="{DFFE2004-4BFB-4385-8973-AEE7145031EC}" name="Total costo" totalsRowFunction="sum" dataDxfId="10945" totalsRowDxfId="10944" dataCellStyle="Moneda">
      <calculatedColumnFormula>+Tabla1103453454455456479364421[[#This Row],[Costo]]*Tabla1103453454455456479364421[[#This Row],[Unidades]]</calculatedColumnFormula>
    </tableColumn>
  </tableColumns>
  <tableStyleInfo name="TableStyleLight8" showFirstColumn="0" showLastColumn="0" showRowStripes="1" showColumnStripes="0"/>
</table>
</file>

<file path=xl/tables/table2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0809649-1CD0-4739-A617-AF775B4A85B7}" name="Tabla1103453454455456479364422" displayName="Tabla1103453454455456479364422" ref="B189:H202" totalsRowCount="1" headerRowDxfId="10943" dataDxfId="10941" totalsRowDxfId="10939" headerRowBorderDxfId="10942" tableBorderDxfId="10940" totalsRowBorderDxfId="10938">
  <autoFilter ref="B189:H201" xr:uid="{A12B62B3-50F3-495C-9AD1-66B2464F63B2}"/>
  <sortState xmlns:xlrd2="http://schemas.microsoft.com/office/spreadsheetml/2017/richdata2" ref="B190:H201">
    <sortCondition ref="B196:B201"/>
  </sortState>
  <tableColumns count="7">
    <tableColumn id="2" xr3:uid="{A08254ED-63ED-470A-AEB8-02214A8733D8}" name="Ingrediente" dataDxfId="10937" totalsRowDxfId="10936"/>
    <tableColumn id="3" xr3:uid="{C33F417F-4A0C-4D2D-9D8E-0789264BABDD}" name="Und" dataDxfId="10935" totalsRowDxfId="10934"/>
    <tableColumn id="4" xr3:uid="{9B17370D-A4F7-4366-A15A-CD92C1C8C7F3}" name="Unidades Netas" dataDxfId="10933" totalsRowDxfId="10932"/>
    <tableColumn id="1" xr3:uid="{A29A1805-DEFD-48F0-A261-ABD254B225BC}" name="% Merma" dataDxfId="10931" totalsRowDxfId="10930"/>
    <tableColumn id="7" xr3:uid="{D64D1E86-521E-4AF5-893D-48F703C25B6C}" name="Unidades" dataDxfId="10929" totalsRowDxfId="10928"/>
    <tableColumn id="5" xr3:uid="{18B21C0B-7285-4797-BA93-5B26D61518BB}" name="Costo" dataDxfId="10927" totalsRowDxfId="10926" dataCellStyle="Moneda">
      <calculatedColumnFormula>+VLOOKUP(Tabla1103453454455456479364422[[#This Row],[Ingrediente]],Tabla34[#All],3,0)</calculatedColumnFormula>
    </tableColumn>
    <tableColumn id="6" xr3:uid="{68E81E68-6D9D-49B4-A050-37BF236ECA41}" name="Total costo" totalsRowFunction="sum" dataDxfId="10925" totalsRowDxfId="10924" dataCellStyle="Moneda">
      <calculatedColumnFormula>+Tabla1103453454455456479364422[[#This Row],[Costo]]*Tabla1103453454455456479364422[[#This Row],[Unidades]]</calculatedColumnFormula>
    </tableColumn>
  </tableColumns>
  <tableStyleInfo name="TableStyleLight8" showFirstColumn="0" showLastColumn="0" showRowStripes="1" showColumnStripes="0"/>
</table>
</file>

<file path=xl/tables/table2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5101E82-9134-467F-94E2-8EF9A67C3CC0}" name="Tabla1103453454455456479364423" displayName="Tabla1103453454455456479364423" ref="B206:H217" totalsRowCount="1" headerRowDxfId="10923" dataDxfId="10921" totalsRowDxfId="10919" headerRowBorderDxfId="10922" tableBorderDxfId="10920" totalsRowBorderDxfId="10918">
  <autoFilter ref="B206:H216" xr:uid="{7C916A8D-ED39-4CF8-B132-5BD19D33A18D}"/>
  <sortState xmlns:xlrd2="http://schemas.microsoft.com/office/spreadsheetml/2017/richdata2" ref="B207:H216">
    <sortCondition ref="B208"/>
  </sortState>
  <tableColumns count="7">
    <tableColumn id="2" xr3:uid="{1BA3D403-EB8F-4F4D-A969-FEB4F2638C07}" name="Ingrediente" dataDxfId="10917" totalsRowDxfId="10916"/>
    <tableColumn id="3" xr3:uid="{DCB3B3B3-8A3A-4D55-8CD3-8CB6185ADACB}" name="Und" dataDxfId="10915" totalsRowDxfId="10914"/>
    <tableColumn id="4" xr3:uid="{EC0BD892-1BD7-4A6A-BBB6-338E3FF926A2}" name="Unidades Netas" dataDxfId="10913" totalsRowDxfId="10912"/>
    <tableColumn id="1" xr3:uid="{AC88EAC8-3914-4C8A-A538-43367F78449D}" name="% Merma" dataDxfId="10911" totalsRowDxfId="10910"/>
    <tableColumn id="7" xr3:uid="{E8E94934-17D2-41F7-A012-F5779673159A}" name="Unidades" dataDxfId="10909" totalsRowDxfId="10908"/>
    <tableColumn id="5" xr3:uid="{252622DE-46DB-4367-A9B5-E139E49B4251}" name="Costo" dataDxfId="10907" totalsRowDxfId="10906" dataCellStyle="Moneda">
      <calculatedColumnFormula>+VLOOKUP(Tabla1103453454455456479364423[[#This Row],[Ingrediente]],Tabla34[#All],3,0)</calculatedColumnFormula>
    </tableColumn>
    <tableColumn id="6" xr3:uid="{A3FFA21D-296B-48CC-B0C1-3158F3193B6E}" name="Total costo" totalsRowFunction="sum" dataDxfId="10905" totalsRowDxfId="10904" dataCellStyle="Moneda">
      <calculatedColumnFormula>+Tabla1103453454455456479364423[[#This Row],[Costo]]*Tabla1103453454455456479364423[[#This Row],[Unidades]]</calculatedColumnFormula>
    </tableColumn>
  </tableColumns>
  <tableStyleInfo name="TableStyleLight8" showFirstColumn="0" showLastColumn="0" showRowStripes="1" showColumnStripes="0"/>
</table>
</file>

<file path=xl/tables/table2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7C844B2-9C2E-4315-998A-E35B89450785}" name="Tabla110345345445545647936442371" displayName="Tabla110345345445545647936442371" ref="B220:H231" totalsRowCount="1" headerRowDxfId="10903" dataDxfId="10901" totalsRowDxfId="10899" headerRowBorderDxfId="10902" tableBorderDxfId="10900" totalsRowBorderDxfId="10898">
  <autoFilter ref="B220:H230" xr:uid="{FFC6031B-EEA3-483B-A448-A74FED1CB158}"/>
  <sortState xmlns:xlrd2="http://schemas.microsoft.com/office/spreadsheetml/2017/richdata2" ref="B221:H230">
    <sortCondition descending="1" ref="H223:H230"/>
  </sortState>
  <tableColumns count="7">
    <tableColumn id="2" xr3:uid="{F47050FE-8DB7-411E-9AEA-FEADE3DAF84C}" name="Ingrediente" dataDxfId="10897" totalsRowDxfId="10896"/>
    <tableColumn id="3" xr3:uid="{53D69DEB-61AE-4D34-BD26-554A1F537497}" name="Und" dataDxfId="10895" totalsRowDxfId="10894"/>
    <tableColumn id="4" xr3:uid="{33CA9B14-3468-44B7-9A22-EA6992D51DAE}" name="Unidades Netas" dataDxfId="10893" totalsRowDxfId="10892"/>
    <tableColumn id="1" xr3:uid="{28680005-BF2F-4BF2-8C17-2D80E97CDE68}" name="% Merma" dataDxfId="10891" totalsRowDxfId="10890"/>
    <tableColumn id="7" xr3:uid="{016FDC85-F16E-4E23-867C-5D80E47803D3}" name="Unidades" dataDxfId="10889" totalsRowDxfId="10888"/>
    <tableColumn id="5" xr3:uid="{E4FB60E2-74DD-4251-8EB6-624BAEB7B6A9}" name="Costo" dataDxfId="10887" totalsRowDxfId="10886" dataCellStyle="Moneda">
      <calculatedColumnFormula>+VLOOKUP(Tabla110345345445545647936442371[[#This Row],[Ingrediente]],Tabla34[#All],3,0)</calculatedColumnFormula>
    </tableColumn>
    <tableColumn id="6" xr3:uid="{6D25527E-7CDF-462F-8EBD-7159B946583E}" name="Total costo" totalsRowFunction="sum" dataDxfId="10885" totalsRowDxfId="10884" dataCellStyle="Moneda">
      <calculatedColumnFormula>+Tabla110345345445545647936442371[[#This Row],[Costo]]*Tabla110345345445545647936442371[[#This Row],[Unidades]]</calculatedColumnFormula>
    </tableColumn>
  </tableColumns>
  <tableStyleInfo name="TableStyleLight8" showFirstColumn="0" showLastColumn="0" showRowStripes="1" showColumnStripes="0"/>
</table>
</file>

<file path=xl/tables/table2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AF493B5-D93E-4D72-ACA4-B14077458EFD}" name="Tabla11034534544554564793644237172" displayName="Tabla11034534544554564793644237172" ref="B234:H247" totalsRowCount="1" headerRowDxfId="10883" dataDxfId="10881" totalsRowDxfId="10879" headerRowBorderDxfId="10882" tableBorderDxfId="10880" totalsRowBorderDxfId="10878">
  <autoFilter ref="B234:H246" xr:uid="{B7E42036-9F6B-49D5-8ACE-9A44AC1A0426}"/>
  <sortState xmlns:xlrd2="http://schemas.microsoft.com/office/spreadsheetml/2017/richdata2" ref="B235:H246">
    <sortCondition ref="B242"/>
  </sortState>
  <tableColumns count="7">
    <tableColumn id="2" xr3:uid="{101E2D9C-1F59-408A-ACE9-80C3C3F45474}" name="Ingrediente" dataDxfId="10877" totalsRowDxfId="10876"/>
    <tableColumn id="3" xr3:uid="{538B404D-30C4-473B-AA6D-E6EA5E7C2CCE}" name="Und" dataDxfId="10875" totalsRowDxfId="10874"/>
    <tableColumn id="4" xr3:uid="{8B9AEFAC-3664-47FF-8B6B-704BD2367530}" name="Cant." dataDxfId="10873" totalsRowDxfId="10872"/>
    <tableColumn id="1" xr3:uid="{4500B457-D1AD-458A-A704-1F9470A58DA2}" name="Columna1" dataDxfId="10871" totalsRowDxfId="10870"/>
    <tableColumn id="7" xr3:uid="{CD1E46E3-AA1A-4FFC-B772-93A557846835}" name="Columna2" dataDxfId="10869" totalsRowDxfId="10868"/>
    <tableColumn id="5" xr3:uid="{A1CEF4DA-687E-4130-B75D-78BE3D2D04DB}" name="Costo" dataDxfId="10867" totalsRowDxfId="10866" dataCellStyle="Moneda">
      <calculatedColumnFormula>+VLOOKUP(Tabla11034534544554564793644237172[[#This Row],[Ingrediente]],Tabla34[#All],3,0)</calculatedColumnFormula>
    </tableColumn>
    <tableColumn id="6" xr3:uid="{7DDA3653-3226-45EB-A9B6-3C7DAF9444AB}" name="Total costo" totalsRowFunction="sum" dataDxfId="10865" totalsRowDxfId="10864" dataCellStyle="Moneda">
      <calculatedColumnFormula>+Tabla11034534544554564793644237172[[#This Row],[Costo]]*Tabla11034534544554564793644237172[[#This Row],[Cant.]]</calculatedColumnFormula>
    </tableColumn>
  </tableColumns>
  <tableStyleInfo name="TableStyleLight8" showFirstColumn="0" showLastColumn="0" showRowStripes="1" showColumnStripes="0"/>
</table>
</file>

<file path=xl/tables/table2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9CE0D0F8-E043-4E57-BB2E-DC443419BFF9}" name="Tabla110345345445545647945586877869510811712713622823724627233260269297315316348494493498503310" displayName="Tabla110345345445545647945586877869510811712713622823724627233260269297315316348494493498503310" ref="B252:H269" totalsRowCount="1" headerRowDxfId="10863" dataDxfId="10861" totalsRowDxfId="10859" headerRowBorderDxfId="10862" tableBorderDxfId="10860" totalsRowBorderDxfId="10858">
  <autoFilter ref="B252:H268" xr:uid="{9CE0D0F8-E043-4E57-BB2E-DC443419BFF9}"/>
  <sortState xmlns:xlrd2="http://schemas.microsoft.com/office/spreadsheetml/2017/richdata2" ref="B253:H268">
    <sortCondition descending="1" ref="H71:H85"/>
  </sortState>
  <tableColumns count="7">
    <tableColumn id="2" xr3:uid="{A7158F98-5F4D-4A31-851F-6AEA44AF1BDF}" name="Ingrediente" dataDxfId="10857" totalsRowDxfId="10856"/>
    <tableColumn id="3" xr3:uid="{4536E77B-6C5E-40A5-98F7-D2AECA4EC775}" name="Und" dataDxfId="10855" totalsRowDxfId="10854"/>
    <tableColumn id="4" xr3:uid="{617C9FA6-C998-4F57-A9C4-673B7F7DA1E8}" name="Cant." dataDxfId="10853" totalsRowDxfId="10852"/>
    <tableColumn id="1" xr3:uid="{C35F9BC1-EE68-4600-A358-ADE76377EF1B}" name="Columna1" dataDxfId="10851" totalsRowDxfId="10850"/>
    <tableColumn id="7" xr3:uid="{A519D630-C15F-4AD7-B826-62EE820DEFDF}" name="Columna2" dataDxfId="10849" totalsRowDxfId="10848"/>
    <tableColumn id="5" xr3:uid="{3E2F3219-104E-4A1E-B9BB-20418E28C2D6}" name="Costo" dataDxfId="10847" totalsRowDxfId="10846" dataCellStyle="Moneda">
      <calculatedColumnFormula>+VLOOKUP(Tabla110345345445545647945586877869510811712713622823724627233260269297315316348494493498503310[[#This Row],[Ingrediente]],Tabla34[#All],3,0)</calculatedColumnFormula>
    </tableColumn>
    <tableColumn id="6" xr3:uid="{0EFC8B9A-B2CE-4463-ACA8-8E7B942716CE}" name="Total costo" totalsRowFunction="sum" dataDxfId="10845" totalsRowDxfId="10844" dataCellStyle="Moneda">
      <calculatedColumnFormula>+Tabla110345345445545647945586877869510811712713622823724627233260269297315316348494493498503310[[#This Row],[Costo]]*Tabla110345345445545647945586877869510811712713622823724627233260269297315316348494493498503310[[#This Row],[Columna2]]</calculatedColumnFormula>
    </tableColumn>
  </tableColumns>
  <tableStyleInfo name="TableStyleLight8" showFirstColumn="0" showLastColumn="0" showRowStripes="1" showColumnStripes="0"/>
</table>
</file>

<file path=xl/tables/table2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7" xr:uid="{1A2E458E-7415-4E2E-AB6C-9E2005D3FCC2}" name="Tabla461487182457468" displayName="Tabla461487182457468" ref="M6:M8" totalsRowShown="0" headerRowDxfId="4169" dataDxfId="4168" tableBorderDxfId="4167">
  <autoFilter ref="M6:M8" xr:uid="{1A2E458E-7415-4E2E-AB6C-9E2005D3FCC2}"/>
  <tableColumns count="1">
    <tableColumn id="1" xr3:uid="{0539100F-ACEC-4325-A6C1-E2E26A017332}" name="Preparacion" dataDxfId="4166"/>
  </tableColumns>
  <tableStyleInfo showFirstColumn="0" showLastColumn="0" showRowStripes="1" showColumnStripes="0"/>
</table>
</file>

<file path=xl/tables/table3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1" xr:uid="{CD968AF4-FE45-481C-AD1D-AB1612BEB779}" name="Tabla461487182381461472" displayName="Tabla461487182381461472" ref="M10:M14" totalsRowShown="0" headerRowDxfId="4165" dataDxfId="4164" tableBorderDxfId="4163">
  <autoFilter ref="M10:M14" xr:uid="{CD968AF4-FE45-481C-AD1D-AB1612BEB779}"/>
  <tableColumns count="1">
    <tableColumn id="1" xr3:uid="{0334F01E-CC35-40BC-ABF1-432FD8750BD8}" name="Emplatado" dataDxfId="4162"/>
  </tableColumns>
  <tableStyleInfo showFirstColumn="0" showLastColumn="0" showRowStripes="1" showColumnStripes="0"/>
</table>
</file>

<file path=xl/tables/table3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2" xr:uid="{B6EC7903-B0AC-4951-BEFE-1484FABF1C62}" name="Tabla461487182457473" displayName="Tabla461487182457473" ref="M17:M19" totalsRowShown="0" headerRowDxfId="4161" dataDxfId="4160" tableBorderDxfId="4159">
  <autoFilter ref="M17:M19" xr:uid="{B6EC7903-B0AC-4951-BEFE-1484FABF1C62}"/>
  <tableColumns count="1">
    <tableColumn id="1" xr3:uid="{E570DDF5-0E04-40C0-B1CB-E4EC29333E3F}" name="Preparacion" dataDxfId="4158"/>
  </tableColumns>
  <tableStyleInfo showFirstColumn="0" showLastColumn="0" showRowStripes="1" showColumnStripes="0"/>
</table>
</file>

<file path=xl/tables/table3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3" xr:uid="{1A62F38C-2D42-48A2-B5BC-3B49DBD62946}" name="Tabla461487182381461474" displayName="Tabla461487182381461474" ref="M21:M24" totalsRowShown="0" headerRowDxfId="4157" dataDxfId="4156" tableBorderDxfId="4155">
  <autoFilter ref="M21:M24" xr:uid="{1A62F38C-2D42-48A2-B5BC-3B49DBD62946}"/>
  <tableColumns count="1">
    <tableColumn id="1" xr3:uid="{493765F0-A72A-410E-A724-E16A111CAF19}" name="Emplatado" dataDxfId="4154"/>
  </tableColumns>
  <tableStyleInfo showFirstColumn="0" showLastColumn="0" showRowStripes="1" showColumnStripes="0"/>
</table>
</file>

<file path=xl/tables/table3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6" xr:uid="{F6A190D1-7DB1-4066-94B7-97751A57ED63}" name="Tabla461487182457473477" displayName="Tabla461487182457473477" ref="M29:M33" totalsRowShown="0" headerRowDxfId="4153" dataDxfId="4152" tableBorderDxfId="4151">
  <autoFilter ref="M29:M33" xr:uid="{F6A190D1-7DB1-4066-94B7-97751A57ED63}"/>
  <tableColumns count="1">
    <tableColumn id="1" xr3:uid="{41196ED5-057A-4C1F-AA41-0C5009654357}" name="Preparacion" dataDxfId="4150"/>
  </tableColumns>
  <tableStyleInfo showFirstColumn="0" showLastColumn="0" showRowStripes="1" showColumnStripes="0"/>
</table>
</file>

<file path=xl/tables/table3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2" xr:uid="{30F8C9B0-CF85-4A9A-9491-F4F037B83F76}" name="Tabla461487182381461474483" displayName="Tabla461487182381461474483" ref="M35:M38" totalsRowShown="0" headerRowDxfId="4149" dataDxfId="4148" tableBorderDxfId="4147">
  <autoFilter ref="M35:M38" xr:uid="{30F8C9B0-CF85-4A9A-9491-F4F037B83F76}"/>
  <tableColumns count="1">
    <tableColumn id="1" xr3:uid="{3629C6BC-1F2B-491E-9B65-15FA25D054CF}" name="Emplatado" dataDxfId="4146"/>
  </tableColumns>
  <tableStyleInfo showFirstColumn="0" showLastColumn="0" showRowStripes="1" showColumnStripes="0"/>
</table>
</file>

<file path=xl/tables/table3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5" xr:uid="{0EB367E5-91F5-4B70-B1A8-DA0E8B643350}" name="Tabla461487182457473486" displayName="Tabla461487182457473486" ref="M49:M54" totalsRowShown="0" headerRowDxfId="4145" dataDxfId="4144" tableBorderDxfId="4143">
  <autoFilter ref="M49:M54" xr:uid="{0EB367E5-91F5-4B70-B1A8-DA0E8B643350}"/>
  <tableColumns count="1">
    <tableColumn id="1" xr3:uid="{40D788CB-0548-4006-B9A1-668436682C03}" name="Preparacion" dataDxfId="4142"/>
  </tableColumns>
  <tableStyleInfo showFirstColumn="0" showLastColumn="0" showRowStripes="1" showColumnStripes="0"/>
</table>
</file>

<file path=xl/tables/table3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6" xr:uid="{0B8F6EE6-CE4B-4D11-8561-4115D2E9552E}" name="Tabla461487182381461474487" displayName="Tabla461487182381461474487" ref="M56:M59" totalsRowShown="0" headerRowDxfId="4141" dataDxfId="4140" tableBorderDxfId="4139">
  <autoFilter ref="M56:M59" xr:uid="{0B8F6EE6-CE4B-4D11-8561-4115D2E9552E}"/>
  <tableColumns count="1">
    <tableColumn id="1" xr3:uid="{7DA46EA1-A4EE-47D2-BA93-B14A7B788B7B}" name="Emplatado" dataDxfId="4138"/>
  </tableColumns>
  <tableStyleInfo showFirstColumn="0" showLastColumn="0" showRowStripes="1" showColumnStripes="0"/>
</table>
</file>

<file path=xl/tables/table3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7" xr:uid="{F4960E92-F326-460D-87C3-1A8114836027}" name="Tabla461487182457473488" displayName="Tabla461487182457473488" ref="M67:M71" totalsRowShown="0" headerRowDxfId="4137" dataDxfId="4136" tableBorderDxfId="4135">
  <autoFilter ref="M67:M71" xr:uid="{F4960E92-F326-460D-87C3-1A8114836027}"/>
  <tableColumns count="1">
    <tableColumn id="1" xr3:uid="{A75D6851-1075-4173-B647-A7D0629E578F}" name="Preparacion" dataDxfId="4134"/>
  </tableColumns>
  <tableStyleInfo showFirstColumn="0" showLastColumn="0" showRowStripes="1" showColumnStripes="0"/>
</table>
</file>

<file path=xl/tables/table3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1" xr:uid="{3FCDD9F4-609C-4545-AAB8-9B4761AFB518}" name="Tabla461487182381461474532" displayName="Tabla461487182381461474532" ref="M73:M78" totalsRowShown="0" headerRowDxfId="4133" dataDxfId="4132" tableBorderDxfId="4131">
  <autoFilter ref="M73:M78" xr:uid="{3FCDD9F4-609C-4545-AAB8-9B4761AFB518}"/>
  <tableColumns count="1">
    <tableColumn id="1" xr3:uid="{5F78DEC1-8512-47CF-9549-01C61542D744}" name="Emplatado" dataDxfId="4130"/>
  </tableColumns>
  <tableStyleInfo showFirstColumn="0" showLastColumn="0" showRowStripes="1" showColumnStripes="0"/>
</table>
</file>

<file path=xl/tables/table3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3" xr:uid="{97D919F6-4B53-453E-A70B-F71DC9BCE1E0}" name="Tabla461487182457473534" displayName="Tabla461487182457473534" ref="M88:M90" totalsRowShown="0" headerRowDxfId="4129" dataDxfId="4128" tableBorderDxfId="4127">
  <autoFilter ref="M88:M90" xr:uid="{97D919F6-4B53-453E-A70B-F71DC9BCE1E0}"/>
  <tableColumns count="1">
    <tableColumn id="1" xr3:uid="{437AB309-F62A-4D58-B930-9DABF53C0DF9}" name="Preparacion" dataDxfId="4126"/>
  </tableColumns>
  <tableStyleInfo showFirstColumn="0" showLastColumn="0" showRowStripes="1" showColumnStripes="0"/>
</table>
</file>

<file path=xl/tables/table3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4" xr:uid="{6AAC7A94-FC2A-4F14-B48C-240821265536}" name="Tabla461487182381461474535" displayName="Tabla461487182381461474535" ref="M92:M95" totalsRowShown="0" headerRowDxfId="4125" dataDxfId="4124" tableBorderDxfId="4123">
  <autoFilter ref="M92:M95" xr:uid="{6AAC7A94-FC2A-4F14-B48C-240821265536}"/>
  <tableColumns count="1">
    <tableColumn id="1" xr3:uid="{592D8323-A4BE-49EE-ACB0-58C11C23F0C5}" name="Emplatado" dataDxfId="4122"/>
  </tableColumns>
  <tableStyleInfo showFirstColumn="0" showLastColumn="0" showRowStripes="1" showColumnStripes="0"/>
</table>
</file>

<file path=xl/tables/table3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5" xr:uid="{D05156AC-5955-47A7-B594-9AD80F1403A2}" name="Tabla461487182457473536" displayName="Tabla461487182457473536" ref="M103:M106" totalsRowShown="0" headerRowDxfId="4121" dataDxfId="4120" tableBorderDxfId="4119">
  <autoFilter ref="M103:M106" xr:uid="{D05156AC-5955-47A7-B594-9AD80F1403A2}"/>
  <tableColumns count="1">
    <tableColumn id="1" xr3:uid="{D536940F-34F0-4799-AB12-348253184441}" name="Preparacion" dataDxfId="4118"/>
  </tableColumns>
  <tableStyleInfo showFirstColumn="0" showLastColumn="0" showRowStripes="1" showColumnStripes="0"/>
</table>
</file>

<file path=xl/tables/table3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6" xr:uid="{E7CE1B20-E198-4564-89BD-FBBF0C073D1E}" name="Tabla461487182381461474537" displayName="Tabla461487182381461474537" ref="M108:M110" totalsRowShown="0" headerRowDxfId="4117" dataDxfId="4116" tableBorderDxfId="4115">
  <autoFilter ref="M108:M110" xr:uid="{E7CE1B20-E198-4564-89BD-FBBF0C073D1E}"/>
  <tableColumns count="1">
    <tableColumn id="1" xr3:uid="{6CC65D07-9C71-4207-AD04-06AFFEF011D9}" name="Emplatado" dataDxfId="4114"/>
  </tableColumns>
  <tableStyleInfo showFirstColumn="0" showLastColumn="0" showRowStripes="1" showColumnStripes="0"/>
</table>
</file>

<file path=xl/tables/table3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7" xr:uid="{D6C425EC-521B-4BD4-890A-9981E1695B6A}" name="Tabla461487182457473536538" displayName="Tabla461487182457473536538" ref="M115:M117" totalsRowShown="0" headerRowDxfId="4113" dataDxfId="4112" tableBorderDxfId="4111">
  <autoFilter ref="M115:M117" xr:uid="{D6C425EC-521B-4BD4-890A-9981E1695B6A}"/>
  <tableColumns count="1">
    <tableColumn id="1" xr3:uid="{B3ED992F-EC1B-4CC5-AAE9-0C3D49A5D56D}" name="Preparacion" dataDxfId="4110"/>
  </tableColumns>
  <tableStyleInfo showFirstColumn="0" showLastColumn="0" showRowStripes="1" showColumnStripes="0"/>
</table>
</file>

<file path=xl/tables/table3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8" xr:uid="{469A9D9C-D1E0-45D3-9F69-0B14D4C8E61F}" name="Tabla461487182381461474537539" displayName="Tabla461487182381461474537539" ref="M119:M122" totalsRowShown="0" headerRowDxfId="4109" dataDxfId="4108" tableBorderDxfId="4107">
  <autoFilter ref="M119:M122" xr:uid="{469A9D9C-D1E0-45D3-9F69-0B14D4C8E61F}"/>
  <tableColumns count="1">
    <tableColumn id="1" xr3:uid="{A264DC0B-DB5A-4DCD-AA02-5BABB68EEC04}" name="Emplatado" dataDxfId="4106"/>
  </tableColumns>
  <tableStyleInfo showFirstColumn="0" showLastColumn="0" showRowStripes="1" showColumnStripes="0"/>
</table>
</file>

<file path=xl/tables/table3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9" xr:uid="{48D25D9D-C2A9-42E3-9597-11A3CB668B43}" name="Tabla461487182457473536540" displayName="Tabla461487182457473536540" ref="M131:M132" totalsRowShown="0" headerRowDxfId="4105" dataDxfId="4104" tableBorderDxfId="4103">
  <autoFilter ref="M131:M132" xr:uid="{48D25D9D-C2A9-42E3-9597-11A3CB668B43}"/>
  <tableColumns count="1">
    <tableColumn id="1" xr3:uid="{1A294377-26A8-4A01-9E03-4159EAA4047D}" name="Preparacion" dataDxfId="4102"/>
  </tableColumns>
  <tableStyleInfo showFirstColumn="0" showLastColumn="0" showRowStripes="1" showColumnStripes="0"/>
</table>
</file>

<file path=xl/tables/table3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0" xr:uid="{6312E936-0638-4B10-9DED-BFA40C69C2BD}" name="Tabla461487182381461474537541" displayName="Tabla461487182381461474537541" ref="M134:M135" totalsRowShown="0" headerRowDxfId="4101" dataDxfId="4100" tableBorderDxfId="4099">
  <autoFilter ref="M134:M135" xr:uid="{6312E936-0638-4B10-9DED-BFA40C69C2BD}"/>
  <tableColumns count="1">
    <tableColumn id="1" xr3:uid="{09B0D7AB-7665-42FC-B4CC-8D196735EFAB}" name="Emplatado" dataDxfId="4098"/>
  </tableColumns>
  <tableStyleInfo showFirstColumn="0" showLastColumn="0" showRowStripes="1" showColumnStripes="0"/>
</table>
</file>

<file path=xl/tables/table3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7" xr:uid="{E925E745-AFF3-47EA-840E-8C5E357B05E5}" name="Tabla461487182457473536540568" displayName="Tabla461487182457473536540568" ref="M147:M148" totalsRowShown="0" headerRowDxfId="4061" dataDxfId="4060" tableBorderDxfId="4059">
  <autoFilter ref="M147:M148" xr:uid="{E925E745-AFF3-47EA-840E-8C5E357B05E5}"/>
  <tableColumns count="1">
    <tableColumn id="1" xr3:uid="{CE20CF81-ABD6-487B-ACA6-6B65511A1DBB}" name="Preparacion" dataDxfId="4058"/>
  </tableColumns>
  <tableStyleInfo showFirstColumn="0" showLastColumn="0" showRowStripes="1" showColumnStripes="0"/>
</table>
</file>

<file path=xl/tables/table3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8" xr:uid="{4CC79F6A-4315-4544-8681-CEF12C5BE10C}" name="Tabla461487182381461474537541569" displayName="Tabla461487182381461474537541569" ref="M150:M151" totalsRowShown="0" headerRowDxfId="4057" dataDxfId="4056" tableBorderDxfId="4055">
  <autoFilter ref="M150:M151" xr:uid="{4CC79F6A-4315-4544-8681-CEF12C5BE10C}"/>
  <tableColumns count="1">
    <tableColumn id="1" xr3:uid="{C84AFFD4-8233-484E-9525-16B91C5E3A8F}" name="Emplatado" dataDxfId="4054"/>
  </tableColumns>
  <tableStyleInfo showFirstColumn="0" showLastColumn="0" showRowStripes="1" showColumnStripes="0"/>
</table>
</file>

<file path=xl/tables/table3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9" xr:uid="{EB34FCFF-EFB1-4155-92A2-3763A59AA715}" name="Tabla461487182457473536540570" displayName="Tabla461487182457473536540570" ref="M159:M160" totalsRowShown="0" headerRowDxfId="4053" dataDxfId="4052" tableBorderDxfId="4051">
  <autoFilter ref="M159:M160" xr:uid="{EB34FCFF-EFB1-4155-92A2-3763A59AA715}"/>
  <tableColumns count="1">
    <tableColumn id="1" xr3:uid="{D154B360-3624-4F6D-880A-656CDDF3ACCC}" name="Preparacion" dataDxfId="4050"/>
  </tableColumns>
  <tableStyleInfo showFirstColumn="0" showLastColumn="0" showRowStripes="1" showColumnStripes="0"/>
</table>
</file>

<file path=xl/tables/table3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0" xr:uid="{058D2C59-93BD-4465-BB96-33EBAB73E26E}" name="Tabla461487182381461474537541571" displayName="Tabla461487182381461474537541571" ref="M162:M163" totalsRowShown="0" headerRowDxfId="4049" dataDxfId="4048" tableBorderDxfId="4047">
  <autoFilter ref="M162:M163" xr:uid="{058D2C59-93BD-4465-BB96-33EBAB73E26E}"/>
  <tableColumns count="1">
    <tableColumn id="1" xr3:uid="{8FA16530-C24B-4BD0-AB14-B8F892EDF247}" name="Emplatado" dataDxfId="4046"/>
  </tableColumns>
  <tableStyleInfo showFirstColumn="0" showLastColumn="0" showRowStripes="1" showColumnStripes="0"/>
</table>
</file>

<file path=xl/tables/table3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1" xr:uid="{DA4F5D53-0B16-4283-BEC3-7927D9662996}" name="Tabla461487182457473536540572" displayName="Tabla461487182457473536540572" ref="M171:M174" totalsRowShown="0" headerRowDxfId="4045" dataDxfId="4044" tableBorderDxfId="4043">
  <autoFilter ref="M171:M174" xr:uid="{DA4F5D53-0B16-4283-BEC3-7927D9662996}"/>
  <tableColumns count="1">
    <tableColumn id="1" xr3:uid="{4DAFDBC6-D140-4DB0-BE8F-79325C17113A}" name="Preparacion" dataDxfId="4042"/>
  </tableColumns>
  <tableStyleInfo showFirstColumn="0" showLastColumn="0" showRowStripes="1" showColumnStripes="0"/>
</table>
</file>

<file path=xl/tables/table3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2" xr:uid="{84BF78FF-D0DE-4E7C-BA5D-E9559952F4AA}" name="Tabla461487182381461474537541573" displayName="Tabla461487182381461474537541573" ref="M176:M179" totalsRowShown="0" headerRowDxfId="4041" tableBorderDxfId="4040">
  <autoFilter ref="M176:M179" xr:uid="{84BF78FF-D0DE-4E7C-BA5D-E9559952F4AA}"/>
  <tableColumns count="1">
    <tableColumn id="1" xr3:uid="{F872726D-F417-45C3-8830-986AD667D4BC}" name="Emplatado"/>
  </tableColumns>
  <tableStyleInfo showFirstColumn="0" showLastColumn="0" showRowStripes="1" showColumnStripes="0"/>
</table>
</file>

<file path=xl/tables/table3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3" xr:uid="{0B4E07FB-51B0-4797-B107-C51FE645BB26}" name="Tabla461487182457473536540572574" displayName="Tabla461487182457473536540572574" ref="M188:M191" totalsRowShown="0" headerRowDxfId="4039" dataDxfId="4038" tableBorderDxfId="4037">
  <autoFilter ref="M188:M191" xr:uid="{0B4E07FB-51B0-4797-B107-C51FE645BB26}"/>
  <tableColumns count="1">
    <tableColumn id="1" xr3:uid="{91AC04DE-6068-4258-9787-03105CC392B7}" name="Preparacion" dataDxfId="4036"/>
  </tableColumns>
  <tableStyleInfo showFirstColumn="0" showLastColumn="0" showRowStripes="1" showColumnStripes="0"/>
</table>
</file>

<file path=xl/tables/table3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4" xr:uid="{0B95E6C9-2016-4157-90D9-0C46A2A152EC}" name="Tabla461487182381461474537541573575" displayName="Tabla461487182381461474537541573575" ref="M193:M196" totalsRowShown="0" headerRowDxfId="4035" dataDxfId="4034" tableBorderDxfId="4033">
  <autoFilter ref="M193:M196" xr:uid="{0B95E6C9-2016-4157-90D9-0C46A2A152EC}"/>
  <tableColumns count="1">
    <tableColumn id="1" xr3:uid="{EFD34248-2640-46E0-901A-B903958840E3}" name="Emplatado" dataDxfId="4032"/>
  </tableColumns>
  <tableStyleInfo showFirstColumn="0" showLastColumn="0" showRowStripes="1" showColumnStripes="0"/>
</table>
</file>

<file path=xl/tables/table3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3" xr:uid="{E1CCFA09-ABCF-4773-BD90-9FDF14B74B8E}" name="Tabla461487182457473536540570584" displayName="Tabla461487182457473536540570584" ref="M205:M206" totalsRowShown="0" headerRowDxfId="4031" dataDxfId="4030" tableBorderDxfId="4029">
  <autoFilter ref="M205:M206" xr:uid="{E1CCFA09-ABCF-4773-BD90-9FDF14B74B8E}"/>
  <tableColumns count="1">
    <tableColumn id="1" xr3:uid="{32676CCF-5F55-437E-A532-04CEAABC15DF}" name="Preparacion" dataDxfId="4028"/>
  </tableColumns>
  <tableStyleInfo showFirstColumn="0" showLastColumn="0" showRowStripes="1" showColumnStripes="0"/>
</table>
</file>

<file path=xl/tables/table3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4" xr:uid="{E5E21E69-D703-4BF5-8D7B-BCF1C733F172}" name="Tabla461487182381461474537541571585" displayName="Tabla461487182381461474537541571585" ref="M208:M209" totalsRowShown="0" headerRowDxfId="4027" dataDxfId="4026" tableBorderDxfId="4025">
  <autoFilter ref="M208:M209" xr:uid="{E5E21E69-D703-4BF5-8D7B-BCF1C733F172}"/>
  <tableColumns count="1">
    <tableColumn id="1" xr3:uid="{F9C8BC77-4F21-4951-857F-9D91A7542B2C}" name="Emplatado" dataDxfId="4024"/>
  </tableColumns>
  <tableStyleInfo showFirstColumn="0" showLastColumn="0" showRowStripes="1" showColumnStripes="0"/>
</table>
</file>

<file path=xl/tables/table3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5" xr:uid="{013CBB48-70E9-4479-9C47-197BC79CFD3D}" name="Tabla461487182457473536540570586" displayName="Tabla461487182457473536540570586" ref="M219:M220" totalsRowShown="0" headerRowDxfId="4023" dataDxfId="4022" tableBorderDxfId="4021">
  <autoFilter ref="M219:M220" xr:uid="{013CBB48-70E9-4479-9C47-197BC79CFD3D}"/>
  <tableColumns count="1">
    <tableColumn id="1" xr3:uid="{EE3F93A8-326E-4298-B0BE-7B2CC24AFECC}" name="Preparacion" dataDxfId="4020"/>
  </tableColumns>
  <tableStyleInfo showFirstColumn="0" showLastColumn="0" showRowStripes="1" showColumnStripes="0"/>
</table>
</file>

<file path=xl/tables/table3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6" xr:uid="{7EE6165A-0A56-4EA7-A82C-FCB864A2601F}" name="Tabla461487182381461474537541571587" displayName="Tabla461487182381461474537541571587" ref="M222:M223" totalsRowShown="0" headerRowDxfId="4019" dataDxfId="4018" tableBorderDxfId="4017">
  <autoFilter ref="M222:M223" xr:uid="{7EE6165A-0A56-4EA7-A82C-FCB864A2601F}"/>
  <tableColumns count="1">
    <tableColumn id="1" xr3:uid="{3FBC5844-9FC6-49B3-964D-7472E857FDF6}" name="Emplatado" dataDxfId="4016"/>
  </tableColumns>
  <tableStyleInfo showFirstColumn="0" showLastColumn="0" showRowStripes="1" showColumnStripes="0"/>
</table>
</file>

<file path=xl/tables/table3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7" xr:uid="{DD1FFB2A-3315-4000-9493-E15F5A2548F4}" name="Tabla461487182457473536540570588" displayName="Tabla461487182457473536540570588" ref="M233:M234" totalsRowShown="0" headerRowDxfId="4015" dataDxfId="4014" tableBorderDxfId="4013">
  <autoFilter ref="M233:M234" xr:uid="{DD1FFB2A-3315-4000-9493-E15F5A2548F4}"/>
  <tableColumns count="1">
    <tableColumn id="1" xr3:uid="{A27B833D-188A-49CB-9BE0-B2012E3B020C}" name="Preparacion" dataDxfId="4012"/>
  </tableColumns>
  <tableStyleInfo showFirstColumn="0" showLastColumn="0" showRowStripes="1" showColumnStripes="0"/>
</table>
</file>

<file path=xl/tables/table3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8" xr:uid="{B62B6973-9524-4D3A-B248-BB87CAA28BD0}" name="Tabla461487182381461474537541571589" displayName="Tabla461487182381461474537541571589" ref="M236:M237" totalsRowShown="0" headerRowDxfId="4011" dataDxfId="4010" tableBorderDxfId="4009">
  <autoFilter ref="M236:M237" xr:uid="{B62B6973-9524-4D3A-B248-BB87CAA28BD0}"/>
  <tableColumns count="1">
    <tableColumn id="1" xr3:uid="{6741B0F8-C827-4C04-8F54-8E0888233736}" name="Emplatado" dataDxfId="4008"/>
  </tableColumns>
  <tableStyleInfo showFirstColumn="0" showLastColumn="0" showRowStripes="1" showColumnStripes="0"/>
</table>
</file>

<file path=xl/tables/table3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0B5B5D2-7862-441B-8057-4901B1B6A64F}" name="Tabla110345345445545647945" displayName="Tabla110345345445545647945" ref="B7:H25" totalsRowCount="1" headerRowDxfId="5942" dataDxfId="5940" totalsRowDxfId="5938" headerRowBorderDxfId="5941" tableBorderDxfId="5939" totalsRowBorderDxfId="5937">
  <autoFilter ref="B7:H24" xr:uid="{25E24D6A-940D-4437-B263-679AE371D044}"/>
  <sortState xmlns:xlrd2="http://schemas.microsoft.com/office/spreadsheetml/2017/richdata2" ref="B8:H21">
    <sortCondition descending="1" ref="H8:H21"/>
  </sortState>
  <tableColumns count="7">
    <tableColumn id="2" xr3:uid="{7260DFC2-5157-43F2-A963-1F2E3C78510D}" name="Ingrediente" dataDxfId="5936" totalsRowDxfId="5935"/>
    <tableColumn id="3" xr3:uid="{38955406-8AD7-4410-8A83-A53595D2D6EB}" name="Und" dataDxfId="5934" totalsRowDxfId="5933"/>
    <tableColumn id="4" xr3:uid="{5368E769-4552-459B-B8FB-B65B2E48465C}" name="Cant." dataDxfId="5932" totalsRowDxfId="5931"/>
    <tableColumn id="1" xr3:uid="{F2AFA84B-7F2F-41DA-A9B1-215EE35553E9}" name="Columna1" dataDxfId="5930" totalsRowDxfId="5929"/>
    <tableColumn id="7" xr3:uid="{FB517467-B7DE-4629-823F-7A6A3249DA1A}" name="Columna2" dataDxfId="5928" totalsRowDxfId="5927"/>
    <tableColumn id="5" xr3:uid="{2AA49DA1-D142-4AE2-93C1-9E01A4B21038}" name="Costo" dataDxfId="5926" totalsRowDxfId="5925" dataCellStyle="Moneda">
      <calculatedColumnFormula>+VLOOKUP(Tabla110345345445545647945[[#This Row],[Ingrediente]],Tabla34[#All],3,0)</calculatedColumnFormula>
    </tableColumn>
    <tableColumn id="6" xr3:uid="{D2130217-4CDF-4ABF-8DE2-13E0D36DFE40}" name="Total costo" totalsRowFunction="sum" dataDxfId="5924" totalsRowDxfId="5923" dataCellStyle="Moneda">
      <calculatedColumnFormula>+Tabla110345345445545647945[[#This Row],[Costo]]*Tabla110345345445545647945[[#This Row],[Columna2]]</calculatedColumnFormula>
    </tableColumn>
  </tableColumns>
  <tableStyleInfo name="TableStyleLight8" showFirstColumn="0" showLastColumn="0" showRowStripes="1" showColumnStripes="0"/>
</table>
</file>

<file path=xl/tables/table3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B6C14D4-DF82-489C-AE07-B225DDF88BD9}" name="Tabla11034534544554564793646" displayName="Tabla11034534544554564793646" ref="B28:H38" totalsRowCount="1" headerRowDxfId="5922" dataDxfId="5920" totalsRowDxfId="5918" headerRowBorderDxfId="5921" tableBorderDxfId="5919" totalsRowBorderDxfId="5917">
  <autoFilter ref="B28:H37" xr:uid="{465BE583-B429-4C2B-93EC-227E72041455}"/>
  <sortState xmlns:xlrd2="http://schemas.microsoft.com/office/spreadsheetml/2017/richdata2" ref="B29:H36">
    <sortCondition descending="1" ref="H30:H36"/>
  </sortState>
  <tableColumns count="7">
    <tableColumn id="2" xr3:uid="{15561D60-98D6-49B2-B828-9A30447D9247}" name="Ingrediente" dataDxfId="5916" totalsRowDxfId="5915"/>
    <tableColumn id="3" xr3:uid="{4631E9E4-CE89-4FFE-8BB4-87345149C887}" name="Und" dataDxfId="5914" totalsRowDxfId="5913"/>
    <tableColumn id="4" xr3:uid="{52861D7E-4FEC-4DF9-B399-3597491058CC}" name="Cant." dataDxfId="5912" totalsRowDxfId="5911"/>
    <tableColumn id="1" xr3:uid="{56EB794D-F6D9-4468-955D-64772065E97B}" name="Columna1" dataDxfId="5910" totalsRowDxfId="5909"/>
    <tableColumn id="7" xr3:uid="{BC393A74-EC58-4A90-AE8D-66C97DCF8EE2}" name="Columna2" dataDxfId="5908" totalsRowDxfId="5907"/>
    <tableColumn id="5" xr3:uid="{38AC3772-F16F-43AC-B0A2-723D3E367571}" name="Costo" dataDxfId="5906" totalsRowDxfId="5905" dataCellStyle="Moneda">
      <calculatedColumnFormula>+VLOOKUP(Tabla11034534544554564793646[[#This Row],[Ingrediente]],Tabla34[#All],3,0)</calculatedColumnFormula>
    </tableColumn>
    <tableColumn id="6" xr3:uid="{F20C3BBA-2ED9-4AE2-B60C-2D828B7CB78A}" name="Total costo" totalsRowFunction="sum" dataDxfId="5904" totalsRowDxfId="5903" dataCellStyle="Moneda">
      <calculatedColumnFormula>+Tabla11034534544554564793646[[#This Row],[Costo]]*Tabla11034534544554564793646[[#This Row],[Columna2]]</calculatedColumnFormula>
    </tableColumn>
  </tableColumns>
  <tableStyleInfo name="TableStyleLight8" showFirstColumn="0" showLastColumn="0" showRowStripes="1" showColumnStripes="0"/>
</table>
</file>

<file path=xl/tables/table3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6AA1C82-DC7B-4392-BA3C-B9D3DF4FA0C2}" name="Tabla1103453454455456479363747" displayName="Tabla1103453454455456479363747" ref="B42:H59" totalsRowCount="1" headerRowDxfId="5902" dataDxfId="5900" totalsRowDxfId="5898" headerRowBorderDxfId="5901" tableBorderDxfId="5899" totalsRowBorderDxfId="5897">
  <autoFilter ref="B42:H58" xr:uid="{D046284E-C2C1-4680-A383-F9B742CBF79C}"/>
  <sortState xmlns:xlrd2="http://schemas.microsoft.com/office/spreadsheetml/2017/richdata2" ref="B43:H57">
    <sortCondition descending="1" ref="H44:H57"/>
  </sortState>
  <tableColumns count="7">
    <tableColumn id="2" xr3:uid="{00B93C0D-327E-4B42-AC0B-7B82F7FFFC97}" name="Ingrediente" dataDxfId="5896" totalsRowDxfId="5895"/>
    <tableColumn id="3" xr3:uid="{0793BD76-D634-4011-8FAC-5A9EE7809A8D}" name="Und" dataDxfId="5894" totalsRowDxfId="5893"/>
    <tableColumn id="4" xr3:uid="{E3DB6C1D-8804-41C9-8714-0937E07F23A7}" name="Cant." dataDxfId="5892" totalsRowDxfId="5891"/>
    <tableColumn id="1" xr3:uid="{1BB52DA7-F32F-4AE5-94FE-73EA7D2B86ED}" name="Columna1" dataDxfId="5890" totalsRowDxfId="5889"/>
    <tableColumn id="7" xr3:uid="{E4171AE2-BCD0-456C-A8E5-670A298917B5}" name="Columna2" dataDxfId="5888" totalsRowDxfId="5887"/>
    <tableColumn id="5" xr3:uid="{D861D646-BDE7-48A8-AE1A-98287A894A91}" name="Costo" dataDxfId="5886" totalsRowDxfId="5885" dataCellStyle="Moneda">
      <calculatedColumnFormula>+VLOOKUP(Tabla1103453454455456479363747[[#This Row],[Ingrediente]],Tabla34[#All],3,0)</calculatedColumnFormula>
    </tableColumn>
    <tableColumn id="6" xr3:uid="{4F695317-AF06-4F87-A10A-31E395474DBF}" name="Total costo" totalsRowFunction="sum" dataDxfId="5884" totalsRowDxfId="5883" dataCellStyle="Moneda">
      <calculatedColumnFormula>+Tabla1103453454455456479363747[[#This Row],[Costo]]*Tabla1103453454455456479363747[[#This Row],[Columna2]]</calculatedColumnFormula>
    </tableColumn>
  </tableColumns>
  <tableStyleInfo name="TableStyleLight8" showFirstColumn="0" showLastColumn="0" showRowStripes="1" showColumnStripes="0"/>
</table>
</file>

<file path=xl/tables/table3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8D68C34-2698-4E9D-9111-50299E2D76D4}" name="Tabla1103453454455456479363848" displayName="Tabla1103453454455456479363848" ref="B62:H79" totalsRowCount="1" headerRowDxfId="5882" dataDxfId="5880" totalsRowDxfId="5878" headerRowBorderDxfId="5881" tableBorderDxfId="5879" totalsRowBorderDxfId="5877">
  <autoFilter ref="B62:H78" xr:uid="{C36CCCC4-7A27-4243-8E76-2253568FF38F}"/>
  <sortState xmlns:xlrd2="http://schemas.microsoft.com/office/spreadsheetml/2017/richdata2" ref="B63:H78">
    <sortCondition descending="1" ref="H64:H78"/>
  </sortState>
  <tableColumns count="7">
    <tableColumn id="2" xr3:uid="{55C86A1E-76F8-46D6-A0AF-03B3CDA0C19E}" name="Ingrediente" dataDxfId="5876" totalsRowDxfId="5875"/>
    <tableColumn id="3" xr3:uid="{6A2AFC92-E468-403D-80AE-2C9DDD339482}" name="Und" dataDxfId="5874" totalsRowDxfId="5873"/>
    <tableColumn id="4" xr3:uid="{9143A80B-5971-4D68-9302-68DE147E2E6C}" name="Cant." dataDxfId="5872" totalsRowDxfId="5871"/>
    <tableColumn id="1" xr3:uid="{4F1B1712-40B6-4140-9940-BA99FD5C4ACA}" name="Columna1" dataDxfId="5870" totalsRowDxfId="5869"/>
    <tableColumn id="7" xr3:uid="{D630E238-1708-4C15-93B2-127B6394B033}" name="Columna2" dataDxfId="5868" totalsRowDxfId="5867"/>
    <tableColumn id="5" xr3:uid="{A932AFE2-32FA-4E58-8D23-B5303CBF2C2C}" name="Costo" dataDxfId="5866" totalsRowDxfId="5865" dataCellStyle="Moneda">
      <calculatedColumnFormula>+VLOOKUP(Tabla1103453454455456479363848[[#This Row],[Ingrediente]],Tabla34[#All],3,0)</calculatedColumnFormula>
    </tableColumn>
    <tableColumn id="6" xr3:uid="{727C94F9-86F2-4AA4-82B9-B288FAEBCC55}" name="Total costo" totalsRowFunction="sum" dataDxfId="5864" totalsRowDxfId="5863" dataCellStyle="Moneda">
      <calculatedColumnFormula>+Tabla1103453454455456479363848[[#This Row],[Costo]]*Tabla1103453454455456479363848[[#This Row],[Columna2]]</calculatedColumnFormula>
    </tableColumn>
  </tableColumns>
  <tableStyleInfo name="TableStyleLight8" showFirstColumn="0" showLastColumn="0" showRowStripes="1" showColumnStripes="0"/>
</table>
</file>

<file path=xl/tables/table3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6163961-2F47-4192-9509-936C0A01BEC3}" name="Tabla1103453454455456479363949" displayName="Tabla1103453454455456479363949" ref="B82:H100" totalsRowCount="1" headerRowDxfId="5862" dataDxfId="5860" totalsRowDxfId="5858" headerRowBorderDxfId="5861" tableBorderDxfId="5859" totalsRowBorderDxfId="5857">
  <autoFilter ref="B82:H99" xr:uid="{E62057E2-89CF-41E7-BB60-37ADC6497F01}"/>
  <sortState xmlns:xlrd2="http://schemas.microsoft.com/office/spreadsheetml/2017/richdata2" ref="B83:H98">
    <sortCondition descending="1" ref="H83:H98"/>
  </sortState>
  <tableColumns count="7">
    <tableColumn id="2" xr3:uid="{73B97B4B-4AFE-434F-B968-80BADF507619}" name="Ingrediente" dataDxfId="5856" totalsRowDxfId="5855"/>
    <tableColumn id="3" xr3:uid="{D5F8C034-FC92-4AA8-9605-A1900E71401A}" name="Und" dataDxfId="5854" totalsRowDxfId="5853"/>
    <tableColumn id="4" xr3:uid="{940BA628-DBB3-44FC-B0F5-49716EBD8C77}" name="Cant." dataDxfId="5852" totalsRowDxfId="5851"/>
    <tableColumn id="1" xr3:uid="{28911968-8616-4931-B157-15682EC84C0F}" name="Columna1" dataDxfId="5850" totalsRowDxfId="5849"/>
    <tableColumn id="7" xr3:uid="{FA6C10C1-2C5E-4BCB-B907-E9A5CC146C2E}" name="Columna2" dataDxfId="5848" totalsRowDxfId="5847"/>
    <tableColumn id="5" xr3:uid="{E67312CD-9290-40BD-9AAC-31BD31B2E951}" name="Costo" dataDxfId="5846" totalsRowDxfId="5845" dataCellStyle="Moneda">
      <calculatedColumnFormula>+VLOOKUP(Tabla1103453454455456479363949[[#This Row],[Ingrediente]],Tabla34[#All],3,0)</calculatedColumnFormula>
    </tableColumn>
    <tableColumn id="6" xr3:uid="{49F89537-8D83-4DAB-9FD9-E5DE189A9FC0}" name="Total costo" totalsRowFunction="sum" dataDxfId="5844" totalsRowDxfId="5843" dataCellStyle="Moneda">
      <calculatedColumnFormula>+Tabla1103453454455456479363949[[#This Row],[Costo]]*Tabla1103453454455456479363949[[#This Row],[Columna2]]</calculatedColumnFormula>
    </tableColumn>
  </tableColumns>
  <tableStyleInfo name="TableStyleLight8" showFirstColumn="0" showLastColumn="0" showRowStripes="1" showColumnStripes="0"/>
</table>
</file>

<file path=xl/tables/table3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9" xr:uid="{9BF32C22-E316-46DC-B35C-2931E50DC9BB}" name="Tabla46148714590" displayName="Tabla46148714590" ref="M6:M9" totalsRowShown="0" headerRowDxfId="4007" dataDxfId="4006" tableBorderDxfId="4005">
  <autoFilter ref="M6:M9" xr:uid="{9BF32C22-E316-46DC-B35C-2931E50DC9BB}"/>
  <tableColumns count="1">
    <tableColumn id="1" xr3:uid="{241321CF-E123-4E46-B770-7208419071C2}" name="Preparacion" dataDxfId="4004"/>
  </tableColumns>
  <tableStyleInfo showFirstColumn="0" showLastColumn="0" showRowStripes="1" showColumnStripes="0"/>
</table>
</file>

<file path=xl/tables/table3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0" xr:uid="{9EA5084D-D552-4719-82A1-DD091447D913}" name="Tabla461487182381461474537543558566567591" displayName="Tabla461487182381461474537543558566567591" ref="M11:M14" totalsRowShown="0" headerRowDxfId="4003" dataDxfId="4002" tableBorderDxfId="4001">
  <autoFilter ref="M11:M14" xr:uid="{9EA5084D-D552-4719-82A1-DD091447D913}"/>
  <tableColumns count="1">
    <tableColumn id="1" xr3:uid="{9F3C4D17-0B52-4B24-92DD-EDBD36642E5B}" name="Emplatado" dataDxfId="4000"/>
  </tableColumns>
  <tableStyleInfo showFirstColumn="0" showLastColumn="0" showRowStripes="1" showColumnStripes="0"/>
</table>
</file>

<file path=xl/tables/table3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1" xr:uid="{0FF6DC6C-FBA4-4B0D-81F5-21C6942D41BD}" name="Tabla46148714590592" displayName="Tabla46148714590592" ref="M27:M30" totalsRowShown="0" headerRowDxfId="3999" dataDxfId="3998" tableBorderDxfId="3997">
  <autoFilter ref="M27:M30" xr:uid="{0FF6DC6C-FBA4-4B0D-81F5-21C6942D41BD}"/>
  <tableColumns count="1">
    <tableColumn id="1" xr3:uid="{BE5CE262-5A86-4EDF-9934-BC1F41952143}" name="Preparacion" dataDxfId="3996"/>
  </tableColumns>
  <tableStyleInfo showFirstColumn="0" showLastColumn="0" showRowStripes="1" showColumnStripes="0"/>
</table>
</file>

<file path=xl/tables/table3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2" xr:uid="{0A17219F-4CEF-4FED-82B8-B8DB29D66E0B}" name="Tabla461487182381461474537543558566567591593" displayName="Tabla461487182381461474537543558566567591593" ref="M32:M34" totalsRowShown="0" headerRowDxfId="3995" dataDxfId="3994" tableBorderDxfId="3993">
  <autoFilter ref="M32:M34" xr:uid="{0A17219F-4CEF-4FED-82B8-B8DB29D66E0B}"/>
  <tableColumns count="1">
    <tableColumn id="1" xr3:uid="{CEA31525-4323-4A46-8A6D-E93FB037939A}" name="Emplatado" dataDxfId="3992"/>
  </tableColumns>
  <tableStyleInfo showFirstColumn="0" showLastColumn="0" showRowStripes="1" showColumnStripes="0"/>
</table>
</file>

<file path=xl/tables/table3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3" xr:uid="{789632DA-5B93-49A0-B344-841771F2A6B6}" name="Tabla46148714590594" displayName="Tabla46148714590594" ref="M41:M44" totalsRowShown="0" headerRowDxfId="3991" dataDxfId="3990" tableBorderDxfId="3989">
  <autoFilter ref="M41:M44" xr:uid="{789632DA-5B93-49A0-B344-841771F2A6B6}"/>
  <tableColumns count="1">
    <tableColumn id="1" xr3:uid="{9FCBF2A9-23BA-4E3D-8B95-CEB092031FEF}" name="Preparacion" dataDxfId="3988"/>
  </tableColumns>
  <tableStyleInfo showFirstColumn="0" showLastColumn="0" showRowStripes="1" showColumnStripes="0"/>
</table>
</file>

<file path=xl/tables/table3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4" xr:uid="{4EDA242B-C86B-4F16-857A-AF121DBF26B0}" name="Tabla461487182381461474537543558566567591595" displayName="Tabla461487182381461474537543558566567591595" ref="M46:M50" totalsRowShown="0" headerRowDxfId="3987" dataDxfId="3986" tableBorderDxfId="3985">
  <autoFilter ref="M46:M50" xr:uid="{4EDA242B-C86B-4F16-857A-AF121DBF26B0}"/>
  <tableColumns count="1">
    <tableColumn id="1" xr3:uid="{813A95FD-6582-4A2D-A354-78845CE43ABA}" name="Emplatado" dataDxfId="3984"/>
  </tableColumns>
  <tableStyleInfo showFirstColumn="0" showLastColumn="0" showRowStripes="1" showColumnStripes="0"/>
</table>
</file>

<file path=xl/tables/table3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5" xr:uid="{D57E2A86-D731-4AA6-8C02-9DDB8A6D8BFB}" name="Tabla46148714590596" displayName="Tabla46148714590596" ref="M61:M63" totalsRowShown="0" headerRowDxfId="3983" dataDxfId="3982" tableBorderDxfId="3981">
  <autoFilter ref="M61:M63" xr:uid="{D57E2A86-D731-4AA6-8C02-9DDB8A6D8BFB}"/>
  <tableColumns count="1">
    <tableColumn id="1" xr3:uid="{8149F201-28F5-4887-B2E7-A172A9573697}" name="Preparacion" dataDxfId="3980"/>
  </tableColumns>
  <tableStyleInfo showFirstColumn="0" showLastColumn="0" showRowStripes="1" showColumnStripes="0"/>
</table>
</file>

<file path=xl/tables/table3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6" xr:uid="{02AFBB9D-C9C0-4363-ACDF-812F1BBEC70E}" name="Tabla461487182381461474537543558566567591597" displayName="Tabla461487182381461474537543558566567591597" ref="M65:M68" totalsRowShown="0" headerRowDxfId="3979" dataDxfId="3978" tableBorderDxfId="3977">
  <autoFilter ref="M65:M68" xr:uid="{02AFBB9D-C9C0-4363-ACDF-812F1BBEC70E}"/>
  <tableColumns count="1">
    <tableColumn id="1" xr3:uid="{60B1BCA7-C54F-4F69-BCDB-AF00197EC258}" name="Emplatado" dataDxfId="3976"/>
  </tableColumns>
  <tableStyleInfo showFirstColumn="0" showLastColumn="0" showRowStripes="1" showColumnStripes="0"/>
</table>
</file>

<file path=xl/tables/table3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7" xr:uid="{789876DE-6A78-4888-8811-334489E08BE8}" name="Tabla46148714590598" displayName="Tabla46148714590598" ref="M81:M85" totalsRowShown="0" headerRowDxfId="3975" dataDxfId="3974" tableBorderDxfId="3973">
  <autoFilter ref="M81:M85" xr:uid="{789876DE-6A78-4888-8811-334489E08BE8}"/>
  <tableColumns count="1">
    <tableColumn id="1" xr3:uid="{AA9B7C6C-F03A-4AE9-8F96-1B91171E782F}" name="Preparacion" dataDxfId="3972"/>
  </tableColumns>
  <tableStyleInfo showFirstColumn="0" showLastColumn="0" showRowStripes="1" showColumnStripes="0"/>
</table>
</file>

<file path=xl/tables/table3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8" xr:uid="{C678D555-3BD0-4DB8-AC51-D9AFA053992C}" name="Tabla461487182381461474537543558566567591599" displayName="Tabla461487182381461474537543558566567591599" ref="M87:M91" totalsRowShown="0" headerRowDxfId="3971" dataDxfId="3970" tableBorderDxfId="3969">
  <autoFilter ref="M87:M91" xr:uid="{C678D555-3BD0-4DB8-AC51-D9AFA053992C}"/>
  <tableColumns count="1">
    <tableColumn id="1" xr3:uid="{FEB75BF3-507E-497E-BC2A-F46CEAAB71D7}" name="Emplatado" dataDxfId="3968"/>
  </tableColumns>
  <tableStyleInfo showFirstColumn="0" showLastColumn="0" showRowStripes="1" showColumnStripes="0"/>
</table>
</file>

<file path=xl/tables/table3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1" xr:uid="{9BF3D857-7696-4E47-B1CE-09B7CA25B408}" name="Tabla110345345445545647945586877869510811712713622823724627233260269297315316348494493497502" displayName="Tabla110345345445545647945586877869510811712713622823724627233260269297315316348494493497502" ref="B6:H25" totalsRowCount="1" headerRowDxfId="9904" dataDxfId="9902" totalsRowDxfId="9900" headerRowBorderDxfId="9903" tableBorderDxfId="9901" totalsRowBorderDxfId="9899">
  <autoFilter ref="B6:H24" xr:uid="{4C4623F0-0B27-4745-90A3-729866B5321B}"/>
  <sortState xmlns:xlrd2="http://schemas.microsoft.com/office/spreadsheetml/2017/richdata2" ref="B7:H24">
    <sortCondition descending="1" ref="H7:H24"/>
  </sortState>
  <tableColumns count="7">
    <tableColumn id="2" xr3:uid="{5AD19DE8-46A2-4374-BD47-699905AB3DD6}" name="ArtÃ­culo" dataDxfId="9898" totalsRowDxfId="9897"/>
    <tableColumn id="3" xr3:uid="{C1669A2E-CCE5-4BB2-BC44-72E8A4CAB5D4}" name="Unidad Medida" dataDxfId="9896" totalsRowDxfId="9895"/>
    <tableColumn id="4" xr3:uid="{3F6C19F5-88E1-44E2-91FF-BF70F607A3CB}" name="Unidades Netas" dataDxfId="9894" totalsRowDxfId="9893"/>
    <tableColumn id="1" xr3:uid="{735D1487-EC9D-4DCC-9315-0F8E749C8467}" name="% Merma" dataDxfId="9892" totalsRowDxfId="9891"/>
    <tableColumn id="7" xr3:uid="{FFE0329C-6457-4633-B7C9-4A799F23E4D2}" name="Unidades" dataDxfId="9890" totalsRowDxfId="9889"/>
    <tableColumn id="5" xr3:uid="{7D385809-F09A-4C04-B18D-7C84E58A2196}" name="Costo" dataDxfId="9888" totalsRowDxfId="9887" dataCellStyle="Moneda">
      <calculatedColumnFormula>+VLOOKUP(Tabla110345345445545647945586877869510811712713622823724627233260269297315316348494493497502[[#This Row],[ArtÃ­culo]],Tabla34[#All],3,0)</calculatedColumnFormula>
    </tableColumn>
    <tableColumn id="6" xr3:uid="{CB3AF097-720E-47B2-840F-A6F761C6677E}" name="Total costo" totalsRowFunction="sum" dataDxfId="9886" totalsRowDxfId="9885" dataCellStyle="Moneda">
      <calculatedColumnFormula>+Tabla110345345445545647945586877869510811712713622823724627233260269297315316348494493497502[[#This Row],[Costo]]*Tabla110345345445545647945586877869510811712713622823724627233260269297315316348494493497502[[#This Row],[Unidades]]</calculatedColumnFormula>
    </tableColumn>
  </tableColumns>
  <tableStyleInfo name="TableStyleLight8" showFirstColumn="0" showLastColumn="0" showRowStripes="1" showColumnStripes="0"/>
</table>
</file>

<file path=xl/tables/table3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1" xr:uid="{2C1B2FF8-CBA3-4A74-A009-C2C948D43BB4}" name="Tabla110345345445545647945586877869510811712713622823724627233260269297315316348494493499527352" displayName="Tabla110345345445545647945586877869510811712713622823724627233260269297315316348494493499527352" ref="B30:H54" totalsRowCount="1" headerRowDxfId="9884" dataDxfId="9882" totalsRowDxfId="9880" headerRowBorderDxfId="9883" tableBorderDxfId="9881" totalsRowBorderDxfId="9879">
  <autoFilter ref="B30:H53" xr:uid="{2C1B2FF8-CBA3-4A74-A009-C2C948D43BB4}"/>
  <sortState xmlns:xlrd2="http://schemas.microsoft.com/office/spreadsheetml/2017/richdata2" ref="B31:H53">
    <sortCondition descending="1" ref="H50:H53"/>
  </sortState>
  <tableColumns count="7">
    <tableColumn id="2" xr3:uid="{12CDD0D4-7BAF-48D9-9143-FF3CD4631011}" name="ArtÃ­culo" dataDxfId="9878" totalsRowDxfId="9877"/>
    <tableColumn id="3" xr3:uid="{B62E6242-AE7A-4BB3-8F4A-B35D28D5C1E4}" name="Unidad Medida" dataDxfId="9876" totalsRowDxfId="9875"/>
    <tableColumn id="4" xr3:uid="{B99C1336-A187-43DA-A9A0-4451760E175E}" name="Unidades Netas" dataDxfId="9874" totalsRowDxfId="9873"/>
    <tableColumn id="1" xr3:uid="{CAB3C55C-F8EA-4140-A7BC-A059197AB255}" name="% Merma" dataDxfId="9872" totalsRowDxfId="9871"/>
    <tableColumn id="7" xr3:uid="{8524B37F-EF0D-4773-878E-7776E46F80FA}" name="Unidades" dataDxfId="9870" totalsRowDxfId="9869"/>
    <tableColumn id="5" xr3:uid="{BDA4B7CA-8B98-4498-9933-642481F283E7}" name="Costo" dataDxfId="9868" totalsRowDxfId="9867" dataCellStyle="Moneda">
      <calculatedColumnFormula>+VLOOKUP(Tabla110345345445545647945586877869510811712713622823724627233260269297315316348494493499527352[[#This Row],[ArtÃ­culo]],Tabla34[#All],3,0)</calculatedColumnFormula>
    </tableColumn>
    <tableColumn id="6" xr3:uid="{2B1DC65E-5A0B-4689-B328-EB16C18EF986}" name="Total costo" totalsRowFunction="sum" dataDxfId="9866" totalsRowDxfId="9865" dataCellStyle="Moneda">
      <calculatedColumnFormula>+Tabla110345345445545647945586877869510811712713622823724627233260269297315316348494493499527352[[#This Row],[Costo]]*Tabla110345345445545647945586877869510811712713622823724627233260269297315316348494493499527352[[#This Row],[Unidades]]</calculatedColumnFormula>
    </tableColumn>
  </tableColumns>
  <tableStyleInfo name="TableStyleLight8" showFirstColumn="0" showLastColumn="0" showRowStripes="1" showColumnStripes="0"/>
</table>
</file>

<file path=xl/tables/table3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9" xr:uid="{693A0DA1-18D8-4059-8C79-7B981DB735E0}" name="Tabla110345345445545647945586877869510811712713622823724627233260269297315316348494493499527528374243440" displayName="Tabla110345345445545647945586877869510811712713622823724627233260269297315316348494493499527528374243440" ref="B59:H73" totalsRowCount="1" headerRowDxfId="9864" dataDxfId="9862" totalsRowDxfId="9860" headerRowBorderDxfId="9863" tableBorderDxfId="9861" totalsRowBorderDxfId="9859">
  <autoFilter ref="B59:H72" xr:uid="{693A0DA1-18D8-4059-8C79-7B981DB735E0}"/>
  <sortState xmlns:xlrd2="http://schemas.microsoft.com/office/spreadsheetml/2017/richdata2" ref="B60:H72">
    <sortCondition ref="B60:B72"/>
  </sortState>
  <tableColumns count="7">
    <tableColumn id="2" xr3:uid="{61E7E286-26C6-4FE5-A384-2EAAE059B477}" name="ArtÃ­culo" dataDxfId="9858" totalsRowDxfId="9857"/>
    <tableColumn id="3" xr3:uid="{6392FD2A-0C6C-42C5-8F42-7EFFB0A4B961}" name="Unidad Medida" dataDxfId="9856" totalsRowDxfId="9855"/>
    <tableColumn id="4" xr3:uid="{AE096633-CC40-484A-A890-61809B541F4C}" name="Unidades Netas" dataDxfId="9854" totalsRowDxfId="9853"/>
    <tableColumn id="1" xr3:uid="{0D257CA7-883D-423C-B04D-CD0F85245B59}" name="% Merma" dataDxfId="9852" totalsRowDxfId="9851"/>
    <tableColumn id="7" xr3:uid="{6F69DA18-1A2B-4C10-B94B-95706B4C3C9B}" name="Unidades" dataDxfId="9850" totalsRowDxfId="9849"/>
    <tableColumn id="5" xr3:uid="{651C5A05-08DD-48EB-9950-3E697123C86E}" name="Costo" dataDxfId="9848" totalsRowDxfId="9847" dataCellStyle="Moneda">
      <calculatedColumnFormula>+VLOOKUP(Tabla110345345445545647945586877869510811712713622823724627233260269297315316348494493499527528374243440[[#This Row],[ArtÃ­culo]],Tabla34[#All],3,0)</calculatedColumnFormula>
    </tableColumn>
    <tableColumn id="6" xr3:uid="{22423412-EE0C-4CB5-8170-3351FFABE198}" name="Total costo" totalsRowFunction="sum" dataDxfId="9846" totalsRowDxfId="9845" dataCellStyle="Moneda">
      <calculatedColumnFormula>+Tabla110345345445545647945586877869510811712713622823724627233260269297315316348494493499527528374243440[[#This Row],[Costo]]*Tabla110345345445545647945586877869510811712713622823724627233260269297315316348494493499527528374243440[[#This Row],[Unidades]]</calculatedColumnFormula>
    </tableColumn>
  </tableColumns>
  <tableStyleInfo name="TableStyleLight8" showFirstColumn="0" showLastColumn="0" showRowStripes="1" showColumnStripes="0"/>
</table>
</file>

<file path=xl/tables/table3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1" xr:uid="{0D10BFA5-88DB-4D44-9A3D-4335A0EB663A}" name="Tabla110345345445545647945586877869510811712713622823724627233260269297315316348494493499527528374243440252" displayName="Tabla110345345445545647945586877869510811712713622823724627233260269297315316348494493499527528374243440252" ref="B77:H92" totalsRowCount="1" headerRowDxfId="9844" dataDxfId="9842" totalsRowDxfId="9840" headerRowBorderDxfId="9843" tableBorderDxfId="9841" totalsRowBorderDxfId="9839">
  <autoFilter ref="B77:H91" xr:uid="{0D10BFA5-88DB-4D44-9A3D-4335A0EB663A}"/>
  <sortState xmlns:xlrd2="http://schemas.microsoft.com/office/spreadsheetml/2017/richdata2" ref="B78:H90">
    <sortCondition ref="B60:B72"/>
  </sortState>
  <tableColumns count="7">
    <tableColumn id="2" xr3:uid="{BF9DDC95-4F51-4608-A99F-A5353E46D003}" name="ArtÃ­culo" dataDxfId="9838" totalsRowDxfId="9837"/>
    <tableColumn id="3" xr3:uid="{413AD465-E55D-4671-8C38-36358C9FA3A0}" name="Unidad Medida" dataDxfId="9836" totalsRowDxfId="9835"/>
    <tableColumn id="4" xr3:uid="{BD965B94-C24D-4767-8870-73AF87CC2004}" name="Unidades Netas" dataDxfId="9834" totalsRowDxfId="9833"/>
    <tableColumn id="1" xr3:uid="{741807A1-B77D-432B-A019-82820E509E5E}" name="% Merma" dataDxfId="9832" totalsRowDxfId="9831"/>
    <tableColumn id="7" xr3:uid="{E8D25144-EE08-4858-B7C6-DD6EDB7A5917}" name="Unidades" dataDxfId="9830" totalsRowDxfId="9829"/>
    <tableColumn id="5" xr3:uid="{F1565E40-2A4F-4BD3-9DDC-554BA05C8F60}" name="Costo" dataDxfId="9828" totalsRowDxfId="9827" dataCellStyle="Moneda">
      <calculatedColumnFormula>+VLOOKUP(Tabla110345345445545647945586877869510811712713622823724627233260269297315316348494493499527528374243440252[[#This Row],[ArtÃ­culo]],Tabla34[#All],3,0)</calculatedColumnFormula>
    </tableColumn>
    <tableColumn id="6" xr3:uid="{C01493F3-46E9-4766-9F89-6AA201F6DD62}" name="Total costo" totalsRowFunction="sum" dataDxfId="9826" totalsRowDxfId="9825" dataCellStyle="Moneda">
      <calculatedColumnFormula>+Tabla110345345445545647945586877869510811712713622823724627233260269297315316348494493499527528374243440252[[#This Row],[Costo]]*Tabla110345345445545647945586877869510811712713622823724627233260269297315316348494493499527528374243440252[[#This Row],[Unidades]]</calculatedColumnFormula>
    </tableColumn>
  </tableColumns>
  <tableStyleInfo name="TableStyleLight8" showFirstColumn="0" showLastColumn="0" showRowStripes="1" showColumnStripes="0"/>
</table>
</file>

<file path=xl/tables/table3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9" xr:uid="{ADFB3CE3-BA86-4F20-9F91-528BF83ABC19}" name="Tabla110345345445545647945586877869510811712713622823724627233260269297315316348494493499527528374243440252460" displayName="Tabla110345345445545647945586877869510811712713622823724627233260269297315316348494493499527528374243440252460" ref="B96:H115" totalsRowCount="1" headerRowDxfId="9824" dataDxfId="9822" totalsRowDxfId="9820" headerRowBorderDxfId="9823" tableBorderDxfId="9821" totalsRowBorderDxfId="9819">
  <autoFilter ref="B96:H114" xr:uid="{ADFB3CE3-BA86-4F20-9F91-528BF83ABC19}"/>
  <sortState xmlns:xlrd2="http://schemas.microsoft.com/office/spreadsheetml/2017/richdata2" ref="B97:H109">
    <sortCondition ref="B60:B72"/>
  </sortState>
  <tableColumns count="7">
    <tableColumn id="2" xr3:uid="{A25C70AD-CA3F-4ACB-8E16-AB1FE46E38E5}" name="ArtÃ­culo" dataDxfId="9818" totalsRowDxfId="9817"/>
    <tableColumn id="3" xr3:uid="{D69596D0-8A89-4420-8244-EE732DED18AB}" name="Unidad Medida" dataDxfId="9816" totalsRowDxfId="9815"/>
    <tableColumn id="4" xr3:uid="{6A083030-129D-4069-A19F-BE61AEEE30B2}" name="Unidades Netas" dataDxfId="9814" totalsRowDxfId="9813"/>
    <tableColumn id="1" xr3:uid="{180FDF65-DF63-4D68-8A9E-A70B488D2DBC}" name="% Merma" dataDxfId="9812" totalsRowDxfId="9811"/>
    <tableColumn id="7" xr3:uid="{33264D9F-5A90-4698-94A4-A5CB6EFAA768}" name="Unidades" dataDxfId="9810" totalsRowDxfId="9809"/>
    <tableColumn id="5" xr3:uid="{D21F88A7-AD91-4E42-BF40-09FC4A1FCA92}" name="Costo" dataDxfId="9808" totalsRowDxfId="9807" dataCellStyle="Moneda">
      <calculatedColumnFormula>+VLOOKUP(Tabla110345345445545647945586877869510811712713622823724627233260269297315316348494493499527528374243440252460[[#This Row],[ArtÃ­culo]],Tabla34[#All],3,0)</calculatedColumnFormula>
    </tableColumn>
    <tableColumn id="6" xr3:uid="{D18E42B9-5874-47B1-9F70-F4EB3F221630}" name="Total costo" totalsRowFunction="sum" dataDxfId="9806" totalsRowDxfId="9805" dataCellStyle="Moneda">
      <calculatedColumnFormula>+Tabla110345345445545647945586877869510811712713622823724627233260269297315316348494493499527528374243440252460[[#This Row],[Costo]]*Tabla110345345445545647945586877869510811712713622823724627233260269297315316348494493499527528374243440252460[[#This Row],[Unidades]]</calculatedColumnFormula>
    </tableColumn>
  </tableColumns>
  <tableStyleInfo name="TableStyleLight8" showFirstColumn="0" showLastColumn="0" showRowStripes="1" showColumnStripes="0"/>
</table>
</file>

<file path=xl/tables/table3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8254E73-37F7-4FB7-A6D2-E950551588C3}" name="Tabla46148714" displayName="Tabla46148714" ref="M5:M8" totalsRowShown="0" headerRowDxfId="4197" dataDxfId="4196" tableBorderDxfId="4195">
  <autoFilter ref="M5:M8" xr:uid="{D8254E73-37F7-4FB7-A6D2-E950551588C3}"/>
  <tableColumns count="1">
    <tableColumn id="1" xr3:uid="{B4BE7B24-E8E4-4707-B2F9-38163D997F74}" name="Preparacion" dataDxfId="4194"/>
  </tableColumns>
  <tableStyleInfo showFirstColumn="0" showLastColumn="0" showRowStripes="1" showColumnStripes="0"/>
</table>
</file>

<file path=xl/tables/table3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8" xr:uid="{0C7AD763-7F25-4093-843E-B5DBF5F4C134}" name="Tabla461487182457473536542557559" displayName="Tabla461487182457473536542557559" ref="M29:M33" totalsRowShown="0" headerRowDxfId="4097" dataDxfId="4096" tableBorderDxfId="4095">
  <autoFilter ref="M29:M33" xr:uid="{0C7AD763-7F25-4093-843E-B5DBF5F4C134}"/>
  <tableColumns count="1">
    <tableColumn id="1" xr3:uid="{B25EC817-46A7-4232-BEC8-9AFB0D34E850}" name="Preparacion" dataDxfId="4094"/>
  </tableColumns>
  <tableStyleInfo showFirstColumn="0" showLastColumn="0" showRowStripes="1" showColumnStripes="0"/>
</table>
</file>

<file path=xl/tables/table3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9" xr:uid="{8CCA3CC0-9AEF-46A4-A4F5-9C130025BD17}" name="Tabla461487182381461474537543558560" displayName="Tabla461487182381461474537543558560" ref="M35:M39" totalsRowShown="0" headerRowDxfId="4093" dataDxfId="4092" tableBorderDxfId="4091">
  <autoFilter ref="M35:M39" xr:uid="{8CCA3CC0-9AEF-46A4-A4F5-9C130025BD17}"/>
  <tableColumns count="1">
    <tableColumn id="1" xr3:uid="{987C4E82-E002-4E58-BCEA-2F80DA851689}" name="Emplatado" dataDxfId="4090"/>
  </tableColumns>
  <tableStyleInfo showFirstColumn="0" showLastColumn="0" showRowStripes="1" showColumnStripes="0"/>
</table>
</file>

<file path=xl/tables/table3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0" xr:uid="{2E70ABAE-0E0D-412A-A818-425C51E686BE}" name="Tabla461487182457473536542557561" displayName="Tabla461487182457473536542557561" ref="M58:M62" totalsRowShown="0" headerRowDxfId="4089" dataDxfId="4088" tableBorderDxfId="4087">
  <autoFilter ref="M58:M62" xr:uid="{2E70ABAE-0E0D-412A-A818-425C51E686BE}"/>
  <tableColumns count="1">
    <tableColumn id="1" xr3:uid="{E1B93275-725C-4F72-B245-E76EDF1B6586}" name="Preparacion" dataDxfId="4086"/>
  </tableColumns>
  <tableStyleInfo showFirstColumn="0" showLastColumn="0" showRowStripes="1" showColumnStripes="0"/>
</table>
</file>

<file path=xl/tables/table3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1" xr:uid="{12058107-5209-4EFD-8FE3-0EF8ECDA5747}" name="Tabla461487182381461474537543558562" displayName="Tabla461487182381461474537543558562" ref="M64:M68" totalsRowShown="0" headerRowDxfId="4085" dataDxfId="4084" tableBorderDxfId="4083">
  <autoFilter ref="M64:M68" xr:uid="{12058107-5209-4EFD-8FE3-0EF8ECDA5747}"/>
  <tableColumns count="1">
    <tableColumn id="1" xr3:uid="{8E018D89-35A7-481C-AB30-B3F24194FB1A}" name="Emplatado" dataDxfId="4082"/>
  </tableColumns>
  <tableStyleInfo showFirstColumn="0" showLastColumn="0" showRowStripes="1" showColumnStripes="0"/>
</table>
</file>

<file path=xl/tables/table3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2" xr:uid="{665E3B5A-7D8C-4607-94A3-7D3041B761C1}" name="Tabla461487182457473536542557563" displayName="Tabla461487182457473536542557563" ref="M76:M80" totalsRowShown="0" headerRowDxfId="4081" dataDxfId="4080" tableBorderDxfId="4079">
  <autoFilter ref="M76:M80" xr:uid="{665E3B5A-7D8C-4607-94A3-7D3041B761C1}"/>
  <tableColumns count="1">
    <tableColumn id="1" xr3:uid="{AD34A44B-FC21-47D5-9A00-D8018558CB31}" name="Preparacion" dataDxfId="4078"/>
  </tableColumns>
  <tableStyleInfo showFirstColumn="0" showLastColumn="0" showRowStripes="1" showColumnStripes="0"/>
</table>
</file>

<file path=xl/tables/table3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3" xr:uid="{E4DB5BEC-0B2D-4E37-ADE8-7B99C3F3DA3E}" name="Tabla461487182381461474537543558564" displayName="Tabla461487182381461474537543558564" ref="M82:M86" totalsRowShown="0" headerRowDxfId="4077" dataDxfId="4076" tableBorderDxfId="4075">
  <autoFilter ref="M82:M86" xr:uid="{E4DB5BEC-0B2D-4E37-ADE8-7B99C3F3DA3E}"/>
  <tableColumns count="1">
    <tableColumn id="1" xr3:uid="{A668FBAE-066C-452A-B836-3483B1840E92}" name="Emplatado" dataDxfId="4074"/>
  </tableColumns>
  <tableStyleInfo showFirstColumn="0" showLastColumn="0" showRowStripes="1" showColumnStripes="0"/>
</table>
</file>

<file path=xl/tables/table3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4" xr:uid="{2E88C996-88E2-4BF2-82AA-B0A5E807D10F}" name="Tabla461487182457473536542557565" displayName="Tabla461487182457473536542557565" ref="M95:M99" totalsRowShown="0" headerRowDxfId="4073" dataDxfId="4072" tableBorderDxfId="4071">
  <autoFilter ref="M95:M99" xr:uid="{2E88C996-88E2-4BF2-82AA-B0A5E807D10F}"/>
  <tableColumns count="1">
    <tableColumn id="1" xr3:uid="{9B30FB10-7761-4536-AFD6-1CE16FDBE7C9}" name="Preparacion" dataDxfId="4070"/>
  </tableColumns>
  <tableStyleInfo showFirstColumn="0" showLastColumn="0" showRowStripes="1" showColumnStripes="0"/>
</table>
</file>

<file path=xl/tables/table3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5" xr:uid="{E66B47D1-1FD6-42DA-9A14-8F69B9770858}" name="Tabla461487182381461474537543558566" displayName="Tabla461487182381461474537543558566" ref="M101:M105" totalsRowShown="0" headerRowDxfId="4069" dataDxfId="4068" tableBorderDxfId="4067">
  <autoFilter ref="M101:M105" xr:uid="{E66B47D1-1FD6-42DA-9A14-8F69B9770858}"/>
  <tableColumns count="1">
    <tableColumn id="1" xr3:uid="{FE1C23B3-1204-43F6-A535-A86EFA486CE4}" name="Emplatado" dataDxfId="4066"/>
  </tableColumns>
  <tableStyleInfo showFirstColumn="0" showLastColumn="0" showRowStripes="1" showColumnStripes="0"/>
</table>
</file>

<file path=xl/tables/table3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6" xr:uid="{744ABD3E-CFDD-42D2-9BC3-2087D074BA4E}" name="Tabla461487182381461474537543558566567" displayName="Tabla461487182381461474537543558566567" ref="M10:M14" totalsRowShown="0" headerRowDxfId="4065" dataDxfId="4064" tableBorderDxfId="4063">
  <autoFilter ref="M10:M14" xr:uid="{744ABD3E-CFDD-42D2-9BC3-2087D074BA4E}"/>
  <tableColumns count="1">
    <tableColumn id="1" xr3:uid="{F830CC44-8543-4733-9474-63F5612BC2C8}" name="Emplatado" dataDxfId="4062"/>
  </tableColumns>
  <tableStyleInfo showFirstColumn="0" showLastColumn="0" showRowStripes="1" showColumnStripes="0"/>
</table>
</file>

<file path=xl/tables/table3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FD028057-911C-43BE-9606-F2E82C4133DB}" name="Tabla1103453454455456479455868778695" displayName="Tabla1103453454455456479455868778695" ref="B7:H19" totalsRowCount="1" headerRowDxfId="5105" dataDxfId="5103" totalsRowDxfId="5101" headerRowBorderDxfId="5104" tableBorderDxfId="5102" totalsRowBorderDxfId="5100">
  <autoFilter ref="B7:H18" xr:uid="{25E24D6A-940D-4437-B263-679AE371D044}"/>
  <sortState xmlns:xlrd2="http://schemas.microsoft.com/office/spreadsheetml/2017/richdata2" ref="B8:H18">
    <sortCondition descending="1" ref="H10:H18"/>
  </sortState>
  <tableColumns count="7">
    <tableColumn id="2" xr3:uid="{CC65B3E7-1CE6-49F5-B7A7-06B6E18546C5}" name="Ingrediente" dataDxfId="5099" totalsRowDxfId="5098"/>
    <tableColumn id="3" xr3:uid="{FCBAEA51-3A99-4478-81D5-5297CC1DAD89}" name="Und" dataDxfId="5097" totalsRowDxfId="5096"/>
    <tableColumn id="4" xr3:uid="{C2364A47-01CA-492F-A8D8-56B9B7A4AAE2}" name="Cant." dataDxfId="5095" totalsRowDxfId="5094"/>
    <tableColumn id="1" xr3:uid="{DEB62003-E04B-423B-A6B5-AC090319B0F7}" name="Columna1" dataDxfId="5093" totalsRowDxfId="5092"/>
    <tableColumn id="7" xr3:uid="{9D0394F5-C94A-43ED-8CBD-F14D429B8168}" name="Columna2" dataDxfId="5091" totalsRowDxfId="5090"/>
    <tableColumn id="5" xr3:uid="{0D12DCE1-BC90-4585-9669-6611FDA0EB25}" name="Costo" dataDxfId="5089" totalsRowDxfId="5088" dataCellStyle="Moneda">
      <calculatedColumnFormula>+VLOOKUP(Tabla1103453454455456479455868778695[[#This Row],[Ingrediente]],Tabla34[#All],3,0)</calculatedColumnFormula>
    </tableColumn>
    <tableColumn id="6" xr3:uid="{D479E305-D7F9-4CD7-9DA1-23C8415739D9}" name="Total costo" totalsRowFunction="sum" dataDxfId="5087" totalsRowDxfId="5086" dataCellStyle="Moneda">
      <calculatedColumnFormula>+Tabla1103453454455456479455868778695[[#This Row],[Costo]]*Tabla1103453454455456479455868778695[[#This Row],[Columna2]]</calculatedColumnFormula>
    </tableColumn>
  </tableColumns>
  <tableStyleInfo name="TableStyleLight8" showFirstColumn="0" showLastColumn="0" showRowStripes="1" showColumnStripes="0"/>
</table>
</file>

<file path=xl/tables/table3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CD55303-937B-4473-9D38-9EBA9D8E61E8}" name="Tabla110345345445545647936465969788796" displayName="Tabla110345345445545647936465969788796" ref="B24:H32" totalsRowCount="1" headerRowDxfId="5085" dataDxfId="5083" totalsRowDxfId="5081" headerRowBorderDxfId="5084" tableBorderDxfId="5082" totalsRowBorderDxfId="5080">
  <autoFilter ref="B24:H31" xr:uid="{465BE583-B429-4C2B-93EC-227E72041455}"/>
  <sortState xmlns:xlrd2="http://schemas.microsoft.com/office/spreadsheetml/2017/richdata2" ref="B25:H31">
    <sortCondition descending="1" ref="H30:H31"/>
  </sortState>
  <tableColumns count="7">
    <tableColumn id="2" xr3:uid="{4B22FAC8-E15C-4D39-AD41-22135B784777}" name="Ingrediente" dataDxfId="5079" totalsRowDxfId="5078"/>
    <tableColumn id="3" xr3:uid="{753C0D71-F9A1-43AA-9A90-EAC767B1CE79}" name="Und" dataDxfId="5077" totalsRowDxfId="5076"/>
    <tableColumn id="4" xr3:uid="{C56648E4-A247-460F-96A6-60DDD8F827D0}" name="Cant." dataDxfId="5075" totalsRowDxfId="5074"/>
    <tableColumn id="1" xr3:uid="{FF7B2386-9708-4E0F-B276-BA3F0354C91E}" name="Columna1" dataDxfId="5073" totalsRowDxfId="5072"/>
    <tableColumn id="7" xr3:uid="{12B768BB-194F-454E-9555-9539066BEFAE}" name="Columna2" dataDxfId="5071" totalsRowDxfId="5070"/>
    <tableColumn id="5" xr3:uid="{2B3599C4-CACF-4E38-934A-3A8837BE9E69}" name="Costo" dataDxfId="5069" totalsRowDxfId="5068" dataCellStyle="Moneda">
      <calculatedColumnFormula>+VLOOKUP(Tabla110345345445545647936465969788796[[#This Row],[Ingrediente]],Tabla34[#All],3,0)</calculatedColumnFormula>
    </tableColumn>
    <tableColumn id="6" xr3:uid="{AE395113-B0F4-4455-AA7C-B45C6E55AB93}" name="Total costo" totalsRowFunction="sum" dataDxfId="5067" totalsRowDxfId="5066" dataCellStyle="Moneda">
      <calculatedColumnFormula>+Tabla110345345445545647936465969788796[[#This Row],[Costo]]*Tabla110345345445545647936465969788796[[#This Row],[Columna2]]</calculatedColumnFormula>
    </tableColumn>
  </tableColumns>
  <tableStyleInfo name="TableStyleLight8" showFirstColumn="0" showLastColumn="0" showRowStripes="1" showColumnStripes="0"/>
</table>
</file>

<file path=xl/tables/table3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8E7A57B1-756C-4638-95F0-4A8EE08E5EC3}" name="Tabla11034534544554564793637476070798897" displayName="Tabla11034534544554564793637476070798897" ref="B36:H50" totalsRowCount="1" headerRowDxfId="5065" dataDxfId="5063" totalsRowDxfId="5061" headerRowBorderDxfId="5064" tableBorderDxfId="5062" totalsRowBorderDxfId="5060">
  <autoFilter ref="B36:H49" xr:uid="{D046284E-C2C1-4680-A383-F9B742CBF79C}"/>
  <sortState xmlns:xlrd2="http://schemas.microsoft.com/office/spreadsheetml/2017/richdata2" ref="B37:H49">
    <sortCondition descending="1" ref="H42:H49"/>
  </sortState>
  <tableColumns count="7">
    <tableColumn id="2" xr3:uid="{31A1E44D-D2B0-4771-ADCE-D8C5E126D90A}" name="Ingrediente" dataDxfId="5059" totalsRowDxfId="5058"/>
    <tableColumn id="3" xr3:uid="{B38E633D-E154-4F5F-A2D9-0041DFCA2477}" name="Und" dataDxfId="5057" totalsRowDxfId="5056"/>
    <tableColumn id="4" xr3:uid="{8F29A64E-8135-49A9-A76C-3475D9E20E50}" name="Cant." dataDxfId="5055" totalsRowDxfId="5054"/>
    <tableColumn id="1" xr3:uid="{085CFD10-2182-4299-BDE5-A6D34C729734}" name="Columna1" dataDxfId="5053" totalsRowDxfId="5052"/>
    <tableColumn id="7" xr3:uid="{C4FE8A39-A065-4E4F-ACA2-58F5DB7F6AB9}" name="Columna2" dataDxfId="5051" totalsRowDxfId="5050"/>
    <tableColumn id="5" xr3:uid="{75BA3979-A058-4B64-8E67-56845467077D}" name="Costo" dataDxfId="5049" totalsRowDxfId="5048" dataCellStyle="Moneda">
      <calculatedColumnFormula>+VLOOKUP(Tabla11034534544554564793637476070798897[[#This Row],[Ingrediente]],Tabla34[#All],3,0)</calculatedColumnFormula>
    </tableColumn>
    <tableColumn id="6" xr3:uid="{8BCA137D-7E88-4706-AED3-EE5346B63356}" name="Total costo" totalsRowFunction="sum" dataDxfId="5047" totalsRowDxfId="5046" dataCellStyle="Moneda">
      <calculatedColumnFormula>+Tabla11034534544554564793637476070798897[[#This Row],[Costo]]*Tabla11034534544554564793637476070798897[[#This Row],[Columna2]]</calculatedColumnFormula>
    </tableColumn>
  </tableColumns>
  <tableStyleInfo name="TableStyleLight8" showFirstColumn="0" showLastColumn="0" showRowStripes="1" showColumnStripes="0"/>
</table>
</file>

<file path=xl/tables/table3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7AA32FEB-AF0D-4F53-BE24-020A2ABD6E04}" name="Tabla11034534544554564793638486171808998" displayName="Tabla11034534544554564793638486171808998" ref="B53:H67" totalsRowCount="1" headerRowDxfId="5045" dataDxfId="5043" totalsRowDxfId="5041" headerRowBorderDxfId="5044" tableBorderDxfId="5042" totalsRowBorderDxfId="5040">
  <autoFilter ref="B53:H66" xr:uid="{C36CCCC4-7A27-4243-8E76-2253568FF38F}"/>
  <sortState xmlns:xlrd2="http://schemas.microsoft.com/office/spreadsheetml/2017/richdata2" ref="B54:H66">
    <sortCondition descending="1" ref="H60:H66"/>
  </sortState>
  <tableColumns count="7">
    <tableColumn id="2" xr3:uid="{CC6B529F-968A-4886-B2EA-8156A7872472}" name="Ingrediente" dataDxfId="5039" totalsRowDxfId="5038"/>
    <tableColumn id="3" xr3:uid="{E611DBA9-F6FB-44F7-BDA6-44BDD16D5915}" name="Und" dataDxfId="5037" totalsRowDxfId="5036"/>
    <tableColumn id="4" xr3:uid="{A29CC066-5DB9-4C97-AEBE-5A487F35AFA7}" name="Cant." dataDxfId="5035" totalsRowDxfId="5034"/>
    <tableColumn id="1" xr3:uid="{240281AB-E962-43B0-A05F-946DA4B1F955}" name="Columna1" dataDxfId="5033" totalsRowDxfId="5032"/>
    <tableColumn id="7" xr3:uid="{35DC7041-E9AD-4C5E-B735-D22D3441D8FE}" name="Columna2" dataDxfId="5031" totalsRowDxfId="5030"/>
    <tableColumn id="5" xr3:uid="{AEA938A1-F292-4018-82E4-0C9D61EEDC8A}" name="Costo" dataDxfId="5029" totalsRowDxfId="5028" dataCellStyle="Moneda">
      <calculatedColumnFormula>+VLOOKUP(Tabla11034534544554564793638486171808998[[#This Row],[Ingrediente]],Tabla34[#All],3,0)</calculatedColumnFormula>
    </tableColumn>
    <tableColumn id="6" xr3:uid="{210F1892-0774-498E-8357-6C1E0008882A}" name="Total costo" totalsRowFunction="sum" dataDxfId="5027" totalsRowDxfId="5026" dataCellStyle="Moneda">
      <calculatedColumnFormula>+Tabla11034534544554564793638486171808998[[#This Row],[Costo]]*Tabla11034534544554564793638486171808998[[#This Row],[Columna2]]</calculatedColumnFormula>
    </tableColumn>
  </tableColumns>
  <tableStyleInfo name="TableStyleLight8" showFirstColumn="0" showLastColumn="0" showRowStripes="1" showColumnStripes="0"/>
</table>
</file>

<file path=xl/tables/table3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EC8074F-003E-46B5-90CD-935C8240DA7D}" name="Tabla11034534544554564793639496272819099" displayName="Tabla11034534544554564793639496272819099" ref="B70:H88" totalsRowCount="1" headerRowDxfId="5025" dataDxfId="5023" totalsRowDxfId="5021" headerRowBorderDxfId="5024" tableBorderDxfId="5022" totalsRowBorderDxfId="5020">
  <autoFilter ref="B70:H87" xr:uid="{E62057E2-89CF-41E7-BB60-37ADC6497F01}"/>
  <sortState xmlns:xlrd2="http://schemas.microsoft.com/office/spreadsheetml/2017/richdata2" ref="B71:H87">
    <sortCondition descending="1" ref="H77:H87"/>
  </sortState>
  <tableColumns count="7">
    <tableColumn id="2" xr3:uid="{F99E3C4C-3001-411D-8F97-EC02880F90E1}" name="Ingrediente" dataDxfId="5019" totalsRowDxfId="5018"/>
    <tableColumn id="3" xr3:uid="{2EA301A9-2D11-4A2E-A2D7-4AD295D7573A}" name="Und" dataDxfId="5017" totalsRowDxfId="5016"/>
    <tableColumn id="4" xr3:uid="{449118E8-A8C7-45AC-8EA2-54468F98D5DB}" name="Cant." dataDxfId="5015" totalsRowDxfId="5014"/>
    <tableColumn id="1" xr3:uid="{AB47F98A-6E92-45A6-9DA5-D7A7D268D265}" name="Columna1" dataDxfId="5013" totalsRowDxfId="5012"/>
    <tableColumn id="7" xr3:uid="{BCBFA38C-AE95-4C33-88F6-FFF149465FCB}" name="Columna2" dataDxfId="5011" totalsRowDxfId="5010"/>
    <tableColumn id="5" xr3:uid="{F9688387-5ED4-4477-9EC4-4D9828FFE46E}" name="Costo" dataDxfId="5009" totalsRowDxfId="5008" dataCellStyle="Moneda">
      <calculatedColumnFormula>+VLOOKUP(Tabla11034534544554564793639496272819099[[#This Row],[Ingrediente]],Tabla34[#All],3,0)</calculatedColumnFormula>
    </tableColumn>
    <tableColumn id="6" xr3:uid="{DC93DC22-240F-4205-A982-0106DFC1CE86}" name="Total costo" totalsRowFunction="sum" dataDxfId="5007" totalsRowDxfId="5006" dataCellStyle="Moneda">
      <calculatedColumnFormula>+Tabla11034534544554564793639496272819099[[#This Row],[Costo]]*Tabla11034534544554564793639496272819099[[#This Row],[Columna2]]</calculatedColumnFormula>
    </tableColumn>
  </tableColumns>
  <tableStyleInfo name="TableStyleLight8" showFirstColumn="0" showLastColumn="0" showRowStripes="1" showColumnStripes="0"/>
</table>
</file>

<file path=xl/tables/table3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1DDE9028-6D35-4FD2-922A-360BD28B149B}" name="Tabla110345345445545647936405063738291100" displayName="Tabla110345345445545647936405063738291100" ref="B92:H108" totalsRowCount="1" headerRowDxfId="5005" dataDxfId="5003" totalsRowDxfId="5001" headerRowBorderDxfId="5004" tableBorderDxfId="5002" totalsRowBorderDxfId="5000">
  <autoFilter ref="B92:H107" xr:uid="{629975DE-B647-4B8B-92CB-C56339E05411}"/>
  <sortState xmlns:xlrd2="http://schemas.microsoft.com/office/spreadsheetml/2017/richdata2" ref="B93:H100">
    <sortCondition descending="1" ref="H94:H100"/>
  </sortState>
  <tableColumns count="7">
    <tableColumn id="2" xr3:uid="{AAC2A70F-D361-4740-8F2B-6AAC42ABD7DD}" name="Ingrediente" dataDxfId="4999" totalsRowDxfId="4998"/>
    <tableColumn id="3" xr3:uid="{2893D3DB-6E0B-4CDA-8811-DDB0482F897D}" name="Und" dataDxfId="4997" totalsRowDxfId="4996"/>
    <tableColumn id="4" xr3:uid="{E6BFCA27-199A-48E3-A0DD-B731ECFE2C2E}" name="Cant." dataDxfId="4995" totalsRowDxfId="4994"/>
    <tableColumn id="1" xr3:uid="{273FA435-5CD9-4473-A28C-1644E80043AE}" name="Columna1" dataDxfId="4993" totalsRowDxfId="4992"/>
    <tableColumn id="7" xr3:uid="{0EA47E16-7F1B-4CD7-8541-605AB5C2EFD6}" name="Columna2" dataDxfId="4991" totalsRowDxfId="4990"/>
    <tableColumn id="5" xr3:uid="{BF01DE4B-442D-449F-97B9-C89921DF0226}" name="Costo" dataDxfId="4989" totalsRowDxfId="4988" dataCellStyle="Moneda">
      <calculatedColumnFormula>+VLOOKUP(Tabla110345345445545647936405063738291100[[#This Row],[Ingrediente]],Tabla34[#All],3,0)</calculatedColumnFormula>
    </tableColumn>
    <tableColumn id="6" xr3:uid="{EE977546-1456-4B27-A47E-0C2F362B51B3}" name="Total costo" totalsRowFunction="sum" dataDxfId="4987" totalsRowDxfId="4986" dataCellStyle="Moneda">
      <calculatedColumnFormula>+Tabla110345345445545647936405063738291100[[#This Row],[Costo]]*Tabla110345345445545647936405063738291100[[#This Row],[Columna2]]</calculatedColumnFormula>
    </tableColumn>
  </tableColumns>
  <tableStyleInfo name="TableStyleLight8" showFirstColumn="0" showLastColumn="0" showRowStripes="1" showColumnStripes="0"/>
</table>
</file>

<file path=xl/tables/table3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8526A289-5435-4CD3-85D5-EA0494756C3F}" name="Tabla110345345445545647936425164748392101" displayName="Tabla110345345445545647936425164748392101" ref="B111:H122" totalsRowCount="1" headerRowDxfId="4985" dataDxfId="4983" totalsRowDxfId="4981" headerRowBorderDxfId="4984" tableBorderDxfId="4982" totalsRowBorderDxfId="4980">
  <autoFilter ref="B111:H121" xr:uid="{3EE5C2FA-750C-416A-9A8F-6014417C48E2}">
    <filterColumn colId="0">
      <filters>
        <filter val="SALSA DE SOYA X 2O LITROS"/>
        <filter val="SUB. BBQ DE MANGO"/>
        <filter val="SUB. CHIMICHURRY ROJO"/>
        <filter val="SUB. CHIMICHURRY VERDE"/>
        <filter val="SUB. COSTILLA"/>
        <filter val="SUB. MIEL MOSTAZA"/>
        <filter val="SUB. PASTA DE AJO"/>
        <filter val="TOMATE CHONTO X KILO"/>
        <filter val="VINO BLANCO CAVIC TETRAPACK X 1LT"/>
      </filters>
    </filterColumn>
  </autoFilter>
  <sortState xmlns:xlrd2="http://schemas.microsoft.com/office/spreadsheetml/2017/richdata2" ref="B112:H121">
    <sortCondition descending="1" ref="H114:H121"/>
  </sortState>
  <tableColumns count="7">
    <tableColumn id="2" xr3:uid="{4AD13D80-B7B0-4501-AF62-0967A636A5CC}" name="Ingrediente" dataDxfId="4979" totalsRowDxfId="4978"/>
    <tableColumn id="3" xr3:uid="{9E2B449C-20C6-4AAB-BDEA-E3C3D158E07D}" name="Und" dataDxfId="4977" totalsRowDxfId="4976"/>
    <tableColumn id="4" xr3:uid="{A9F74BD0-5920-4C3E-B0EB-FC666DCB9357}" name="Cant." dataDxfId="4975" totalsRowDxfId="4974"/>
    <tableColumn id="1" xr3:uid="{0594A943-7796-48D3-A9D7-854949232D54}" name="Columna1" dataDxfId="4973" totalsRowDxfId="4972"/>
    <tableColumn id="7" xr3:uid="{62FBCE1B-6CA8-4CA1-9028-AB562BC7B731}" name="Columna2" dataDxfId="4971" totalsRowDxfId="4970"/>
    <tableColumn id="5" xr3:uid="{85D6638A-48A0-4737-B701-F00524B6AFBF}" name="Costo" dataDxfId="4969" totalsRowDxfId="4968" dataCellStyle="Moneda">
      <calculatedColumnFormula>+VLOOKUP(Tabla110345345445545647936425164748392101[[#This Row],[Ingrediente]],Tabla34[#All],3,0)</calculatedColumnFormula>
    </tableColumn>
    <tableColumn id="6" xr3:uid="{5DB4B0FC-554B-4C39-A8AF-81EBBC4DB474}" name="Total costo" totalsRowFunction="sum" dataDxfId="4967" totalsRowDxfId="4966" dataCellStyle="Moneda">
      <calculatedColumnFormula>+Tabla110345345445545647936425164748392101[[#This Row],[Costo]]*Tabla110345345445545647936425164748392101[[#This Row],[Columna2]]</calculatedColumnFormula>
    </tableColumn>
  </tableColumns>
  <tableStyleInfo name="TableStyleLight8" showFirstColumn="0" showLastColumn="0" showRowStripes="1" showColumnStripes="0"/>
</table>
</file>

<file path=xl/tables/table3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1B6231FD-D64B-4339-B3B9-0EFB2976D24D}" name="Tabla110345345445545647936435265758493102" displayName="Tabla110345345445545647936435265758493102" ref="B125:H134" totalsRowCount="1" headerRowDxfId="4965" dataDxfId="4963" totalsRowDxfId="4961" headerRowBorderDxfId="4964" tableBorderDxfId="4962" totalsRowBorderDxfId="4960">
  <autoFilter ref="B125:H133" xr:uid="{4C489715-9E0B-4E4C-B6B2-8303FD83957C}"/>
  <sortState xmlns:xlrd2="http://schemas.microsoft.com/office/spreadsheetml/2017/richdata2" ref="B126:H133">
    <sortCondition descending="1" ref="H127:H133"/>
  </sortState>
  <tableColumns count="7">
    <tableColumn id="2" xr3:uid="{98743D36-A116-4AB9-A4A5-E9E53B9135F3}" name="Ingrediente" dataDxfId="4959" totalsRowDxfId="4958"/>
    <tableColumn id="3" xr3:uid="{E11203A8-E2AB-4E2A-A2B1-13074DEFE326}" name="Und" dataDxfId="4957" totalsRowDxfId="4956"/>
    <tableColumn id="4" xr3:uid="{EA3B6A3E-CCD4-4117-9A1E-D5FA2E5B6129}" name="Cant." dataDxfId="4955" totalsRowDxfId="4954"/>
    <tableColumn id="1" xr3:uid="{6CBCA518-951E-4C97-AEB8-AFB31E717321}" name="Columna1" dataDxfId="4953" totalsRowDxfId="4952"/>
    <tableColumn id="7" xr3:uid="{5373FB94-1747-41BF-9B3B-356300C04994}" name="Columna2" dataDxfId="4951" totalsRowDxfId="4950"/>
    <tableColumn id="5" xr3:uid="{1D0A0FE0-9D47-4089-B314-9248E976E517}" name="Costo" dataDxfId="4949" totalsRowDxfId="4948" dataCellStyle="Moneda">
      <calculatedColumnFormula>+VLOOKUP(Tabla110345345445545647936435265758493102[[#This Row],[Ingrediente]],Tabla34[#All],3,0)</calculatedColumnFormula>
    </tableColumn>
    <tableColumn id="6" xr3:uid="{96F62327-3CBC-4A25-9652-EAB4A8A50BDE}" name="Total costo" totalsRowFunction="sum" dataDxfId="4947" totalsRowDxfId="4946" dataCellStyle="Moneda">
      <calculatedColumnFormula>+Tabla110345345445545647936435265758493102[[#This Row],[Costo]]*Tabla110345345445545647936435265758493102[[#This Row],[Columna2]]</calculatedColumnFormula>
    </tableColumn>
  </tableColumns>
  <tableStyleInfo name="TableStyleLight8" showFirstColumn="0" showLastColumn="0" showRowStripes="1" showColumnStripes="0"/>
</table>
</file>

<file path=xl/tables/table3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6" xr:uid="{EFDA1B16-CD95-4B18-B763-77596C0D4223}" name="Tabla461487182647" displayName="Tabla461487182647" ref="M6:M9" totalsRowShown="0" headerRowDxfId="3783" dataDxfId="3782" tableBorderDxfId="3781">
  <autoFilter ref="M6:M9" xr:uid="{EFDA1B16-CD95-4B18-B763-77596C0D4223}"/>
  <tableColumns count="1">
    <tableColumn id="1" xr3:uid="{C4F3927E-82F0-4A83-9A23-9D838F3BFA85}" name="Preparacion" dataDxfId="3780"/>
  </tableColumns>
  <tableStyleInfo showFirstColumn="0" showLastColumn="0" showRowStripes="1" showColumnStripes="0"/>
</table>
</file>

<file path=xl/tables/table3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7" xr:uid="{68561F9E-5049-4431-85E4-E2442B78CA28}" name="Tabla461487182381648" displayName="Tabla461487182381648" ref="M11:M14" totalsRowShown="0" headerRowDxfId="3779" dataDxfId="3778" tableBorderDxfId="3777">
  <autoFilter ref="M11:M14" xr:uid="{68561F9E-5049-4431-85E4-E2442B78CA28}"/>
  <tableColumns count="1">
    <tableColumn id="1" xr3:uid="{49DF885B-AD01-4C9A-843D-BB6A28AAC870}" name="Emplatado" dataDxfId="3776"/>
  </tableColumns>
  <tableStyleInfo showFirstColumn="0" showLastColumn="0" showRowStripes="1" showColumnStripes="0"/>
</table>
</file>

<file path=xl/tables/table3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8" xr:uid="{D7602C1B-C2A4-455C-921A-F85CF8D90AEB}" name="Tabla461487182647649" displayName="Tabla461487182647649" ref="M23:M28" totalsRowShown="0" headerRowDxfId="3775" dataDxfId="3774" tableBorderDxfId="3773">
  <autoFilter ref="M23:M28" xr:uid="{D7602C1B-C2A4-455C-921A-F85CF8D90AEB}"/>
  <tableColumns count="1">
    <tableColumn id="1" xr3:uid="{DE8EEAF2-8CC5-44CF-B9DC-FF1AA858C9C9}" name="Preparacion" dataDxfId="3772"/>
  </tableColumns>
  <tableStyleInfo showFirstColumn="0" showLastColumn="0" showRowStripes="1" showColumnStripes="0"/>
</table>
</file>

<file path=xl/tables/table3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9" xr:uid="{342A1E21-E04E-4735-A6C7-BDAE1329B0EA}" name="Tabla461487182381648650" displayName="Tabla461487182381648650" ref="M30:M33" totalsRowShown="0" headerRowDxfId="3771" dataDxfId="3770" tableBorderDxfId="3769">
  <autoFilter ref="M30:M33" xr:uid="{342A1E21-E04E-4735-A6C7-BDAE1329B0EA}"/>
  <tableColumns count="1">
    <tableColumn id="1" xr3:uid="{9EC9E640-DF56-4D90-B9DD-1E5891F1D6FB}" name="Emplatado" dataDxfId="3768"/>
  </tableColumns>
  <tableStyleInfo showFirstColumn="0" showLastColumn="0" showRowStripes="1" showColumnStripes="0"/>
</table>
</file>

<file path=xl/tables/table3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0" xr:uid="{9B2D3A52-0BCB-44C0-819E-853DF74A17DF}" name="Tabla461487182647649651" displayName="Tabla461487182647649651" ref="M35:M40" totalsRowShown="0" headerRowDxfId="3767" dataDxfId="3766" tableBorderDxfId="3765">
  <autoFilter ref="M35:M40" xr:uid="{9B2D3A52-0BCB-44C0-819E-853DF74A17DF}"/>
  <tableColumns count="1">
    <tableColumn id="1" xr3:uid="{642DC7F9-786E-4D4C-8597-5C068C7B75CC}" name="Preparacion" dataDxfId="3764"/>
  </tableColumns>
  <tableStyleInfo showFirstColumn="0" showLastColumn="0" showRowStripes="1" showColumnStripes="0"/>
</table>
</file>

<file path=xl/tables/table3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1" xr:uid="{4E6AA59A-3AF7-40F5-AEE3-040E6AB2910E}" name="Tabla461487182381648650652" displayName="Tabla461487182381648650652" ref="M42:M45" totalsRowShown="0" headerRowDxfId="3763" dataDxfId="3762" tableBorderDxfId="3761">
  <autoFilter ref="M42:M45" xr:uid="{4E6AA59A-3AF7-40F5-AEE3-040E6AB2910E}"/>
  <tableColumns count="1">
    <tableColumn id="1" xr3:uid="{5CA70568-47AB-45D8-8DA3-DE8AA731FBB6}" name="Emplatado" dataDxfId="3760"/>
  </tableColumns>
  <tableStyleInfo showFirstColumn="0" showLastColumn="0" showRowStripes="1" showColumnStripes="0"/>
</table>
</file>

<file path=xl/tables/table3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2" xr:uid="{B559E1D1-AB69-453B-8B0B-22B85DE069FE}" name="Tabla461487182647649651653" displayName="Tabla461487182647649651653" ref="M52:M55" totalsRowShown="0" headerRowDxfId="3759" dataDxfId="3758" tableBorderDxfId="3757">
  <autoFilter ref="M52:M55" xr:uid="{B559E1D1-AB69-453B-8B0B-22B85DE069FE}"/>
  <tableColumns count="1">
    <tableColumn id="1" xr3:uid="{D6EDD94A-385F-4EB9-848A-28C80505209C}" name="Preparacion" dataDxfId="3756"/>
  </tableColumns>
  <tableStyleInfo showFirstColumn="0" showLastColumn="0" showRowStripes="1" showColumnStripes="0"/>
</table>
</file>

<file path=xl/tables/table3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3" xr:uid="{E7ADE9AC-E2AA-440A-9538-14FE50FFA361}" name="Tabla461487182381648650652654" displayName="Tabla461487182381648650652654" ref="M57:M59" totalsRowShown="0" headerRowDxfId="3755" dataDxfId="3754" tableBorderDxfId="3753">
  <autoFilter ref="M57:M59" xr:uid="{E7ADE9AC-E2AA-440A-9538-14FE50FFA361}"/>
  <tableColumns count="1">
    <tableColumn id="1" xr3:uid="{BE52FE35-B6DA-4EBC-943A-CAE40F687869}" name="Emplatado" dataDxfId="3752"/>
  </tableColumns>
  <tableStyleInfo showFirstColumn="0" showLastColumn="0" showRowStripes="1" showColumnStripes="0"/>
</table>
</file>

<file path=xl/tables/table3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4" xr:uid="{338C8359-C517-4B17-975C-287F3E59D2A3}" name="Tabla461487182647649651655" displayName="Tabla461487182647649651655" ref="M69:M72" totalsRowShown="0" headerRowDxfId="3751" dataDxfId="3750" tableBorderDxfId="3749">
  <autoFilter ref="M69:M72" xr:uid="{338C8359-C517-4B17-975C-287F3E59D2A3}"/>
  <tableColumns count="1">
    <tableColumn id="1" xr3:uid="{E1DB8547-8C2B-4FF9-B9A4-7FFC08155FF9}" name="Preparacion" dataDxfId="3748"/>
  </tableColumns>
  <tableStyleInfo showFirstColumn="0" showLastColumn="0" showRowStripes="1" showColumnStripes="0"/>
</table>
</file>

<file path=xl/tables/table3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5" xr:uid="{89573479-5340-4CA6-BA79-91E32BE127E6}" name="Tabla461487182381648650652656" displayName="Tabla461487182381648650652656" ref="M74:M77" totalsRowShown="0" headerRowDxfId="3747" dataDxfId="3746" tableBorderDxfId="3745">
  <autoFilter ref="M74:M77" xr:uid="{89573479-5340-4CA6-BA79-91E32BE127E6}"/>
  <tableColumns count="1">
    <tableColumn id="1" xr3:uid="{FE3D8E8C-A5EC-4A24-B802-ED5B1A984D45}" name="Emplatado" dataDxfId="3744"/>
  </tableColumns>
  <tableStyleInfo showFirstColumn="0" showLastColumn="0" showRowStripes="1" showColumnStripes="0"/>
</table>
</file>

<file path=xl/tables/table3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6" xr:uid="{D4490070-0D87-45E5-A24C-0C5E76B963B7}" name="Tabla461487182647649651657" displayName="Tabla461487182647649651657" ref="M91:M94" totalsRowShown="0" headerRowDxfId="3743" dataDxfId="3742" tableBorderDxfId="3741">
  <autoFilter ref="M91:M94" xr:uid="{D4490070-0D87-45E5-A24C-0C5E76B963B7}"/>
  <tableColumns count="1">
    <tableColumn id="1" xr3:uid="{9C1B67C7-5109-46BA-B7AF-727675CAB26B}" name="Preparacion" dataDxfId="3740"/>
  </tableColumns>
  <tableStyleInfo showFirstColumn="0" showLastColumn="0" showRowStripes="1" showColumnStripes="0"/>
</table>
</file>

<file path=xl/tables/table3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7" xr:uid="{6FB28EBA-A7F1-4672-9754-3ACDFDDA1BF4}" name="Tabla461487182381648650652658" displayName="Tabla461487182381648650652658" ref="M96:M99" totalsRowShown="0" headerRowDxfId="3739" dataDxfId="3738" tableBorderDxfId="3737">
  <autoFilter ref="M96:M99" xr:uid="{6FB28EBA-A7F1-4672-9754-3ACDFDDA1BF4}"/>
  <tableColumns count="1">
    <tableColumn id="1" xr3:uid="{50F8F886-C3FA-4A52-8171-9216B3723586}" name="Emplatado" dataDxfId="3736"/>
  </tableColumns>
  <tableStyleInfo showFirstColumn="0" showLastColumn="0" showRowStripes="1" showColumnStripes="0"/>
</table>
</file>

<file path=xl/tables/table3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8" xr:uid="{80863871-B74E-4725-AB68-D320BF1A8127}" name="Tabla461487182647649651659" displayName="Tabla461487182647649651659" ref="M110:M113" totalsRowShown="0" headerRowDxfId="3735" dataDxfId="3734" tableBorderDxfId="3733">
  <autoFilter ref="M110:M113" xr:uid="{80863871-B74E-4725-AB68-D320BF1A8127}"/>
  <tableColumns count="1">
    <tableColumn id="1" xr3:uid="{CA0CD66D-0A58-401F-B501-EDBE3B11FB2E}" name="Preparacion" dataDxfId="3732"/>
  </tableColumns>
  <tableStyleInfo showFirstColumn="0" showLastColumn="0" showRowStripes="1" showColumnStripes="0"/>
</table>
</file>

<file path=xl/tables/table3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9" xr:uid="{7124DE33-AC01-4ADC-951A-FBFC8C491851}" name="Tabla461487182381648650652660" displayName="Tabla461487182381648650652660" ref="M117:M119" totalsRowShown="0" headerRowDxfId="3731" dataDxfId="3730" tableBorderDxfId="3729">
  <autoFilter ref="M117:M119" xr:uid="{7124DE33-AC01-4ADC-951A-FBFC8C491851}"/>
  <tableColumns count="1">
    <tableColumn id="1" xr3:uid="{8832CCD0-7006-47AE-AC0A-579CADAFE3CE}" name="Emplatado" dataDxfId="3728"/>
  </tableColumns>
  <tableStyleInfo showFirstColumn="0" showLastColumn="0" showRowStripes="1" showColumnStripes="0"/>
</table>
</file>

<file path=xl/tables/table3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0" xr:uid="{D11F6D71-B896-4EF2-BD2E-0E3197D993E7}" name="Tabla461487182647649651661" displayName="Tabla461487182647649651661" ref="M124:M127" totalsRowShown="0" headerRowDxfId="3727" dataDxfId="3726" tableBorderDxfId="3725">
  <autoFilter ref="M124:M127" xr:uid="{D11F6D71-B896-4EF2-BD2E-0E3197D993E7}"/>
  <tableColumns count="1">
    <tableColumn id="1" xr3:uid="{67411389-3DEF-4D7F-A6EE-BE440DAD448D}" name="Preparacion" dataDxfId="3724"/>
  </tableColumns>
  <tableStyleInfo showFirstColumn="0" showLastColumn="0" showRowStripes="1" showColumnStripes="0"/>
</table>
</file>

<file path=xl/tables/table3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1" xr:uid="{2A127386-A744-4FA7-A5D0-617A0B065C43}" name="Tabla461487182381648650652662" displayName="Tabla461487182381648650652662" ref="M131:M133" totalsRowShown="0" headerRowDxfId="3723" dataDxfId="3722" tableBorderDxfId="3721">
  <autoFilter ref="M131:M133" xr:uid="{2A127386-A744-4FA7-A5D0-617A0B065C43}"/>
  <tableColumns count="1">
    <tableColumn id="1" xr3:uid="{8666B496-8F30-40B3-9441-470DE4F08ED0}" name="Emplatado" dataDxfId="3720"/>
  </tableColumns>
  <tableStyleInfo showFirstColumn="0" showLastColumn="0" showRowStripes="1" showColumnStripes="0"/>
</table>
</file>

<file path=xl/tables/table3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47B3C98-D2D2-4DBE-A80F-EA13FF24D60C}" name="Tabla1103453454455456479455868" displayName="Tabla1103453454455456479455868" ref="B7:H17" totalsRowCount="1" headerRowDxfId="5482" dataDxfId="5480" totalsRowDxfId="5478" headerRowBorderDxfId="5481" tableBorderDxfId="5479" totalsRowBorderDxfId="5477">
  <autoFilter ref="B7:H16" xr:uid="{25E24D6A-940D-4437-B263-679AE371D044}"/>
  <sortState xmlns:xlrd2="http://schemas.microsoft.com/office/spreadsheetml/2017/richdata2" ref="B8:H15">
    <sortCondition descending="1" ref="B10"/>
  </sortState>
  <tableColumns count="7">
    <tableColumn id="2" xr3:uid="{B4F33E3F-DA8F-45D2-8714-B3BB0B0EFB0C}" name="Ingrediente" dataDxfId="5476" totalsRowDxfId="5475"/>
    <tableColumn id="3" xr3:uid="{4BE6FDF6-92CE-42B4-B03D-0624A1F45664}" name="Und" dataDxfId="5474" totalsRowDxfId="5473"/>
    <tableColumn id="4" xr3:uid="{681F4CA1-782E-420C-AFD0-02EA5385C48A}" name="Cant." dataDxfId="5472" totalsRowDxfId="5471"/>
    <tableColumn id="1" xr3:uid="{4CCAFFB9-9FE3-494D-89ED-696FFA7C8F26}" name="Columna1" dataDxfId="5470" totalsRowDxfId="5469"/>
    <tableColumn id="7" xr3:uid="{8B546662-B4C8-4FAB-B1DD-328ADAF66CDD}" name="Columna2" dataDxfId="5468" totalsRowDxfId="5467"/>
    <tableColumn id="5" xr3:uid="{0F55426C-FBCC-424B-9A23-59F15099F8B5}" name="Costo" dataDxfId="5466" totalsRowDxfId="5465" dataCellStyle="Moneda">
      <calculatedColumnFormula>+VLOOKUP(Tabla1103453454455456479455868[[#This Row],[Ingrediente]],Tabla34[#All],3,0)</calculatedColumnFormula>
    </tableColumn>
    <tableColumn id="6" xr3:uid="{7603C972-3B3D-4415-8C3E-B99DECDB25EE}" name="Total costo" totalsRowFunction="sum" dataDxfId="5464" totalsRowDxfId="5463" dataCellStyle="Moneda">
      <calculatedColumnFormula>+Tabla1103453454455456479455868[[#This Row],[Costo]]*Tabla1103453454455456479455868[[#This Row],[Cant.]]</calculatedColumnFormula>
    </tableColumn>
  </tableColumns>
  <tableStyleInfo name="TableStyleLight8" showFirstColumn="0" showLastColumn="0" showRowStripes="1" showColumnStripes="0"/>
</table>
</file>

<file path=xl/tables/table3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3637290-3097-4A91-9CC5-D50EA1E5718D}" name="Tabla110345345445545647936465969" displayName="Tabla110345345445545647936465969" ref="B21:H29" totalsRowCount="1" headerRowDxfId="5462" dataDxfId="5460" totalsRowDxfId="5458" headerRowBorderDxfId="5461" tableBorderDxfId="5459" totalsRowBorderDxfId="5457">
  <autoFilter ref="B21:H28" xr:uid="{465BE583-B429-4C2B-93EC-227E72041455}"/>
  <sortState xmlns:xlrd2="http://schemas.microsoft.com/office/spreadsheetml/2017/richdata2" ref="B22:H28">
    <sortCondition ref="B26"/>
  </sortState>
  <tableColumns count="7">
    <tableColumn id="2" xr3:uid="{C2C158E7-44A9-4009-89D2-A8512AA78F15}" name="Ingrediente" dataDxfId="5456" totalsRowDxfId="5455"/>
    <tableColumn id="3" xr3:uid="{B5C88397-3DCE-4038-ADB7-C2308494C2A0}" name="Und" dataDxfId="5454" totalsRowDxfId="5453"/>
    <tableColumn id="4" xr3:uid="{2BCB9FB4-C962-425E-8E55-CE53F3538433}" name="Cant." dataDxfId="5452" totalsRowDxfId="5451"/>
    <tableColumn id="1" xr3:uid="{62999CA0-D624-400F-A596-648C27686CFF}" name="Columna1" dataDxfId="5450" totalsRowDxfId="5449"/>
    <tableColumn id="7" xr3:uid="{C5094055-BD1C-43F6-9012-96BA1C1C0620}" name="Columna2" dataDxfId="5448" totalsRowDxfId="5447"/>
    <tableColumn id="5" xr3:uid="{9557E792-9A03-411F-829F-089D7FFDACFE}" name="Costo" dataDxfId="5446" totalsRowDxfId="5445" dataCellStyle="Moneda">
      <calculatedColumnFormula>+VLOOKUP(Tabla110345345445545647936465969[[#This Row],[Ingrediente]],Tabla34[#All],3,0)</calculatedColumnFormula>
    </tableColumn>
    <tableColumn id="6" xr3:uid="{B5F5BD0C-423E-46DD-BCD5-56D463C01F6C}" name="Total costo" totalsRowFunction="sum" dataDxfId="5444" totalsRowDxfId="5443" dataCellStyle="Moneda">
      <calculatedColumnFormula>+Tabla110345345445545647936465969[[#This Row],[Costo]]*Tabla110345345445545647936465969[[#This Row],[Columna2]]</calculatedColumnFormula>
    </tableColumn>
  </tableColumns>
  <tableStyleInfo name="TableStyleLight8" showFirstColumn="0" showLastColumn="0" showRowStripes="1" showColumnStripes="0"/>
</table>
</file>

<file path=xl/tables/table3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9" xr:uid="{8BFEF685-ED6B-48E2-9449-56FE353AB385}" name="Tabla46148714590598600" displayName="Tabla46148714590598600" ref="M6:M10" totalsRowShown="0" headerRowDxfId="3967" dataDxfId="3966" tableBorderDxfId="3965">
  <autoFilter ref="M6:M10" xr:uid="{8BFEF685-ED6B-48E2-9449-56FE353AB385}"/>
  <tableColumns count="1">
    <tableColumn id="1" xr3:uid="{7C3BD739-4D0E-4C61-87C7-9B5BDD146EB5}" name="Preparacion" dataDxfId="3964"/>
  </tableColumns>
  <tableStyleInfo showFirstColumn="0" showLastColumn="0" showRowStripes="1" showColumnStripes="0"/>
</table>
</file>

<file path=xl/tables/table3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0" xr:uid="{E8D485D8-3A87-4CB7-A223-732C253AF87E}" name="Tabla461487182381461474537543558566567591599601" displayName="Tabla461487182381461474537543558566567591599601" ref="M12:M14" totalsRowShown="0" headerRowDxfId="3963" dataDxfId="3962" tableBorderDxfId="3961">
  <autoFilter ref="M12:M14" xr:uid="{E8D485D8-3A87-4CB7-A223-732C253AF87E}"/>
  <tableColumns count="1">
    <tableColumn id="1" xr3:uid="{6EE44B33-BA35-4B38-8309-1C94B6116D74}" name="Emplatado" dataDxfId="3960"/>
  </tableColumns>
  <tableStyleInfo showFirstColumn="0" showLastColumn="0" showRowStripes="1" showColumnStripes="0"/>
</table>
</file>

<file path=xl/tables/table3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1" xr:uid="{F9D3BACC-8E05-4E92-B764-AB14A7994453}" name="Tabla46148714590598600602" displayName="Tabla46148714590598600602" ref="M21:M25" totalsRowShown="0" headerRowDxfId="3959" dataDxfId="3958" tableBorderDxfId="3957">
  <autoFilter ref="M21:M25" xr:uid="{F9D3BACC-8E05-4E92-B764-AB14A7994453}"/>
  <tableColumns count="1">
    <tableColumn id="1" xr3:uid="{C2093EB2-F7FF-4E40-8CDB-171D798E638E}" name="Preparacion" dataDxfId="3956"/>
  </tableColumns>
  <tableStyleInfo showFirstColumn="0" showLastColumn="0" showRowStripes="1" showColumnStripes="0"/>
</table>
</file>

<file path=xl/tables/table3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2" xr:uid="{675A57FC-8751-41F5-BF2A-F0684C002012}" name="Tabla461487182381461474537543558566567591599601603" displayName="Tabla461487182381461474537543558566567591599601603" ref="M27:M29" totalsRowShown="0" headerRowDxfId="3955" dataDxfId="3954" tableBorderDxfId="3953">
  <autoFilter ref="M27:M29" xr:uid="{675A57FC-8751-41F5-BF2A-F0684C002012}"/>
  <tableColumns count="1">
    <tableColumn id="1" xr3:uid="{6FC32BA1-9D93-434B-B938-03500F3861C6}" name="Emplatado" dataDxfId="3952"/>
  </tableColumns>
  <tableStyleInfo showFirstColumn="0" showLastColumn="0" showRowStripes="1" showColumnStripes="0"/>
</table>
</file>

<file path=xl/tables/table3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52BF9644-F4E5-4A97-AB46-36118F8E5AE6}" name="Tabla110345345445545647945586877" displayName="Tabla110345345445545647945586877" ref="B7:H27" totalsRowCount="1" headerRowDxfId="8113" dataDxfId="8111" totalsRowDxfId="8109" headerRowBorderDxfId="8112" tableBorderDxfId="8110" totalsRowBorderDxfId="8108">
  <autoFilter ref="B7:H26" xr:uid="{25E24D6A-940D-4437-B263-679AE371D044}"/>
  <sortState xmlns:xlrd2="http://schemas.microsoft.com/office/spreadsheetml/2017/richdata2" ref="B8:H26">
    <sortCondition ref="B13:B26"/>
  </sortState>
  <tableColumns count="7">
    <tableColumn id="2" xr3:uid="{70916E32-68DD-44D9-8C47-BC651CC63D53}" name="Ingrediente" dataDxfId="8107" totalsRowDxfId="8106"/>
    <tableColumn id="3" xr3:uid="{B4CD8A04-447B-4FA9-BE2B-1119F95EC554}" name="Und" dataDxfId="8105" totalsRowDxfId="8104"/>
    <tableColumn id="4" xr3:uid="{3E791E71-9A6C-4BE3-B94A-B4A92B5FBFBD}" name="Cant." dataDxfId="8103" totalsRowDxfId="8102"/>
    <tableColumn id="1" xr3:uid="{E4AB6BF1-FAE3-441B-90B7-B250DC5F3525}" name="Columna1" dataDxfId="8101" totalsRowDxfId="8100"/>
    <tableColumn id="7" xr3:uid="{045139CE-6120-433D-B827-53B12FA6E4E5}" name="Columna2" dataDxfId="8099" totalsRowDxfId="8098"/>
    <tableColumn id="5" xr3:uid="{FA4C6DBA-4B2D-44A2-A922-D6F8A67C27EB}" name="Costo" dataDxfId="8097" totalsRowDxfId="8096" dataCellStyle="Moneda">
      <calculatedColumnFormula>+VLOOKUP(Tabla110345345445545647945586877[[#This Row],[Ingrediente]],Tabla34[#All],3,0)</calculatedColumnFormula>
    </tableColumn>
    <tableColumn id="6" xr3:uid="{465B0368-D1AC-44B0-AF56-FBA3F9047B21}" name="Total costo" totalsRowFunction="sum" dataDxfId="8095" totalsRowDxfId="8094" dataCellStyle="Moneda">
      <calculatedColumnFormula>+Tabla110345345445545647945586877[[#This Row],[Costo]]*Tabla110345345445545647945586877[[#This Row],[Columna2]]</calculatedColumnFormula>
    </tableColumn>
  </tableColumns>
  <tableStyleInfo name="TableStyleLight8" showFirstColumn="0" showLastColumn="0" showRowStripes="1" showColumnStripes="0"/>
</table>
</file>

<file path=xl/tables/table3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C8291E0-CB23-47D1-843E-6591A2928EF8}" name="Tabla11034534544554564793646596978" displayName="Tabla11034534544554564793646596978" ref="B30:H47" totalsRowCount="1" headerRowDxfId="8093" dataDxfId="8091" totalsRowDxfId="8089" headerRowBorderDxfId="8092" tableBorderDxfId="8090" totalsRowBorderDxfId="8088">
  <autoFilter ref="B30:H46" xr:uid="{465BE583-B429-4C2B-93EC-227E72041455}"/>
  <sortState xmlns:xlrd2="http://schemas.microsoft.com/office/spreadsheetml/2017/richdata2" ref="B31:H46">
    <sortCondition descending="1" ref="H34:H46"/>
  </sortState>
  <tableColumns count="7">
    <tableColumn id="2" xr3:uid="{938CE740-806A-4019-9DD7-7EF4A5D1C7BB}" name="Ingrediente" dataDxfId="8087" totalsRowDxfId="8086"/>
    <tableColumn id="3" xr3:uid="{C0BDE814-3B0B-4FF9-ACCA-6D934E5CDB65}" name="Und" dataDxfId="8085" totalsRowDxfId="8084"/>
    <tableColumn id="4" xr3:uid="{9F2FF373-D61D-4FD9-AB3B-E9300BEAD4AB}" name="Cant." dataDxfId="8083" totalsRowDxfId="8082"/>
    <tableColumn id="1" xr3:uid="{1C80EB47-89B1-4447-8A0D-FFD1A03D0087}" name="Columna1" dataDxfId="8081" totalsRowDxfId="8080"/>
    <tableColumn id="7" xr3:uid="{5B1E8120-157F-46A5-AA9D-5FA8FC1EA4BB}" name="Columna2" dataDxfId="8079" totalsRowDxfId="8078"/>
    <tableColumn id="5" xr3:uid="{CC308798-B593-4A8F-A2C4-90B47BDD617B}" name="Costo" dataDxfId="8077" totalsRowDxfId="8076" dataCellStyle="Moneda">
      <calculatedColumnFormula>+VLOOKUP(Tabla11034534544554564793646596978[[#This Row],[Ingrediente]],Tabla34[#All],3,0)</calculatedColumnFormula>
    </tableColumn>
    <tableColumn id="6" xr3:uid="{E2554483-9C17-494A-80F2-C281D00EDD17}" name="Total costo" totalsRowFunction="sum" dataDxfId="8075" totalsRowDxfId="8074" dataCellStyle="Moneda">
      <calculatedColumnFormula>+Tabla11034534544554564793646596978[[#This Row],[Costo]]*Tabla11034534544554564793646596978[[#This Row],[Columna2]]</calculatedColumnFormula>
    </tableColumn>
  </tableColumns>
  <tableStyleInfo name="TableStyleLight8" showFirstColumn="0" showLastColumn="0" showRowStripes="1" showColumnStripes="0"/>
</table>
</file>

<file path=xl/tables/table3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5C8BA2D-392D-4734-870C-43BAAC773D26}" name="Tabla1103453454455456479363747607079" displayName="Tabla1103453454455456479363747607079" ref="B51:H65" totalsRowCount="1" headerRowDxfId="8073" dataDxfId="8071" totalsRowDxfId="8069" headerRowBorderDxfId="8072" tableBorderDxfId="8070" totalsRowBorderDxfId="8068">
  <autoFilter ref="B51:H64" xr:uid="{D046284E-C2C1-4680-A383-F9B742CBF79C}"/>
  <sortState xmlns:xlrd2="http://schemas.microsoft.com/office/spreadsheetml/2017/richdata2" ref="B52:H64">
    <sortCondition descending="1" ref="H53:H64"/>
  </sortState>
  <tableColumns count="7">
    <tableColumn id="2" xr3:uid="{C5E6C794-3302-4F96-84A7-78CC7232A905}" name="Ingrediente" dataDxfId="8067" totalsRowDxfId="8066"/>
    <tableColumn id="3" xr3:uid="{1B797435-B9E4-4D72-80AC-95884CD88B18}" name="Und" dataDxfId="8065" totalsRowDxfId="8064"/>
    <tableColumn id="4" xr3:uid="{5DD05473-D15E-4E66-9DCC-8F29A92E3076}" name="Cant." dataDxfId="8063" totalsRowDxfId="8062"/>
    <tableColumn id="1" xr3:uid="{705DAC54-2B99-4ACF-8369-45D7BDB8122F}" name="Columna1" dataDxfId="8061" totalsRowDxfId="8060"/>
    <tableColumn id="7" xr3:uid="{7734509C-E0BD-4C83-8BEA-01E3F9F04066}" name="Columna2" dataDxfId="8059" totalsRowDxfId="8058"/>
    <tableColumn id="5" xr3:uid="{28E5EF5E-2C43-4987-A62D-AA28DB0721B8}" name="Costo" dataDxfId="8057" totalsRowDxfId="8056" dataCellStyle="Moneda">
      <calculatedColumnFormula>+VLOOKUP(B52,Tabla34[#All],3,0)</calculatedColumnFormula>
    </tableColumn>
    <tableColumn id="6" xr3:uid="{78687E31-12ED-4636-8A6C-552EAC06CA53}" name="Total costo" totalsRowFunction="sum" dataDxfId="8055" totalsRowDxfId="8054" dataCellStyle="Moneda">
      <calculatedColumnFormula>+Tabla1103453454455456479363747607079[[#This Row],[Costo]]*Tabla1103453454455456479363747607079[[#This Row],[Columna2]]</calculatedColumnFormula>
    </tableColumn>
  </tableColumns>
  <tableStyleInfo name="TableStyleLight8" showFirstColumn="0" showLastColumn="0" showRowStripes="1" showColumnStripes="0"/>
</table>
</file>

<file path=xl/tables/table3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AC1BF9D-FAED-4CF5-947F-CABC1215570A}" name="Tabla1103453454455456479363848617180" displayName="Tabla1103453454455456479363848617180" ref="B69:H82" totalsRowCount="1" dataDxfId="8052" totalsRowDxfId="8050" headerRowBorderDxfId="8053" tableBorderDxfId="8051" totalsRowBorderDxfId="8049">
  <autoFilter ref="B69:H81" xr:uid="{C36CCCC4-7A27-4243-8E76-2253568FF38F}"/>
  <sortState xmlns:xlrd2="http://schemas.microsoft.com/office/spreadsheetml/2017/richdata2" ref="B70:H81">
    <sortCondition descending="1" ref="H75:H81"/>
  </sortState>
  <tableColumns count="7">
    <tableColumn id="2" xr3:uid="{4359E072-24AC-47E9-89C3-92A74600A828}" name="ArtÃ­culo" dataDxfId="8048" totalsRowDxfId="8047"/>
    <tableColumn id="3" xr3:uid="{FABE5AED-57B4-4E9D-ABFD-5B4794BFC567}" name="Unidad Medida" dataDxfId="8046" totalsRowDxfId="8045"/>
    <tableColumn id="4" xr3:uid="{51DE4945-3E80-4465-9B13-23683D44C2AA}" name="Unidades Netas" dataDxfId="8044" totalsRowDxfId="8043"/>
    <tableColumn id="1" xr3:uid="{D1EBCD1D-3B04-48BF-95FA-B8CC97B84E99}" name="% Merma" dataDxfId="8042" totalsRowDxfId="8041"/>
    <tableColumn id="7" xr3:uid="{3E95CA90-0FEC-4B77-8C0A-6CA94DABA598}" name="Unidades" dataDxfId="8040" totalsRowDxfId="8039"/>
    <tableColumn id="5" xr3:uid="{62B5DBAC-23E2-4FE8-88A7-3859FB384FFA}" name="Coste Componente" dataDxfId="8038" totalsRowDxfId="8037" dataCellStyle="Moneda">
      <calculatedColumnFormula>+VLOOKUP(Tabla1103453454455456479363848617180[[#This Row],[ArtÃ­culo]],Tabla34[#All],3,0)</calculatedColumnFormula>
    </tableColumn>
    <tableColumn id="6" xr3:uid="{0FBB4FBD-C57E-4E0C-86D4-1E22AE8990ED}" name="Coste LÃ­nea" totalsRowFunction="sum" dataDxfId="8036" totalsRowDxfId="8035" dataCellStyle="Moneda">
      <calculatedColumnFormula>+Tabla1103453454455456479363848617180[[#This Row],[Coste Componente]]*Tabla1103453454455456479363848617180[[#This Row],[Unidades]]</calculatedColumnFormula>
    </tableColumn>
  </tableColumns>
  <tableStyleInfo name="TableStyleLight8" showFirstColumn="0" showLastColumn="0" showRowStripes="1" showColumnStripes="0"/>
</table>
</file>

<file path=xl/tables/table3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C1A409A-96B3-4260-8AC7-8B6D3F90E5FC}" name="Tabla1103453454455456479363949627281" displayName="Tabla1103453454455456479363949627281" ref="B86:H103" totalsRowCount="1" headerRowDxfId="8034" dataDxfId="8032" totalsRowDxfId="8030" headerRowBorderDxfId="8033" tableBorderDxfId="8031" totalsRowBorderDxfId="8029">
  <autoFilter ref="B86:H102" xr:uid="{E62057E2-89CF-41E7-BB60-37ADC6497F01}"/>
  <sortState xmlns:xlrd2="http://schemas.microsoft.com/office/spreadsheetml/2017/richdata2" ref="B87:H102">
    <sortCondition descending="1" ref="H95:H102"/>
  </sortState>
  <tableColumns count="7">
    <tableColumn id="2" xr3:uid="{D9A672B8-50A9-49C1-B5A2-97150095B747}" name="Ingrediente" dataDxfId="8028" totalsRowDxfId="8027"/>
    <tableColumn id="3" xr3:uid="{F3852D12-5693-45F5-A683-51AA4749909F}" name="Und" dataDxfId="8026" totalsRowDxfId="8025"/>
    <tableColumn id="4" xr3:uid="{9153A582-6604-4784-B84B-490670CD1C57}" name="Cant." dataDxfId="8024" totalsRowDxfId="8023"/>
    <tableColumn id="1" xr3:uid="{3817AEA5-AA7D-4F60-85E6-5498D6C4D37E}" name="Columna1" dataDxfId="8022" totalsRowDxfId="8021"/>
    <tableColumn id="7" xr3:uid="{D7586791-99F1-4EDD-9EB3-E514C88590FA}" name="Columna2" dataDxfId="8020" totalsRowDxfId="8019"/>
    <tableColumn id="5" xr3:uid="{452FC985-0FE6-45E4-95DA-AA5C59A83E86}" name="Costo" dataDxfId="8018" totalsRowDxfId="8017" dataCellStyle="Moneda">
      <calculatedColumnFormula>+VLOOKUP(Tabla1103453454455456479363949627281[[#This Row],[Ingrediente]],Tabla34[#All],3,0)</calculatedColumnFormula>
    </tableColumn>
    <tableColumn id="6" xr3:uid="{11639076-D519-4864-BB0A-63348DC42CD5}" name="Total costo" totalsRowFunction="sum" dataDxfId="8016" totalsRowDxfId="8015" dataCellStyle="Moneda">
      <calculatedColumnFormula>+Tabla1103453454455456479363949627281[[#This Row],[Costo]]*Tabla1103453454455456479363949627281[[#This Row],[Columna2]]</calculatedColumnFormula>
    </tableColumn>
  </tableColumns>
  <tableStyleInfo name="TableStyleLight8" showFirstColumn="0" showLastColumn="0" showRowStripes="1" showColumnStripes="0"/>
</table>
</file>

<file path=xl/tables/table3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7807C5E2-3687-4BC2-980E-42F692AF0541}" name="Tabla1103453454455456479364050637382" displayName="Tabla1103453454455456479364050637382" ref="B107:H121" totalsRowCount="1" headerRowDxfId="8014" dataDxfId="8012" totalsRowDxfId="8010" headerRowBorderDxfId="8013" tableBorderDxfId="8011" totalsRowBorderDxfId="8009">
  <autoFilter ref="B107:H120" xr:uid="{629975DE-B647-4B8B-92CB-C56339E05411}"/>
  <sortState xmlns:xlrd2="http://schemas.microsoft.com/office/spreadsheetml/2017/richdata2" ref="B108:H120">
    <sortCondition ref="B114:B120"/>
  </sortState>
  <tableColumns count="7">
    <tableColumn id="2" xr3:uid="{2FA3443D-BC20-42CC-A1E0-3DF9F7891527}" name="Ingrediente" dataDxfId="8008" totalsRowDxfId="8007"/>
    <tableColumn id="3" xr3:uid="{ACE0B7F6-77C0-40FE-933D-94CAADF7FB9C}" name="Und" dataDxfId="8006" totalsRowDxfId="8005"/>
    <tableColumn id="4" xr3:uid="{983A39F0-7E22-4205-8A71-33972379713B}" name="Cant." dataDxfId="8004" totalsRowDxfId="8003"/>
    <tableColumn id="1" xr3:uid="{3AF6F573-B38C-40E3-83EF-B8FCAD47FCF8}" name="Columna1" dataDxfId="8002" totalsRowDxfId="8001"/>
    <tableColumn id="7" xr3:uid="{0D77E539-F9C9-4433-ADAF-0C3702C19C69}" name="Columna2" dataDxfId="8000" totalsRowDxfId="7999"/>
    <tableColumn id="5" xr3:uid="{3AEBFEF0-ABBD-431F-B88B-6E775DE791BB}" name="Costo" dataDxfId="7998" totalsRowDxfId="7997" dataCellStyle="Moneda">
      <calculatedColumnFormula>+VLOOKUP(Tabla1103453454455456479364050637382[[#This Row],[Ingrediente]],Tabla34[#All],3,0)</calculatedColumnFormula>
    </tableColumn>
    <tableColumn id="6" xr3:uid="{0F926C9B-1B9D-4C43-8CC4-DD06CB650837}" name="Total costo" totalsRowFunction="sum" dataDxfId="7996" totalsRowDxfId="7995" dataCellStyle="Moneda">
      <calculatedColumnFormula>+Tabla1103453454455456479364050637382[[#This Row],[Costo]]*Tabla1103453454455456479364050637382[[#This Row],[Columna2]]</calculatedColumnFormula>
    </tableColumn>
  </tableColumns>
  <tableStyleInfo name="TableStyleLight8" showFirstColumn="0" showLastColumn="0" showRowStripes="1" showColumnStripes="0"/>
</table>
</file>

<file path=xl/tables/table3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20A449C1-44BB-4398-AA65-A06F7D8CDC3A}" name="Tabla110345345445545647945586877869510811712713622823724627233260269297315316348494493499527528374243440177" displayName="Tabla110345345445545647945586877869510811712713622823724627233260269297315316348494493499527528374243440177" ref="B125:H147" totalsRowCount="1" headerRowDxfId="7994" dataDxfId="7992" totalsRowDxfId="7990" headerRowBorderDxfId="7993" tableBorderDxfId="7991" totalsRowBorderDxfId="7989">
  <autoFilter ref="B125:H146" xr:uid="{20A449C1-44BB-4398-AA65-A06F7D8CDC3A}"/>
  <sortState xmlns:xlrd2="http://schemas.microsoft.com/office/spreadsheetml/2017/richdata2" ref="B126:H145">
    <sortCondition ref="B60:B79"/>
  </sortState>
  <tableColumns count="7">
    <tableColumn id="2" xr3:uid="{754B8BE1-1F7A-4F3A-B8B8-5F49F31B75CD}" name="ArtÃ­culo" dataDxfId="7988" totalsRowDxfId="7987"/>
    <tableColumn id="3" xr3:uid="{02A81FD3-2972-4ABF-A95A-D8646C7D5B66}" name="Unidad Medida" dataDxfId="7986" totalsRowDxfId="7985"/>
    <tableColumn id="4" xr3:uid="{59500526-997D-4A24-A076-E21B8D1A897E}" name="Unidades Netas" dataDxfId="7984" totalsRowDxfId="7983"/>
    <tableColumn id="1" xr3:uid="{7B8AD5CC-21FB-4738-95BD-7A99B4115305}" name="% Merma" dataDxfId="7982" totalsRowDxfId="7981"/>
    <tableColumn id="7" xr3:uid="{347725AA-C3E1-4B60-864C-2CD8C0D40B8B}" name="Unidades" dataDxfId="7980" totalsRowDxfId="7979"/>
    <tableColumn id="5" xr3:uid="{FF4AD7EA-08E0-43AC-8555-CD45497C920B}" name="Costo" dataDxfId="7978" totalsRowDxfId="7977" dataCellStyle="Moneda">
      <calculatedColumnFormula>+VLOOKUP(Tabla110345345445545647945586877869510811712713622823724627233260269297315316348494493499527528374243440177[[#This Row],[ArtÃ­culo]],Tabla34[#All],3,0)</calculatedColumnFormula>
    </tableColumn>
    <tableColumn id="6" xr3:uid="{9FE5FC4C-DC60-487A-8E10-862F08F69CC5}" name="Total costo" totalsRowFunction="sum" dataDxfId="7976" totalsRowDxfId="7975" dataCellStyle="Moneda">
      <calculatedColumnFormula>+Tabla110345345445545647945586877869510811712713622823724627233260269297315316348494493499527528374243440177[[#This Row],[Costo]]*Tabla110345345445545647945586877869510811712713622823724627233260269297315316348494493499527528374243440177[[#This Row],[Unidades]]</calculatedColumnFormula>
    </tableColumn>
  </tableColumns>
  <tableStyleInfo name="TableStyleLight8" showFirstColumn="0" showLastColumn="0" showRowStripes="1" showColumnStripes="0"/>
</table>
</file>

<file path=xl/tables/table3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3" xr:uid="{3FEFA011-5F79-4DE4-9893-0BAAB9845D1A}" name="Tabla461487182604" displayName="Tabla461487182604" ref="M6:M9" totalsRowShown="0" headerRowDxfId="3951" dataDxfId="3950" tableBorderDxfId="3949">
  <autoFilter ref="M6:M9" xr:uid="{3FEFA011-5F79-4DE4-9893-0BAAB9845D1A}"/>
  <tableColumns count="1">
    <tableColumn id="1" xr3:uid="{EDE3A55B-C624-440A-BFB1-2AC5C919EA54}" name="Preparacion" dataDxfId="3948"/>
  </tableColumns>
  <tableStyleInfo showFirstColumn="0" showLastColumn="0" showRowStripes="1" showColumnStripes="0"/>
</table>
</file>

<file path=xl/tables/table3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4" xr:uid="{ECAED3CA-A523-4428-A921-B75D3084D10E}" name="Tabla461487182381605" displayName="Tabla461487182381605" ref="M11:M14" totalsRowShown="0" headerRowDxfId="3947" dataDxfId="3946" tableBorderDxfId="3945">
  <autoFilter ref="M11:M14" xr:uid="{ECAED3CA-A523-4428-A921-B75D3084D10E}"/>
  <tableColumns count="1">
    <tableColumn id="1" xr3:uid="{2BB6ACCB-4E83-4B0F-8C52-34DBD8460093}" name="Emplatado" dataDxfId="3944"/>
  </tableColumns>
  <tableStyleInfo showFirstColumn="0" showLastColumn="0" showRowStripes="1" showColumnStripes="0"/>
</table>
</file>

<file path=xl/tables/table4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5" xr:uid="{516EEFDC-B26E-455F-A451-0EF6A2CA791F}" name="Tabla461487182604606" displayName="Tabla461487182604606" ref="M29:M33" totalsRowShown="0" headerRowDxfId="3943" dataDxfId="3942" tableBorderDxfId="3941">
  <autoFilter ref="M29:M33" xr:uid="{516EEFDC-B26E-455F-A451-0EF6A2CA791F}"/>
  <tableColumns count="1">
    <tableColumn id="1" xr3:uid="{7C179DC0-CE91-451D-BA94-0427E07B567F}" name="Preparacion" dataDxfId="3940"/>
  </tableColumns>
  <tableStyleInfo showFirstColumn="0" showLastColumn="0" showRowStripes="1" showColumnStripes="0"/>
</table>
</file>

<file path=xl/tables/table4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6" xr:uid="{F3BA0644-9A95-4998-8081-DC9CA0101956}" name="Tabla461487182381605607" displayName="Tabla461487182381605607" ref="M35:M38" totalsRowShown="0" headerRowDxfId="3939" dataDxfId="3938" tableBorderDxfId="3937">
  <autoFilter ref="M35:M38" xr:uid="{F3BA0644-9A95-4998-8081-DC9CA0101956}"/>
  <tableColumns count="1">
    <tableColumn id="1" xr3:uid="{FE65E7D7-B815-4809-8446-0F6590FF33B2}" name="Emplatado" dataDxfId="3936"/>
  </tableColumns>
  <tableStyleInfo showFirstColumn="0" showLastColumn="0" showRowStripes="1" showColumnStripes="0"/>
</table>
</file>

<file path=xl/tables/table4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7" xr:uid="{05EC4FF9-1026-40F6-AB26-C960EA9798AC}" name="Tabla461487182604608" displayName="Tabla461487182604608" ref="M50:M54" totalsRowShown="0" headerRowDxfId="3935" dataDxfId="3934" tableBorderDxfId="3933">
  <autoFilter ref="M50:M54" xr:uid="{05EC4FF9-1026-40F6-AB26-C960EA9798AC}"/>
  <tableColumns count="1">
    <tableColumn id="1" xr3:uid="{74839950-7F39-4ECD-894C-6403FD6D1EE4}" name="Preparacion" dataDxfId="3932"/>
  </tableColumns>
  <tableStyleInfo showFirstColumn="0" showLastColumn="0" showRowStripes="1" showColumnStripes="0"/>
</table>
</file>

<file path=xl/tables/table4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8" xr:uid="{55245968-53A6-4009-B9C8-630D17920156}" name="Tabla461487182381605609" displayName="Tabla461487182381605609" ref="M56:M60" totalsRowShown="0" headerRowDxfId="3931" dataDxfId="3930" tableBorderDxfId="3929">
  <autoFilter ref="M56:M60" xr:uid="{55245968-53A6-4009-B9C8-630D17920156}"/>
  <tableColumns count="1">
    <tableColumn id="1" xr3:uid="{618BEA50-7855-412C-8A70-BFA69FBDCCF9}" name="Emplatado" dataDxfId="3928"/>
  </tableColumns>
  <tableStyleInfo showFirstColumn="0" showLastColumn="0" showRowStripes="1" showColumnStripes="0"/>
</table>
</file>

<file path=xl/tables/table4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9" xr:uid="{2E5F0E13-166A-4A8F-9847-C264D1792BA3}" name="Tabla461487182604610" displayName="Tabla461487182604610" ref="M68:M71" totalsRowShown="0" headerRowDxfId="3927" dataDxfId="3926" tableBorderDxfId="3925">
  <autoFilter ref="M68:M71" xr:uid="{2E5F0E13-166A-4A8F-9847-C264D1792BA3}"/>
  <tableColumns count="1">
    <tableColumn id="1" xr3:uid="{3C397657-85F6-47FA-8AAD-49DF3DCE5E76}" name="Preparacion" dataDxfId="3924"/>
  </tableColumns>
  <tableStyleInfo showFirstColumn="0" showLastColumn="0" showRowStripes="1" showColumnStripes="0"/>
</table>
</file>

<file path=xl/tables/table4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0" xr:uid="{DFC6DA3A-0088-4022-AF8B-9B2C8A72BBF8}" name="Tabla461487182381605611" displayName="Tabla461487182381605611" ref="M73:M76" totalsRowShown="0" headerRowDxfId="3923" dataDxfId="3922" tableBorderDxfId="3921">
  <autoFilter ref="M73:M76" xr:uid="{DFC6DA3A-0088-4022-AF8B-9B2C8A72BBF8}"/>
  <tableColumns count="1">
    <tableColumn id="1" xr3:uid="{07409BD1-CC3F-4E53-B0AD-7C05BEB1E3B1}" name="Emplatado" dataDxfId="3920"/>
  </tableColumns>
  <tableStyleInfo showFirstColumn="0" showLastColumn="0" showRowStripes="1" showColumnStripes="0"/>
</table>
</file>

<file path=xl/tables/table4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1" xr:uid="{06202144-6DEE-4BC8-876B-9FBF4CF43F44}" name="Tabla461487182604612" displayName="Tabla461487182604612" ref="M85:M88" totalsRowShown="0" headerRowDxfId="3919" dataDxfId="3918" tableBorderDxfId="3917">
  <autoFilter ref="M85:M88" xr:uid="{06202144-6DEE-4BC8-876B-9FBF4CF43F44}"/>
  <tableColumns count="1">
    <tableColumn id="1" xr3:uid="{B0CBEB9E-6682-49A8-A996-37B4A58C65E2}" name="Preparacion" dataDxfId="3916"/>
  </tableColumns>
  <tableStyleInfo showFirstColumn="0" showLastColumn="0" showRowStripes="1" showColumnStripes="0"/>
</table>
</file>

<file path=xl/tables/table4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2" xr:uid="{8A99D02D-69F6-4F6D-B32B-8F354CF6E664}" name="Tabla461487182381605613" displayName="Tabla461487182381605613" ref="M90:M93" totalsRowShown="0" headerRowDxfId="3915" dataDxfId="3914" tableBorderDxfId="3913">
  <autoFilter ref="M90:M93" xr:uid="{8A99D02D-69F6-4F6D-B32B-8F354CF6E664}"/>
  <tableColumns count="1">
    <tableColumn id="1" xr3:uid="{35E0293D-A6BF-4397-BF40-48A021279A93}" name="Emplatado" dataDxfId="3912"/>
  </tableColumns>
  <tableStyleInfo showFirstColumn="0" showLastColumn="0" showRowStripes="1" showColumnStripes="0"/>
</table>
</file>

<file path=xl/tables/table4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3" xr:uid="{51FC8B3A-4EF7-4BAB-8C10-67CCAF441B9C}" name="Tabla461487182604614" displayName="Tabla461487182604614" ref="M106:M109" totalsRowShown="0" headerRowDxfId="3911" dataDxfId="3910" tableBorderDxfId="3909">
  <autoFilter ref="M106:M109" xr:uid="{51FC8B3A-4EF7-4BAB-8C10-67CCAF441B9C}"/>
  <tableColumns count="1">
    <tableColumn id="1" xr3:uid="{D74F5AA4-BCD9-4210-B8AA-E5BD5BB28088}" name="Preparacion" dataDxfId="3908"/>
  </tableColumns>
  <tableStyleInfo showFirstColumn="0" showLastColumn="0" showRowStripes="1" showColumnStripes="0"/>
</table>
</file>

<file path=xl/tables/table4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4" xr:uid="{D9E73536-79F5-456A-8016-DDF786BB7180}" name="Tabla461487182381605615" displayName="Tabla461487182381605615" ref="M111:M114" totalsRowShown="0" headerRowDxfId="3907" dataDxfId="3906" tableBorderDxfId="3905">
  <autoFilter ref="M111:M114" xr:uid="{D9E73536-79F5-456A-8016-DDF786BB7180}"/>
  <tableColumns count="1">
    <tableColumn id="1" xr3:uid="{173C1B0C-A3F8-4CC3-B386-64DE60E60836}" name="Emplatado" dataDxfId="3904"/>
  </tableColumns>
  <tableStyleInfo showFirstColumn="0" showLastColumn="0" showRowStripes="1" showColumnStripes="0"/>
</table>
</file>

<file path=xl/tables/table4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5" xr:uid="{14134950-C9DE-4A35-9048-800909A95C62}" name="Tabla461487182604616" displayName="Tabla461487182604616" ref="M124:M128" totalsRowShown="0" headerRowDxfId="3903" dataDxfId="3902" tableBorderDxfId="3901">
  <autoFilter ref="M124:M128" xr:uid="{14134950-C9DE-4A35-9048-800909A95C62}"/>
  <tableColumns count="1">
    <tableColumn id="1" xr3:uid="{23622F8B-5DC8-43A6-9D24-F651E55E5F89}" name="Preparacion" dataDxfId="3900"/>
  </tableColumns>
  <tableStyleInfo showFirstColumn="0" showLastColumn="0" showRowStripes="1" showColumnStripes="0"/>
</table>
</file>

<file path=xl/tables/table4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6" xr:uid="{EADAFE7F-B0EE-414C-87C5-19BE582E5DC0}" name="Tabla461487182381605617" displayName="Tabla461487182381605617" ref="M130:M134" totalsRowShown="0" headerRowDxfId="3899" dataDxfId="3898" tableBorderDxfId="3897">
  <autoFilter ref="M130:M134" xr:uid="{EADAFE7F-B0EE-414C-87C5-19BE582E5DC0}"/>
  <tableColumns count="1">
    <tableColumn id="1" xr3:uid="{78C7195A-52F9-4FE6-A011-82E60ECF8628}" name="Emplatado" dataDxfId="3896"/>
  </tableColumns>
  <tableStyleInfo showFirstColumn="0" showLastColumn="0" showRowStripes="1" showColumnStripes="0"/>
</table>
</file>

<file path=xl/tables/table4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1BAF6320-3CF7-4737-8B55-1981201B5CB2}" name="Tabla11034534544554564794558687786" displayName="Tabla11034534544554564794558687786" ref="B7:H31" totalsRowCount="1" headerRowDxfId="5442" dataDxfId="5440" totalsRowDxfId="5438" headerRowBorderDxfId="5441" tableBorderDxfId="5439" totalsRowBorderDxfId="5437">
  <autoFilter ref="B7:H30" xr:uid="{25E24D6A-940D-4437-B263-679AE371D044}"/>
  <sortState xmlns:xlrd2="http://schemas.microsoft.com/office/spreadsheetml/2017/richdata2" ref="B8:H30">
    <sortCondition descending="1" ref="H9:H30"/>
  </sortState>
  <tableColumns count="7">
    <tableColumn id="2" xr3:uid="{37794133-0C55-42F9-8928-4813884AA7EC}" name="Ingrediente" dataDxfId="5436" totalsRowDxfId="5435"/>
    <tableColumn id="3" xr3:uid="{14AC1E9A-F2CC-44F6-81DB-B662E4F53BA5}" name="Und" dataDxfId="5434" totalsRowDxfId="5433"/>
    <tableColumn id="4" xr3:uid="{A01BDAC5-9271-4A02-912D-114B479F4FEE}" name="Cant." dataDxfId="5432" totalsRowDxfId="5431"/>
    <tableColumn id="1" xr3:uid="{576A62C1-1D9F-4144-A81D-CCB6B3E3096C}" name="Columna1" dataDxfId="5430" totalsRowDxfId="5429"/>
    <tableColumn id="7" xr3:uid="{EF235323-89A8-4383-B079-4C08A7FFEB6B}" name="Columna2" dataDxfId="5428" totalsRowDxfId="5427"/>
    <tableColumn id="5" xr3:uid="{039D9CCB-D677-4352-A0AF-ED03CC9AD95C}" name="Costo" dataDxfId="5426" totalsRowDxfId="5425" dataCellStyle="Moneda">
      <calculatedColumnFormula>+VLOOKUP(Tabla11034534544554564794558687786[[#This Row],[Ingrediente]],Tabla34[#All],3,0)</calculatedColumnFormula>
    </tableColumn>
    <tableColumn id="6" xr3:uid="{30E7F7DA-207E-44B9-A25A-EB0CEF6BED36}" name="Total costo" totalsRowFunction="sum" dataDxfId="5424" totalsRowDxfId="5423" dataCellStyle="Moneda">
      <calculatedColumnFormula>+Tabla11034534544554564794558687786[[#This Row],[Costo]]*Tabla11034534544554564794558687786[[#This Row],[Columna2]]</calculatedColumnFormula>
    </tableColumn>
  </tableColumns>
  <tableStyleInfo name="TableStyleLight8" showFirstColumn="0" showLastColumn="0" showRowStripes="1" showColumnStripes="0"/>
</table>
</file>

<file path=xl/tables/table4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B7557B1-54AD-49F5-A5BF-3CBB54E9B667}" name="Tabla1103453454455456479364659697887" displayName="Tabla1103453454455456479364659697887" ref="B34:H56" totalsRowCount="1" headerRowDxfId="5422" dataDxfId="5420" totalsRowDxfId="5418" headerRowBorderDxfId="5421" tableBorderDxfId="5419" totalsRowBorderDxfId="5417">
  <autoFilter ref="B34:H55" xr:uid="{465BE583-B429-4C2B-93EC-227E72041455}"/>
  <sortState xmlns:xlrd2="http://schemas.microsoft.com/office/spreadsheetml/2017/richdata2" ref="B35:H54">
    <sortCondition descending="1" ref="H35:H54"/>
  </sortState>
  <tableColumns count="7">
    <tableColumn id="2" xr3:uid="{23F78E42-96FA-4D67-93DC-6F333513AF96}" name="Ingrediente" dataDxfId="5416" totalsRowDxfId="5415"/>
    <tableColumn id="3" xr3:uid="{8024F53C-173F-482B-A77D-C970F1C3291D}" name="Und" dataDxfId="5414" totalsRowDxfId="5413"/>
    <tableColumn id="4" xr3:uid="{704C48F4-CEEB-41B9-B5B7-04C9050974A7}" name="Cant." dataDxfId="5412" totalsRowDxfId="5411"/>
    <tableColumn id="1" xr3:uid="{5119DE14-2469-45E8-AF2C-90C26ACD0A65}" name="Columna1" dataDxfId="5410" totalsRowDxfId="5409"/>
    <tableColumn id="7" xr3:uid="{85750938-7478-4328-816E-8E47B03AB92C}" name="Columna2" dataDxfId="5408" totalsRowDxfId="5407"/>
    <tableColumn id="5" xr3:uid="{3A728641-F740-43F3-BC65-55944EF11CE9}" name="Costo" dataDxfId="5406" totalsRowDxfId="5405" dataCellStyle="Moneda">
      <calculatedColumnFormula>+VLOOKUP(Tabla1103453454455456479364659697887[[#This Row],[Ingrediente]],Tabla34[#All],3,0)</calculatedColumnFormula>
    </tableColumn>
    <tableColumn id="6" xr3:uid="{68D78C3C-6B5F-4433-AF07-30081403AA03}" name="Total costo" totalsRowFunction="sum" dataDxfId="5404" totalsRowDxfId="5403" dataCellStyle="Moneda">
      <calculatedColumnFormula>+Tabla1103453454455456479364659697887[[#This Row],[Costo]]*Tabla1103453454455456479364659697887[[#This Row],[Columna2]]</calculatedColumnFormula>
    </tableColumn>
  </tableColumns>
  <tableStyleInfo name="TableStyleLight8" showFirstColumn="0" showLastColumn="0" showRowStripes="1" showColumnStripes="0"/>
</table>
</file>

<file path=xl/tables/table4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B953FBE-BCC1-4BE4-911B-302958007F6A}" name="Tabla110345345445545647936374760707988" displayName="Tabla110345345445545647936374760707988" ref="B59:H77" totalsRowCount="1" headerRowDxfId="5402" dataDxfId="5400" totalsRowDxfId="5398" headerRowBorderDxfId="5401" tableBorderDxfId="5399" totalsRowBorderDxfId="5397">
  <autoFilter ref="B59:H76" xr:uid="{D046284E-C2C1-4680-A383-F9B742CBF79C}"/>
  <sortState xmlns:xlrd2="http://schemas.microsoft.com/office/spreadsheetml/2017/richdata2" ref="B60:H75">
    <sortCondition descending="1" ref="H61:H75"/>
  </sortState>
  <tableColumns count="7">
    <tableColumn id="2" xr3:uid="{E65B3666-35F9-4B5A-B3C9-472081DF16E9}" name="Ingrediente" dataDxfId="5396" totalsRowDxfId="5395"/>
    <tableColumn id="3" xr3:uid="{BB888E58-C44E-4B7C-83F3-B71E2DF2ECF4}" name="Und" dataDxfId="5394" totalsRowDxfId="5393"/>
    <tableColumn id="4" xr3:uid="{C934924D-6992-4D43-9D68-5CFC86383655}" name="Cant." dataDxfId="5392" totalsRowDxfId="5391"/>
    <tableColumn id="1" xr3:uid="{929A96CB-905E-42A5-8721-ADC38056189C}" name="Columna1" dataDxfId="5390" totalsRowDxfId="5389"/>
    <tableColumn id="7" xr3:uid="{90A44A64-2F9C-4614-9C71-FD449A68CF57}" name="Columna2" dataDxfId="5388" totalsRowDxfId="5387"/>
    <tableColumn id="5" xr3:uid="{C745FA0F-781B-41F9-A986-5EC83126A013}" name="Costo" dataDxfId="5386" totalsRowDxfId="5385" dataCellStyle="Moneda">
      <calculatedColumnFormula>+VLOOKUP(Tabla110345345445545647936374760707988[[#This Row],[Ingrediente]],Tabla34[#All],3,0)</calculatedColumnFormula>
    </tableColumn>
    <tableColumn id="6" xr3:uid="{342FE917-DCDC-443E-9A91-A7CAD2D68DDD}" name="Total costo" totalsRowFunction="sum" dataDxfId="5384" totalsRowDxfId="5383" dataCellStyle="Moneda">
      <calculatedColumnFormula>+Tabla110345345445545647936374760707988[[#This Row],[Costo]]*Tabla110345345445545647936374760707988[[#This Row],[Columna2]]</calculatedColumnFormula>
    </tableColumn>
  </tableColumns>
  <tableStyleInfo name="TableStyleLight8" showFirstColumn="0" showLastColumn="0" showRowStripes="1" showColumnStripes="0"/>
</table>
</file>

<file path=xl/tables/table4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AA431BC3-2794-43BC-93E0-0C0FB9B8D96B}" name="Tabla110345345445545647936384861718089" displayName="Tabla110345345445545647936384861718089" ref="B80:H92" totalsRowCount="1" headerRowDxfId="5382" dataDxfId="5380" totalsRowDxfId="5378" headerRowBorderDxfId="5381" tableBorderDxfId="5379" totalsRowBorderDxfId="5377">
  <autoFilter ref="B80:H91" xr:uid="{C36CCCC4-7A27-4243-8E76-2253568FF38F}"/>
  <sortState xmlns:xlrd2="http://schemas.microsoft.com/office/spreadsheetml/2017/richdata2" ref="B81:H91">
    <sortCondition descending="1" ref="H83:H91"/>
  </sortState>
  <tableColumns count="7">
    <tableColumn id="2" xr3:uid="{3497284C-E2FD-466A-AB18-A89FA70A09F4}" name="Ingrediente" dataDxfId="5376" totalsRowDxfId="5375"/>
    <tableColumn id="3" xr3:uid="{C0A057E7-8641-4907-AACF-3DD151D932A5}" name="Und" dataDxfId="5374" totalsRowDxfId="5373"/>
    <tableColumn id="4" xr3:uid="{F48AFE91-BAB1-495F-888D-20D10F9A7D5D}" name="Cant." dataDxfId="5372" totalsRowDxfId="5371"/>
    <tableColumn id="1" xr3:uid="{1A0942FF-314E-4B57-9C60-FC6D5761FDB8}" name="Columna1" dataDxfId="5370" totalsRowDxfId="5369"/>
    <tableColumn id="7" xr3:uid="{4021D7DA-9545-4D93-A901-F7E58220D156}" name="Columna2" dataDxfId="5368" totalsRowDxfId="5367"/>
    <tableColumn id="5" xr3:uid="{116E1921-31E7-4CA5-925A-93D4DAA7AB44}" name="Costo" dataDxfId="5366" totalsRowDxfId="5365" dataCellStyle="Moneda">
      <calculatedColumnFormula>+VLOOKUP(Tabla110345345445545647936384861718089[[#This Row],[Ingrediente]],Tabla34[#All],3,0)</calculatedColumnFormula>
    </tableColumn>
    <tableColumn id="6" xr3:uid="{F126462E-AB73-413E-BDAD-B259A4DDF105}" name="Total costo" totalsRowFunction="sum" dataDxfId="5364" totalsRowDxfId="5363" dataCellStyle="Moneda">
      <calculatedColumnFormula>+Tabla110345345445545647936384861718089[[#This Row],[Costo]]*Tabla110345345445545647936384861718089[[#This Row],[Columna2]]</calculatedColumnFormula>
    </tableColumn>
  </tableColumns>
  <tableStyleInfo name="TableStyleLight8" showFirstColumn="0" showLastColumn="0" showRowStripes="1" showColumnStripes="0"/>
</table>
</file>

<file path=xl/tables/table4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295CF60A-0038-472E-B7A1-7BDF273C18B0}" name="Tabla110345345445545647936394962728190" displayName="Tabla110345345445545647936394962728190" ref="B96:H108" totalsRowCount="1" headerRowDxfId="5362" dataDxfId="5360" totalsRowDxfId="5358" headerRowBorderDxfId="5361" tableBorderDxfId="5359" totalsRowBorderDxfId="5357">
  <autoFilter ref="B96:H107" xr:uid="{E62057E2-89CF-41E7-BB60-37ADC6497F01}"/>
  <sortState xmlns:xlrd2="http://schemas.microsoft.com/office/spreadsheetml/2017/richdata2" ref="B97:H107">
    <sortCondition descending="1" ref="H100:H107"/>
  </sortState>
  <tableColumns count="7">
    <tableColumn id="2" xr3:uid="{C0AA1E2E-8630-44AD-A345-44DDE8AE4ED3}" name="Ingrediente" dataDxfId="5356" totalsRowDxfId="5355"/>
    <tableColumn id="3" xr3:uid="{0DB34F58-A754-43C9-8D11-E847CC4BDD53}" name="Und" dataDxfId="5354" totalsRowDxfId="5353"/>
    <tableColumn id="4" xr3:uid="{6851ACD4-B225-4E02-8094-81A53FBB7ABD}" name="Cant." dataDxfId="5352" totalsRowDxfId="5351"/>
    <tableColumn id="1" xr3:uid="{257C132F-DA49-410F-808D-9E21A52E5258}" name="Columna1" dataDxfId="5350" totalsRowDxfId="5349"/>
    <tableColumn id="7" xr3:uid="{1FC7985C-3033-4C9E-A6FE-CC28E84EB8A5}" name="Columna2" dataDxfId="5348" totalsRowDxfId="5347"/>
    <tableColumn id="5" xr3:uid="{23E9D534-3AA4-4C80-92D8-5CB2EE38365D}" name="Costo" dataDxfId="5346" totalsRowDxfId="5345" dataCellStyle="Moneda">
      <calculatedColumnFormula>+VLOOKUP(Tabla110345345445545647936394962728190[[#This Row],[Ingrediente]],Tabla34[#All],3,0)</calculatedColumnFormula>
    </tableColumn>
    <tableColumn id="6" xr3:uid="{B1007700-87A0-4874-9FA4-B363577E14E1}" name="Total costo" totalsRowFunction="sum" dataDxfId="5344" totalsRowDxfId="5343" dataCellStyle="Moneda">
      <calculatedColumnFormula>+Tabla110345345445545647936394962728190[[#This Row],[Costo]]*Tabla110345345445545647936394962728190[[#This Row],[Columna2]]</calculatedColumnFormula>
    </tableColumn>
  </tableColumns>
  <tableStyleInfo name="TableStyleLight8" showFirstColumn="0" showLastColumn="0" showRowStripes="1" showColumnStripes="0"/>
</table>
</file>

<file path=xl/tables/table4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85299DA9-03C7-48AC-A637-A316FC6B8C90}" name="Tabla110345345445545647936405063738291" displayName="Tabla110345345445545647936405063738291" ref="B111:H127" totalsRowCount="1" headerRowDxfId="5342" dataDxfId="5340" totalsRowDxfId="5338" headerRowBorderDxfId="5341" tableBorderDxfId="5339" totalsRowBorderDxfId="5337">
  <autoFilter ref="B111:H126" xr:uid="{629975DE-B647-4B8B-92CB-C56339E05411}"/>
  <sortState xmlns:xlrd2="http://schemas.microsoft.com/office/spreadsheetml/2017/richdata2" ref="B112:H126">
    <sortCondition descending="1" ref="H113:H126"/>
  </sortState>
  <tableColumns count="7">
    <tableColumn id="2" xr3:uid="{C9F82EE0-7BEC-4EAB-8214-7A02BCD09E1C}" name="Ingrediente" dataDxfId="5336" totalsRowDxfId="5335"/>
    <tableColumn id="3" xr3:uid="{E9F41C13-C612-49C4-B469-9ED502D7261B}" name="Und" dataDxfId="5334" totalsRowDxfId="5333"/>
    <tableColumn id="4" xr3:uid="{67E70CC5-84AE-4B5D-9703-F65C016592AC}" name="Cant." dataDxfId="5332" totalsRowDxfId="5331"/>
    <tableColumn id="1" xr3:uid="{A64DADE8-41B4-449C-9CAE-A69CEF93832A}" name="Columna1" dataDxfId="5330" totalsRowDxfId="5329"/>
    <tableColumn id="7" xr3:uid="{81405D80-A651-4DD2-8DBE-BE278784E3B1}" name="Columna2" dataDxfId="5328" totalsRowDxfId="5327"/>
    <tableColumn id="5" xr3:uid="{BF8F8825-281F-4D0C-B2CA-018FBE4E9460}" name="Costo" dataDxfId="5326" totalsRowDxfId="5325" dataCellStyle="Moneda">
      <calculatedColumnFormula>+VLOOKUP(Tabla110345345445545647936405063738291[[#This Row],[Ingrediente]],Tabla34[#All],3,0)</calculatedColumnFormula>
    </tableColumn>
    <tableColumn id="6" xr3:uid="{49E332EB-A352-48BA-9371-A17A4E33FB76}" name="Total costo" totalsRowFunction="sum" dataDxfId="5324" totalsRowDxfId="5323" dataCellStyle="Moneda">
      <calculatedColumnFormula>+Tabla110345345445545647936405063738291[[#This Row],[Costo]]*Tabla110345345445545647936405063738291[[#This Row],[Columna2]]</calculatedColumnFormula>
    </tableColumn>
  </tableColumns>
  <tableStyleInfo name="TableStyleLight8" showFirstColumn="0" showLastColumn="0" showRowStripes="1" showColumnStripes="0"/>
</table>
</file>

<file path=xl/tables/table4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97059B72-6D70-4762-A59D-311156A656BB}" name="Tabla110345345445545647936425164748392" displayName="Tabla110345345445545647936425164748392" ref="B130:H144" totalsRowCount="1" headerRowDxfId="5322" dataDxfId="5320" totalsRowDxfId="5318" headerRowBorderDxfId="5321" tableBorderDxfId="5319" totalsRowBorderDxfId="5317">
  <autoFilter ref="B130:H143" xr:uid="{3EE5C2FA-750C-416A-9A8F-6014417C48E2}"/>
  <sortState xmlns:xlrd2="http://schemas.microsoft.com/office/spreadsheetml/2017/richdata2" ref="B131:H143">
    <sortCondition ref="B136:B143"/>
  </sortState>
  <tableColumns count="7">
    <tableColumn id="2" xr3:uid="{910340AB-A91E-4E97-B4CE-450BD4C13901}" name="Ingrediente" dataDxfId="5316" totalsRowDxfId="5315"/>
    <tableColumn id="3" xr3:uid="{D60FF30C-AD2A-4D63-BC88-D9DABB7103AA}" name="Und" dataDxfId="5314" totalsRowDxfId="5313"/>
    <tableColumn id="4" xr3:uid="{4561D699-B61E-4AE9-8023-CDD6C875E2A4}" name="Cant." dataDxfId="5312" totalsRowDxfId="5311"/>
    <tableColumn id="1" xr3:uid="{9841B5C9-29BC-4D4A-B141-EBB3F5594790}" name="Columna1" dataDxfId="5310" totalsRowDxfId="5309"/>
    <tableColumn id="7" xr3:uid="{D2217D06-956F-4064-BE34-2D2EF5FC602E}" name="Columna2" dataDxfId="5308" totalsRowDxfId="5307"/>
    <tableColumn id="5" xr3:uid="{F48B67DB-E5C4-4CF5-B249-9CE40AF6F7DE}" name="Costo" dataDxfId="5306" totalsRowDxfId="5305" dataCellStyle="Moneda">
      <calculatedColumnFormula>+VLOOKUP(Tabla110345345445545647936425164748392[[#This Row],[Ingrediente]],Tabla34[#All],3,0)</calculatedColumnFormula>
    </tableColumn>
    <tableColumn id="6" xr3:uid="{147C8159-92FA-4DBC-8DAA-F83DAA81FC84}" name="Total costo" totalsRowFunction="sum" dataDxfId="5304" totalsRowDxfId="5303" dataCellStyle="Moneda">
      <calculatedColumnFormula>+Tabla110345345445545647936425164748392[[#This Row],[Costo]]*Tabla110345345445545647936425164748392[[#This Row],[Columna2]]</calculatedColumnFormula>
    </tableColumn>
  </tableColumns>
  <tableStyleInfo name="TableStyleLight8" showFirstColumn="0" showLastColumn="0" showRowStripes="1" showColumnStripes="0"/>
</table>
</file>

<file path=xl/tables/table4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985E2BA6-624E-49D0-ABA5-9D17F9D2531F}" name="Tabla110345345445545647936435265758493" displayName="Tabla110345345445545647936435265758493" ref="B147:H164" totalsRowCount="1" headerRowDxfId="5302" dataDxfId="5300" totalsRowDxfId="5298" headerRowBorderDxfId="5301" tableBorderDxfId="5299" totalsRowBorderDxfId="5297">
  <autoFilter ref="B147:H163" xr:uid="{4C489715-9E0B-4E4C-B6B2-8303FD83957C}"/>
  <sortState xmlns:xlrd2="http://schemas.microsoft.com/office/spreadsheetml/2017/richdata2" ref="B148:H163">
    <sortCondition descending="1" ref="H150:H163"/>
  </sortState>
  <tableColumns count="7">
    <tableColumn id="2" xr3:uid="{49C5A641-81EC-4D56-B9C1-EE363FCC02E1}" name="Ingrediente" dataDxfId="5296" totalsRowDxfId="5295"/>
    <tableColumn id="3" xr3:uid="{47823CA6-473B-411D-B4B7-5C7EC147B718}" name="Und" dataDxfId="5294" totalsRowDxfId="5293"/>
    <tableColumn id="4" xr3:uid="{BF382072-BDB7-4824-9094-94254167096D}" name="Cant." dataDxfId="5292" totalsRowDxfId="5291"/>
    <tableColumn id="1" xr3:uid="{43983A4B-3338-40FE-83CB-A3F67D55D4D5}" name="Columna1" dataDxfId="5290" totalsRowDxfId="5289"/>
    <tableColumn id="7" xr3:uid="{6C9F699B-8AD3-43DA-9EE2-F33F69BF9ACB}" name="Columna2" dataDxfId="5288" totalsRowDxfId="5287"/>
    <tableColumn id="5" xr3:uid="{4D6BCE04-7C3F-4477-8529-39281630978B}" name="Costo" dataDxfId="5286" totalsRowDxfId="5285" dataCellStyle="Moneda">
      <calculatedColumnFormula>+VLOOKUP(Tabla110345345445545647936435265758493[[#This Row],[Ingrediente]],Tabla34[#All],3,0)</calculatedColumnFormula>
    </tableColumn>
    <tableColumn id="6" xr3:uid="{EE7A9272-E8EC-4882-A307-506FC9976410}" name="Total costo" totalsRowFunction="sum" dataDxfId="5284" totalsRowDxfId="5283" dataCellStyle="Moneda">
      <calculatedColumnFormula>+Tabla110345345445545647936435265758493[[#This Row],[Costo]]*Tabla110345345445545647936435265758493[[#This Row],[Columna2]]</calculatedColumnFormula>
    </tableColumn>
  </tableColumns>
  <tableStyleInfo name="TableStyleLight8" showFirstColumn="0" showLastColumn="0" showRowStripes="1" showColumnStripes="0"/>
</table>
</file>

<file path=xl/tables/table4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C78C1247-B94F-4098-BE3A-20E091EBD3BD}" name="Tabla110345345445545647936445366768594" displayName="Tabla110345345445545647936445366768594" ref="B167:H188" totalsRowCount="1" headerRowDxfId="5282" dataDxfId="5280" totalsRowDxfId="5278" headerRowBorderDxfId="5281" tableBorderDxfId="5279" totalsRowBorderDxfId="5277">
  <autoFilter ref="B167:H187" xr:uid="{1D50976C-78CC-40CF-B831-03996D1ED8D7}"/>
  <sortState xmlns:xlrd2="http://schemas.microsoft.com/office/spreadsheetml/2017/richdata2" ref="B168:H182">
    <sortCondition descending="1" ref="H170:H182"/>
  </sortState>
  <tableColumns count="7">
    <tableColumn id="2" xr3:uid="{B9A30D33-BB01-4D58-8DEA-837796F7E965}" name="Ingrediente" dataDxfId="5276" totalsRowDxfId="5275"/>
    <tableColumn id="3" xr3:uid="{9F9A8174-7CE6-4523-BC70-223B61E2D144}" name="Und" dataDxfId="5274" totalsRowDxfId="5273"/>
    <tableColumn id="4" xr3:uid="{0689C5BC-2EE8-478F-8531-36FB249301B7}" name="Cant." dataDxfId="5272" totalsRowDxfId="5271"/>
    <tableColumn id="1" xr3:uid="{B519B4F4-FEB3-472F-A640-94E46F65F38E}" name="Columna1" dataDxfId="5270" totalsRowDxfId="5269"/>
    <tableColumn id="7" xr3:uid="{D9FFB47C-F7A4-42A2-B72C-F71554FF303E}" name="Columna2" dataDxfId="5268" totalsRowDxfId="5267"/>
    <tableColumn id="5" xr3:uid="{DFC9612D-D474-429D-AED9-5ACCB3347AA5}" name="Costo" dataDxfId="5266" totalsRowDxfId="5265" dataCellStyle="Moneda">
      <calculatedColumnFormula>+VLOOKUP(Tabla110345345445545647936445366768594[[#This Row],[Ingrediente]],Tabla34[#All],3,0)</calculatedColumnFormula>
    </tableColumn>
    <tableColumn id="6" xr3:uid="{34B99F5D-402A-4E81-B04C-F4375E44C431}" name="Total costo" totalsRowFunction="sum" dataDxfId="5264" totalsRowDxfId="5263" dataCellStyle="Moneda">
      <calculatedColumnFormula>+Tabla110345345445545647936445366768594[[#This Row],[Costo]]*Tabla110345345445545647936445366768594[[#This Row],[Columna2]]</calculatedColumnFormula>
    </tableColumn>
  </tableColumns>
  <tableStyleInfo name="TableStyleLight8" showFirstColumn="0" showLastColumn="0" showRowStripes="1" showColumnStripes="0"/>
</table>
</file>

<file path=xl/tables/table4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D45DCA7-EF8B-484E-9F05-D87C077AE669}" name="Tabla110345345445545647936445366768594104" displayName="Tabla110345345445545647936445366768594104" ref="B191:H205" totalsRowCount="1" headerRowDxfId="5262" dataDxfId="5260" totalsRowDxfId="5258" headerRowBorderDxfId="5261" tableBorderDxfId="5259" totalsRowBorderDxfId="5257">
  <autoFilter ref="B191:H204" xr:uid="{991C1923-1DEC-4991-A5C9-4B48DACF523C}"/>
  <sortState xmlns:xlrd2="http://schemas.microsoft.com/office/spreadsheetml/2017/richdata2" ref="B192:H204">
    <sortCondition descending="1" ref="H194:H204"/>
  </sortState>
  <tableColumns count="7">
    <tableColumn id="2" xr3:uid="{C3E183A1-94DD-4999-A965-84AC494681C2}" name="Ingrediente" dataDxfId="5256" totalsRowDxfId="5255"/>
    <tableColumn id="3" xr3:uid="{810F146C-FA98-4DE8-A1C7-B8F52495ED27}" name="Und" dataDxfId="5254" totalsRowDxfId="5253"/>
    <tableColumn id="4" xr3:uid="{E378610C-D430-40F1-8B86-A738D6686018}" name="Cant." dataDxfId="5252" totalsRowDxfId="5251"/>
    <tableColumn id="1" xr3:uid="{04ECA9AF-D8F6-403F-980F-4E512962765D}" name="Columna1" dataDxfId="5250" totalsRowDxfId="5249"/>
    <tableColumn id="7" xr3:uid="{17E69F6A-221C-4397-B8A9-0D37DF5F016C}" name="Columna2" dataDxfId="5248" totalsRowDxfId="5247"/>
    <tableColumn id="5" xr3:uid="{5DC2CF6E-566A-4754-82AB-0B3341E5708D}" name="Costo" dataDxfId="5246" totalsRowDxfId="5245" dataCellStyle="Moneda">
      <calculatedColumnFormula>+VLOOKUP(Tabla110345345445545647936445366768594104[[#This Row],[Ingrediente]],Tabla34[#All],3,0)</calculatedColumnFormula>
    </tableColumn>
    <tableColumn id="6" xr3:uid="{AEF0782E-98BA-4EC6-80BD-87E7344F54CF}" name="Total costo" totalsRowFunction="sum" dataDxfId="5244" totalsRowDxfId="5243" dataCellStyle="Moneda">
      <calculatedColumnFormula>+Tabla110345345445545647936445366768594104[[#This Row],[Costo]]*Tabla110345345445545647936445366768594104[[#This Row],[Columna2]]</calculatedColumnFormula>
    </tableColumn>
  </tableColumns>
  <tableStyleInfo name="TableStyleLight8" showFirstColumn="0" showLastColumn="0" showRowStripes="1" showColumnStripes="0"/>
</table>
</file>

<file path=xl/tables/table4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40AAF25-E3E5-47A0-AF53-09FA900C4C76}" name="Tabla110345345445545647936445366768594104105" displayName="Tabla110345345445545647936445366768594104105" ref="B209:H222" totalsRowCount="1" headerRowDxfId="5242" dataDxfId="5240" totalsRowDxfId="5238" headerRowBorderDxfId="5241" tableBorderDxfId="5239" totalsRowBorderDxfId="5237">
  <autoFilter ref="B209:H221" xr:uid="{D8722DF8-9BA3-4171-8FAD-9B430C1EE4B2}"/>
  <sortState xmlns:xlrd2="http://schemas.microsoft.com/office/spreadsheetml/2017/richdata2" ref="B210:H220">
    <sortCondition descending="1" ref="H212:H220"/>
  </sortState>
  <tableColumns count="7">
    <tableColumn id="2" xr3:uid="{F9F93F1F-37B9-47E5-B42E-1D6C15C282FE}" name="Ingrediente" dataDxfId="5236" totalsRowDxfId="5235"/>
    <tableColumn id="3" xr3:uid="{DF1D67EC-A084-407C-BA94-6DB7E0A9F364}" name="Und" dataDxfId="5234" totalsRowDxfId="5233"/>
    <tableColumn id="4" xr3:uid="{ACF64B37-3D78-49D1-BD70-587D0EDFAFBA}" name="Cant." dataDxfId="5232" totalsRowDxfId="5231"/>
    <tableColumn id="1" xr3:uid="{2FFC9C23-1265-46B3-ACE4-BAE6053980B3}" name="Columna1" dataDxfId="5230" totalsRowDxfId="5229"/>
    <tableColumn id="7" xr3:uid="{0B49FEB6-F3A2-44FB-A86A-F68CF5483F38}" name="Columna2" dataDxfId="5228" totalsRowDxfId="5227"/>
    <tableColumn id="5" xr3:uid="{019E6F15-2463-42CB-9905-FDCBFB9AE461}" name="Costo" dataDxfId="5226" totalsRowDxfId="5225" dataCellStyle="Moneda">
      <calculatedColumnFormula>+VLOOKUP(Tabla110345345445545647936445366768594104105[[#This Row],[Ingrediente]],Tabla34[#All],3,0)</calculatedColumnFormula>
    </tableColumn>
    <tableColumn id="6" xr3:uid="{C4983304-967D-46B4-A27D-1E13590DF51F}" name="Total costo" totalsRowFunction="sum" dataDxfId="5224" totalsRowDxfId="5223" dataCellStyle="Moneda">
      <calculatedColumnFormula>+Tabla110345345445545647936445366768594104105[[#This Row],[Costo]]*Tabla110345345445545647936445366768594104105[[#This Row],[Columna2]]</calculatedColumnFormula>
    </tableColumn>
  </tableColumns>
  <tableStyleInfo name="TableStyleLight8" showFirstColumn="0" showLastColumn="0" showRowStripes="1" showColumnStripes="0"/>
</table>
</file>

<file path=xl/tables/table4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51FE125D-254A-475E-8DB6-D6EEA76ACD98}" name="Tabla110345345445545647936445366768594104105106" displayName="Tabla110345345445545647936445366768594104105106" ref="B226:H242" totalsRowCount="1" headerRowDxfId="5222" dataDxfId="5220" totalsRowDxfId="5218" headerRowBorderDxfId="5221" tableBorderDxfId="5219" totalsRowBorderDxfId="5217">
  <autoFilter ref="B226:H241" xr:uid="{D7070CCD-2F45-456C-BD08-939FF6F5851D}"/>
  <sortState xmlns:xlrd2="http://schemas.microsoft.com/office/spreadsheetml/2017/richdata2" ref="B227:H241">
    <sortCondition descending="1" ref="H229:H241"/>
  </sortState>
  <tableColumns count="7">
    <tableColumn id="2" xr3:uid="{E052ABA9-631E-4D2D-983C-EE2F40656319}" name="Ingrediente" dataDxfId="5216" totalsRowDxfId="5215"/>
    <tableColumn id="3" xr3:uid="{332FC011-5A06-4EAB-AD0C-CAE4E0EFD71F}" name="Und" dataDxfId="5214" totalsRowDxfId="5213"/>
    <tableColumn id="4" xr3:uid="{2A117CA2-5292-4FDA-A0EF-A18F395C1215}" name="Cant." dataDxfId="5212" totalsRowDxfId="5211"/>
    <tableColumn id="1" xr3:uid="{F0B9B6A4-1019-4F39-83AC-EBA324E1B5B6}" name="Columna1" dataDxfId="5210" totalsRowDxfId="5209"/>
    <tableColumn id="7" xr3:uid="{B9B7D8F7-3967-49E0-92D7-F73EFDC11E2F}" name="Columna2" dataDxfId="5208" totalsRowDxfId="5207"/>
    <tableColumn id="5" xr3:uid="{C6BD28F5-0155-465B-A86E-FBBDBF8853A8}" name="Costo" dataDxfId="5206" totalsRowDxfId="5205" dataCellStyle="Moneda">
      <calculatedColumnFormula>+VLOOKUP(Tabla110345345445545647936445366768594104105106[[#This Row],[Ingrediente]],Tabla34[#All],3,0)</calculatedColumnFormula>
    </tableColumn>
    <tableColumn id="6" xr3:uid="{02C7F33D-DC63-40D2-BCC5-854E1B396C0F}" name="Total costo" totalsRowFunction="sum" dataDxfId="5204" totalsRowDxfId="5203" dataCellStyle="Moneda">
      <calculatedColumnFormula>+Tabla110345345445545647936445366768594104105106[[#This Row],[Costo]]*Tabla110345345445545647936445366768594104105106[[#This Row],[Columna2]]</calculatedColumnFormula>
    </tableColumn>
  </tableColumns>
  <tableStyleInfo name="TableStyleLight8" showFirstColumn="0" showLastColumn="0" showRowStripes="1" showColumnStripes="0"/>
</table>
</file>

<file path=xl/tables/table4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C96B2FD5-7158-4706-8F3C-5BD6A20B695F}" name="Tabla110345345445545647936445366768594104105107" displayName="Tabla110345345445545647936445366768594104105107" ref="B245:H261" totalsRowCount="1" headerRowDxfId="5202" dataDxfId="5200" totalsRowDxfId="5198" headerRowBorderDxfId="5201" tableBorderDxfId="5199" totalsRowBorderDxfId="5197">
  <autoFilter ref="B245:H260" xr:uid="{D786C8F7-2C5C-4014-AEFE-435ED2C9734B}"/>
  <sortState xmlns:xlrd2="http://schemas.microsoft.com/office/spreadsheetml/2017/richdata2" ref="B246:H260">
    <sortCondition descending="1" ref="H247:H260"/>
  </sortState>
  <tableColumns count="7">
    <tableColumn id="2" xr3:uid="{2C5829AD-0073-494C-9B8B-66654FAC61EB}" name="Ingrediente" dataDxfId="5196" totalsRowDxfId="5195"/>
    <tableColumn id="3" xr3:uid="{42D8C4B1-06EB-4C84-AF45-D56E0AA9CC7E}" name="Und" dataDxfId="5194" totalsRowDxfId="5193"/>
    <tableColumn id="4" xr3:uid="{8241EC53-A79C-465B-8520-41FD7A5002B5}" name="Cant." dataDxfId="5192" totalsRowDxfId="5191"/>
    <tableColumn id="1" xr3:uid="{B061E5D9-129C-4614-8416-47E9AB29CD15}" name="Columna1" dataDxfId="5190" totalsRowDxfId="5189"/>
    <tableColumn id="7" xr3:uid="{9203841E-2621-42BA-88A8-440ED70B70AD}" name="Columna2" dataDxfId="5188" totalsRowDxfId="5187"/>
    <tableColumn id="5" xr3:uid="{C76EC636-B325-4C26-A02D-6C16831B46EB}" name="Costo" dataDxfId="5186" totalsRowDxfId="5185" dataCellStyle="Moneda">
      <calculatedColumnFormula>+VLOOKUP(Tabla110345345445545647936445366768594104105107[[#This Row],[Ingrediente]],Tabla34[#All],3,0)</calculatedColumnFormula>
    </tableColumn>
    <tableColumn id="6" xr3:uid="{F48ABDB4-702F-4F7A-9925-D2B563A76D34}" name="Total costo" totalsRowFunction="sum" dataDxfId="5184" totalsRowDxfId="5183" dataCellStyle="Moneda">
      <calculatedColumnFormula>+Tabla110345345445545647936445366768594104105107[[#This Row],[Costo]]*Tabla110345345445545647936445366768594104105107[[#This Row],[Columna2]]</calculatedColumnFormula>
    </tableColumn>
  </tableColumns>
  <tableStyleInfo name="TableStyleLight8" showFirstColumn="0" showLastColumn="0" showRowStripes="1" showColumnStripes="0"/>
</table>
</file>

<file path=xl/tables/table4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15B37A3D-4685-4605-9A6D-1DF2A0A3A641}" name="Tabla110345345445545647936445366768594104105107264" displayName="Tabla110345345445545647936445366768594104105107264" ref="B264:H285" totalsRowCount="1" headerRowDxfId="5182" dataDxfId="5180" totalsRowDxfId="5178" headerRowBorderDxfId="5181" tableBorderDxfId="5179" totalsRowBorderDxfId="5177">
  <autoFilter ref="B264:H284" xr:uid="{8D7C7AAF-C7A9-42F4-857C-E0206429450D}"/>
  <sortState xmlns:xlrd2="http://schemas.microsoft.com/office/spreadsheetml/2017/richdata2" ref="B265:H279">
    <sortCondition descending="1" ref="H268:H279"/>
  </sortState>
  <tableColumns count="7">
    <tableColumn id="2" xr3:uid="{66971997-3554-4D14-BB3D-1E848372285D}" name="Ingrediente" dataDxfId="5176" totalsRowDxfId="5175"/>
    <tableColumn id="3" xr3:uid="{7736EBA2-F159-4532-B9DF-D462CCE0551C}" name="Und" dataDxfId="5174" totalsRowDxfId="5173"/>
    <tableColumn id="4" xr3:uid="{9054C69F-0A54-4E27-8ED6-3A8EDCD9FE4A}" name="Cant." dataDxfId="5172" totalsRowDxfId="5171"/>
    <tableColumn id="1" xr3:uid="{CCF33F7E-5604-4CBA-9E04-F6098A0D7E4E}" name="Columna1" dataDxfId="5170" totalsRowDxfId="5169"/>
    <tableColumn id="7" xr3:uid="{DA7F373F-B700-4548-976F-996EB05A0F92}" name="Columna2" dataDxfId="5168" totalsRowDxfId="5167"/>
    <tableColumn id="5" xr3:uid="{84902977-DBC2-4BDF-8F4E-00C3EACE1AD8}" name="Costo" dataDxfId="5166" totalsRowDxfId="5165" dataCellStyle="Moneda">
      <calculatedColumnFormula>+VLOOKUP(Tabla110345345445545647936445366768594104105107264[[#This Row],[Ingrediente]],Tabla34[#All],3,0)</calculatedColumnFormula>
    </tableColumn>
    <tableColumn id="6" xr3:uid="{78D7AF8E-8A38-4B0B-9A17-71AEC15740D0}" name="Total costo" totalsRowFunction="sum" dataDxfId="5164" totalsRowDxfId="5163" dataCellStyle="Moneda">
      <calculatedColumnFormula>+Tabla110345345445545647936445366768594104105107264[[#This Row],[Costo]]*Tabla110345345445545647936445366768594104105107264[[#This Row],[Columna2]]</calculatedColumnFormula>
    </tableColumn>
  </tableColumns>
  <tableStyleInfo name="TableStyleLight8" showFirstColumn="0" showLastColumn="0" showRowStripes="1" showColumnStripes="0"/>
</table>
</file>

<file path=xl/tables/table4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7" xr:uid="{22D768F5-05EB-45FC-B10E-9BD1F001F6D6}" name="Tabla461487182618" displayName="Tabla461487182618" ref="M6:M8" totalsRowShown="0" headerRowDxfId="3895" dataDxfId="3894" tableBorderDxfId="3893">
  <autoFilter ref="M6:M8" xr:uid="{22D768F5-05EB-45FC-B10E-9BD1F001F6D6}"/>
  <tableColumns count="1">
    <tableColumn id="1" xr3:uid="{CDAF632D-C6EC-4EA7-9597-AC7E682EC1E8}" name="Preparacion" dataDxfId="3892"/>
  </tableColumns>
  <tableStyleInfo showFirstColumn="0" showLastColumn="0" showRowStripes="1" showColumnStripes="0"/>
</table>
</file>

<file path=xl/tables/table4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8" xr:uid="{15175FC1-EAF5-48E3-86C7-95AD63E60E27}" name="Tabla461487182381619" displayName="Tabla461487182381619" ref="M10:M13" totalsRowShown="0" headerRowDxfId="3891" dataDxfId="3890" tableBorderDxfId="3889">
  <autoFilter ref="M10:M13" xr:uid="{15175FC1-EAF5-48E3-86C7-95AD63E60E27}"/>
  <tableColumns count="1">
    <tableColumn id="1" xr3:uid="{E9069B0C-6C45-41ED-BA66-B29B76029D5A}" name="Emplatado" dataDxfId="3888"/>
  </tableColumns>
  <tableStyleInfo showFirstColumn="0" showLastColumn="0" showRowStripes="1" showColumnStripes="0"/>
</table>
</file>

<file path=xl/tables/table4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9" xr:uid="{8756C1E3-06F6-4827-A3A9-E8C16E3D3839}" name="Tabla461487182618620" displayName="Tabla461487182618620" ref="M33:M36" totalsRowShown="0" headerRowDxfId="3787" dataDxfId="3786" tableBorderDxfId="3785">
  <autoFilter ref="M33:M36" xr:uid="{8756C1E3-06F6-4827-A3A9-E8C16E3D3839}"/>
  <tableColumns count="1">
    <tableColumn id="1" xr3:uid="{83B1031F-A317-4ED0-B9B3-14D9F3B3D6B9}" name="Preparacion" dataDxfId="3784"/>
  </tableColumns>
  <tableStyleInfo showFirstColumn="0" showLastColumn="0" showRowStripes="1" showColumnStripes="0"/>
</table>
</file>

<file path=xl/tables/table4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0" xr:uid="{C6541230-7CD0-40E2-B241-6FCF8466B4CF}" name="Tabla461487182381619621" displayName="Tabla461487182381619621" ref="M38:M40" totalsRowShown="0" headerRowDxfId="3887" dataDxfId="3886" tableBorderDxfId="3885">
  <autoFilter ref="M38:M40" xr:uid="{C6541230-7CD0-40E2-B241-6FCF8466B4CF}"/>
  <tableColumns count="1">
    <tableColumn id="1" xr3:uid="{302B2379-A4EA-45CF-86C5-900CB78E1C8A}" name="Emplatado" dataDxfId="3884"/>
  </tableColumns>
  <tableStyleInfo showFirstColumn="0" showLastColumn="0" showRowStripes="1" showColumnStripes="0"/>
</table>
</file>

<file path=xl/tables/table4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1" xr:uid="{94F4EFC7-488C-4700-AE9D-42CB5F74C3D1}" name="Tabla461487182618622" displayName="Tabla461487182618622" ref="M58:M62" totalsRowShown="0" headerRowDxfId="3883" dataDxfId="3882" tableBorderDxfId="3881">
  <autoFilter ref="M58:M62" xr:uid="{94F4EFC7-488C-4700-AE9D-42CB5F74C3D1}"/>
  <tableColumns count="1">
    <tableColumn id="1" xr3:uid="{149A36DA-BB5F-423C-AFFC-ED62D6BCA425}" name="Preparacion" dataDxfId="3880"/>
  </tableColumns>
  <tableStyleInfo showFirstColumn="0" showLastColumn="0" showRowStripes="1" showColumnStripes="0"/>
</table>
</file>

<file path=xl/tables/table4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2" xr:uid="{22CC6685-8B57-4418-9DA0-15320BF81A9E}" name="Tabla461487182381619623" displayName="Tabla461487182381619623" ref="M64:M66" totalsRowShown="0" headerRowDxfId="3879" dataDxfId="3878" tableBorderDxfId="3877">
  <autoFilter ref="M64:M66" xr:uid="{22CC6685-8B57-4418-9DA0-15320BF81A9E}"/>
  <tableColumns count="1">
    <tableColumn id="1" xr3:uid="{609A23D0-F859-46C1-9B1D-F318D5C71550}" name="Emplatado" dataDxfId="3876"/>
  </tableColumns>
  <tableStyleInfo showFirstColumn="0" showLastColumn="0" showRowStripes="1" showColumnStripes="0"/>
</table>
</file>

<file path=xl/tables/table4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3" xr:uid="{B8C3EFF6-5992-485D-B2C0-E5F4197F8B24}" name="Tabla461487182618624" displayName="Tabla461487182618624" ref="M79:M82" totalsRowShown="0" headerRowDxfId="3875" dataDxfId="3874" tableBorderDxfId="3873">
  <autoFilter ref="M79:M82" xr:uid="{B8C3EFF6-5992-485D-B2C0-E5F4197F8B24}"/>
  <tableColumns count="1">
    <tableColumn id="1" xr3:uid="{49B5C0D4-8FEF-41E8-8932-F026B5F41E32}" name="Preparacion" dataDxfId="3872"/>
  </tableColumns>
  <tableStyleInfo showFirstColumn="0" showLastColumn="0" showRowStripes="1" showColumnStripes="0"/>
</table>
</file>

<file path=xl/tables/table4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4" xr:uid="{763DFFB3-143A-40E5-AC46-63E61B929B11}" name="Tabla461487182381619625" displayName="Tabla461487182381619625" ref="M84:M87" totalsRowShown="0" headerRowDxfId="3871" dataDxfId="3870" tableBorderDxfId="3869">
  <autoFilter ref="M84:M87" xr:uid="{763DFFB3-143A-40E5-AC46-63E61B929B11}"/>
  <tableColumns count="1">
    <tableColumn id="1" xr3:uid="{9287219A-97A6-4725-852F-5F11A0442E3E}" name="Emplatado" dataDxfId="3868"/>
  </tableColumns>
  <tableStyleInfo showFirstColumn="0" showLastColumn="0" showRowStripes="1" showColumnStripes="0"/>
</table>
</file>

<file path=xl/tables/table4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5" xr:uid="{2C0172D0-032B-473C-B5CA-9D194C445C22}" name="Tabla461487182618626" displayName="Tabla461487182618626" ref="M95:M98" totalsRowShown="0" headerRowDxfId="3867" dataDxfId="3866" tableBorderDxfId="3865">
  <autoFilter ref="M95:M98" xr:uid="{2C0172D0-032B-473C-B5CA-9D194C445C22}"/>
  <tableColumns count="1">
    <tableColumn id="1" xr3:uid="{3C44CEBC-9FCD-490B-ACD2-701E5086FB86}" name="Preparacion" dataDxfId="3864"/>
  </tableColumns>
  <tableStyleInfo showFirstColumn="0" showLastColumn="0" showRowStripes="1" showColumnStripes="0"/>
</table>
</file>

<file path=xl/tables/table4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6" xr:uid="{22EDC78F-3BC8-4ACC-BB1E-7ADECCC8B51F}" name="Tabla461487182381619627" displayName="Tabla461487182381619627" ref="M100:M104" totalsRowShown="0" headerRowDxfId="3863" dataDxfId="3862" tableBorderDxfId="3861">
  <autoFilter ref="M100:M104" xr:uid="{22EDC78F-3BC8-4ACC-BB1E-7ADECCC8B51F}"/>
  <tableColumns count="1">
    <tableColumn id="1" xr3:uid="{F43BAE01-8C65-4A56-9F51-F5B7D5AEAA90}" name="Emplatado" dataDxfId="3860"/>
  </tableColumns>
  <tableStyleInfo showFirstColumn="0" showLastColumn="0" showRowStripes="1" showColumnStripes="0"/>
</table>
</file>

<file path=xl/tables/table4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7" xr:uid="{126A8ECA-70FF-4290-B649-E573D244EFF8}" name="Tabla461487182618628" displayName="Tabla461487182618628" ref="M110:M114" totalsRowShown="0" headerRowDxfId="3859" dataDxfId="3858" tableBorderDxfId="3857">
  <autoFilter ref="M110:M114" xr:uid="{126A8ECA-70FF-4290-B649-E573D244EFF8}"/>
  <tableColumns count="1">
    <tableColumn id="1" xr3:uid="{80E03B96-4446-4E05-B7FC-15077F79D216}" name="Preparacion" dataDxfId="3856"/>
  </tableColumns>
  <tableStyleInfo showFirstColumn="0" showLastColumn="0" showRowStripes="1" showColumnStripes="0"/>
</table>
</file>

<file path=xl/tables/table4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8" xr:uid="{082B5B02-7924-4106-8AB0-24029FF3BCEB}" name="Tabla461487182381619629" displayName="Tabla461487182381619629" ref="M116:M119" totalsRowShown="0" headerRowDxfId="3855" dataDxfId="3854" tableBorderDxfId="3853">
  <autoFilter ref="M116:M119" xr:uid="{082B5B02-7924-4106-8AB0-24029FF3BCEB}"/>
  <tableColumns count="1">
    <tableColumn id="1" xr3:uid="{582650B9-AF47-4937-B4DF-F8F9BFA1424C}" name="Emplatado" dataDxfId="3852"/>
  </tableColumns>
  <tableStyleInfo showFirstColumn="0" showLastColumn="0" showRowStripes="1" showColumnStripes="0"/>
</table>
</file>

<file path=xl/tables/table4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9" xr:uid="{8F7392B2-77EE-4433-88E4-076C67DE38DD}" name="Tabla461487182618630" displayName="Tabla461487182618630" ref="M129:M133" totalsRowShown="0" headerRowDxfId="3851" dataDxfId="3850" tableBorderDxfId="3849">
  <autoFilter ref="M129:M133" xr:uid="{8F7392B2-77EE-4433-88E4-076C67DE38DD}"/>
  <tableColumns count="1">
    <tableColumn id="1" xr3:uid="{D6250593-EB5A-46B3-AB5E-02DB29747CC3}" name="Preparacion" dataDxfId="3848"/>
  </tableColumns>
  <tableStyleInfo showFirstColumn="0" showLastColumn="0" showRowStripes="1" showColumnStripes="0"/>
</table>
</file>

<file path=xl/tables/table4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0" xr:uid="{15BA3492-2452-43C0-949E-E17A9BFDDF45}" name="Tabla461487182381619631" displayName="Tabla461487182381619631" ref="M135:M139" totalsRowShown="0" headerRowDxfId="3847" dataDxfId="3846" tableBorderDxfId="3845">
  <autoFilter ref="M135:M139" xr:uid="{15BA3492-2452-43C0-949E-E17A9BFDDF45}"/>
  <tableColumns count="1">
    <tableColumn id="1" xr3:uid="{128B3C1C-918B-4E99-A2CC-A8B5ADF173A5}" name="Emplatado" dataDxfId="3844"/>
  </tableColumns>
  <tableStyleInfo showFirstColumn="0" showLastColumn="0" showRowStripes="1" showColumnStripes="0"/>
</table>
</file>

<file path=xl/tables/table4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1" xr:uid="{B6D74416-A249-4FEE-BF91-AFB3EC818673}" name="Tabla461487182618632" displayName="Tabla461487182618632" ref="M146:M150" totalsRowShown="0" headerRowDxfId="3843" dataDxfId="3842" tableBorderDxfId="3841">
  <autoFilter ref="M146:M150" xr:uid="{B6D74416-A249-4FEE-BF91-AFB3EC818673}"/>
  <tableColumns count="1">
    <tableColumn id="1" xr3:uid="{C2FD004B-DD64-4BF6-A304-BCF1B1152F5F}" name="Preparacion" dataDxfId="3840"/>
  </tableColumns>
  <tableStyleInfo showFirstColumn="0" showLastColumn="0" showRowStripes="1" showColumnStripes="0"/>
</table>
</file>

<file path=xl/tables/table4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2" xr:uid="{8206F394-16DA-4041-B097-57546080236E}" name="Tabla461487182381619633" displayName="Tabla461487182381619633" ref="M152:M156" totalsRowShown="0" headerRowDxfId="3839" dataDxfId="3838" tableBorderDxfId="3837">
  <autoFilter ref="M152:M156" xr:uid="{8206F394-16DA-4041-B097-57546080236E}"/>
  <tableColumns count="1">
    <tableColumn id="1" xr3:uid="{2016BFCB-112C-47D1-AA85-80CA7A654C51}" name="Emplatado" dataDxfId="3836"/>
  </tableColumns>
  <tableStyleInfo showFirstColumn="0" showLastColumn="0" showRowStripes="1" showColumnStripes="0"/>
</table>
</file>

<file path=xl/tables/table4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3" xr:uid="{8AF89D03-78F7-4AE7-A1FC-BFDE6053E659}" name="Tabla461487182618634" displayName="Tabla461487182618634" ref="M166:M169" totalsRowShown="0" headerRowDxfId="3835" dataDxfId="3834" tableBorderDxfId="3833">
  <autoFilter ref="M166:M169" xr:uid="{8AF89D03-78F7-4AE7-A1FC-BFDE6053E659}"/>
  <tableColumns count="1">
    <tableColumn id="1" xr3:uid="{555C0D72-04DA-4A44-B5D4-FF1709B37135}" name="Preparacion" dataDxfId="3832"/>
  </tableColumns>
  <tableStyleInfo showFirstColumn="0" showLastColumn="0" showRowStripes="1" showColumnStripes="0"/>
</table>
</file>

<file path=xl/tables/table4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4" xr:uid="{05F28AF5-CCFD-4C46-BAD7-88220E807448}" name="Tabla461487182381619635" displayName="Tabla461487182381619635" ref="M171:M174" totalsRowShown="0" headerRowDxfId="3831" dataDxfId="3830" tableBorderDxfId="3829">
  <autoFilter ref="M171:M174" xr:uid="{05F28AF5-CCFD-4C46-BAD7-88220E807448}"/>
  <tableColumns count="1">
    <tableColumn id="1" xr3:uid="{CCA2401C-278D-45D7-9875-48D143EDE081}" name="Emplatado" dataDxfId="3828"/>
  </tableColumns>
  <tableStyleInfo showFirstColumn="0" showLastColumn="0" showRowStripes="1" showColumnStripes="0"/>
</table>
</file>

<file path=xl/tables/table4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5" xr:uid="{F6AC0A0A-A894-4719-BB03-79BD16627726}" name="Tabla461487182618636" displayName="Tabla461487182618636" ref="M190:M193" totalsRowShown="0" headerRowDxfId="3827" dataDxfId="3826" tableBorderDxfId="3825">
  <autoFilter ref="M190:M193" xr:uid="{F6AC0A0A-A894-4719-BB03-79BD16627726}"/>
  <tableColumns count="1">
    <tableColumn id="1" xr3:uid="{A857F8D0-B36E-43F6-A5A5-00328B262153}" name="Preparacion" dataDxfId="3824"/>
  </tableColumns>
  <tableStyleInfo showFirstColumn="0" showLastColumn="0" showRowStripes="1" showColumnStripes="0"/>
</table>
</file>

<file path=xl/tables/table4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6" xr:uid="{71BEA8EA-EAAD-4A2C-829B-7FEE56C104B7}" name="Tabla461487182381619637" displayName="Tabla461487182381619637" ref="M195:M199" totalsRowShown="0" headerRowDxfId="3823" dataDxfId="3822" tableBorderDxfId="3821">
  <autoFilter ref="M195:M199" xr:uid="{71BEA8EA-EAAD-4A2C-829B-7FEE56C104B7}"/>
  <tableColumns count="1">
    <tableColumn id="1" xr3:uid="{FC168479-D283-426A-B0B8-B6383C567384}" name="Emplatado" dataDxfId="3820"/>
  </tableColumns>
  <tableStyleInfo showFirstColumn="0" showLastColumn="0" showRowStripes="1" showColumnStripes="0"/>
</table>
</file>

<file path=xl/tables/table4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7" xr:uid="{2B8100CE-7F45-454F-A82B-3D7DFDCFAD62}" name="Tabla461487182618638" displayName="Tabla461487182618638" ref="M208:M212" totalsRowShown="0" headerRowDxfId="3819" dataDxfId="3818" tableBorderDxfId="3817">
  <autoFilter ref="M208:M212" xr:uid="{2B8100CE-7F45-454F-A82B-3D7DFDCFAD62}"/>
  <tableColumns count="1">
    <tableColumn id="1" xr3:uid="{A5189263-A9C4-40A1-AC0F-0342F35A7B3C}" name="Preparacion" dataDxfId="3816"/>
  </tableColumns>
  <tableStyleInfo showFirstColumn="0" showLastColumn="0" showRowStripes="1" showColumnStripes="0"/>
</table>
</file>

<file path=xl/tables/table4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8" xr:uid="{30647DD9-B9F5-450F-9D3A-0B48D691E1A0}" name="Tabla461487182381619639" displayName="Tabla461487182381619639" ref="M214:M218" totalsRowShown="0" headerRowDxfId="3815" dataDxfId="3814" tableBorderDxfId="3813">
  <autoFilter ref="M214:M218" xr:uid="{30647DD9-B9F5-450F-9D3A-0B48D691E1A0}"/>
  <tableColumns count="1">
    <tableColumn id="1" xr3:uid="{0958FB1E-DB5A-44FC-8B89-2AB374AE6D94}" name="Emplatado" dataDxfId="3812"/>
  </tableColumns>
  <tableStyleInfo showFirstColumn="0" showLastColumn="0" showRowStripes="1" showColumnStripes="0"/>
</table>
</file>

<file path=xl/tables/table4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9" xr:uid="{20C49AA6-E2AF-404F-9FA4-8FCACE97FF8D}" name="Tabla461487182618640" displayName="Tabla461487182618640" ref="M225:M227" totalsRowShown="0" headerRowDxfId="3811" dataDxfId="3810" tableBorderDxfId="3809">
  <autoFilter ref="M225:M227" xr:uid="{20C49AA6-E2AF-404F-9FA4-8FCACE97FF8D}"/>
  <tableColumns count="1">
    <tableColumn id="1" xr3:uid="{47097578-82FA-4164-8147-37CEB2016918}" name="Preparacion" dataDxfId="3808"/>
  </tableColumns>
  <tableStyleInfo showFirstColumn="0" showLastColumn="0" showRowStripes="1" showColumnStripes="0"/>
</table>
</file>

<file path=xl/tables/table4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0" xr:uid="{71095B68-C2CD-462D-B1D8-89412C5D43B8}" name="Tabla461487182381619641" displayName="Tabla461487182381619641" ref="M229:M231" totalsRowShown="0" headerRowDxfId="3807" dataDxfId="3806" tableBorderDxfId="3805">
  <autoFilter ref="M229:M231" xr:uid="{71095B68-C2CD-462D-B1D8-89412C5D43B8}"/>
  <tableColumns count="1">
    <tableColumn id="1" xr3:uid="{2AF685A6-1534-44CC-B8A1-AC4AB912982C}" name="Emplatado" dataDxfId="3804"/>
  </tableColumns>
  <tableStyleInfo showFirstColumn="0" showLastColumn="0" showRowStripes="1" showColumnStripes="0"/>
</table>
</file>

<file path=xl/tables/table4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1" xr:uid="{065283E4-841F-412F-965C-5B2A6C4C1B57}" name="Tabla461487182618642" displayName="Tabla461487182618642" ref="M244:M247" totalsRowShown="0" headerRowDxfId="3803" dataDxfId="3802" tableBorderDxfId="3801">
  <autoFilter ref="M244:M247" xr:uid="{065283E4-841F-412F-965C-5B2A6C4C1B57}"/>
  <tableColumns count="1">
    <tableColumn id="1" xr3:uid="{39BE24BE-2905-46D9-A139-1263B88D89B9}" name="Preparacion" dataDxfId="3800"/>
  </tableColumns>
  <tableStyleInfo showFirstColumn="0" showLastColumn="0" showRowStripes="1" showColumnStripes="0"/>
</table>
</file>

<file path=xl/tables/table4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2" xr:uid="{D2369E58-CDD6-4434-851E-B9437A1E3998}" name="Tabla461487182381619643" displayName="Tabla461487182381619643" ref="M249:M254" totalsRowShown="0" headerRowDxfId="3799" dataDxfId="3798" tableBorderDxfId="3797">
  <autoFilter ref="M249:M254" xr:uid="{D2369E58-CDD6-4434-851E-B9437A1E3998}"/>
  <tableColumns count="1">
    <tableColumn id="1" xr3:uid="{B7411B5D-1707-44E6-B589-C1B94BD81FB8}" name="Emplatado" dataDxfId="3796"/>
  </tableColumns>
  <tableStyleInfo showFirstColumn="0" showLastColumn="0" showRowStripes="1" showColumnStripes="0"/>
</table>
</file>

<file path=xl/tables/table4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3" xr:uid="{AB938B49-7C65-416C-AC42-0A21A1F59795}" name="Tabla461487182618644" displayName="Tabla461487182618644" ref="M263:M265" totalsRowShown="0" headerRowDxfId="3795" dataDxfId="3794" tableBorderDxfId="3793">
  <autoFilter ref="M263:M265" xr:uid="{AB938B49-7C65-416C-AC42-0A21A1F59795}"/>
  <tableColumns count="1">
    <tableColumn id="1" xr3:uid="{925A1F0C-9BCC-405D-ADEB-6443B320F08F}" name="Preparacion" dataDxfId="3792"/>
  </tableColumns>
  <tableStyleInfo showFirstColumn="0" showLastColumn="0" showRowStripes="1" showColumnStripes="0"/>
</table>
</file>

<file path=xl/tables/table4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4" xr:uid="{61128E21-ABC9-4516-8A9B-1F3A8FE9A103}" name="Tabla461487182381619645" displayName="Tabla461487182381619645" ref="M267:M272" totalsRowShown="0" headerRowDxfId="3791" dataDxfId="3790" tableBorderDxfId="3789">
  <autoFilter ref="M267:M272" xr:uid="{61128E21-ABC9-4516-8A9B-1F3A8FE9A103}"/>
  <tableColumns count="1">
    <tableColumn id="1" xr3:uid="{2E460363-7435-4ADF-9354-1256ACA05D2A}" name="Emplatado" dataDxfId="3788"/>
  </tableColumns>
  <tableStyleInfo showFirstColumn="0" showLastColumn="0" showRowStripes="1" showColumnStripes="0"/>
</table>
</file>

<file path=xl/tables/table4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0D9AFC7-D504-4431-8D91-1250A14B514B}" name="Tabla1103453454455456479455868778695108" displayName="Tabla1103453454455456479455868778695108" ref="B7:H28" totalsRowCount="1" headerRowDxfId="6950" dataDxfId="6948" totalsRowDxfId="6946" headerRowBorderDxfId="6949" tableBorderDxfId="6947" totalsRowBorderDxfId="6945">
  <autoFilter ref="B7:H27" xr:uid="{25E24D6A-940D-4437-B263-679AE371D044}"/>
  <sortState xmlns:xlrd2="http://schemas.microsoft.com/office/spreadsheetml/2017/richdata2" ref="B8:H27">
    <sortCondition descending="1" ref="H9:H27"/>
  </sortState>
  <tableColumns count="7">
    <tableColumn id="2" xr3:uid="{547BDA90-A212-460F-AED4-2526E64FD935}" name="ArtÃ­culo" dataDxfId="6944" totalsRowDxfId="6943"/>
    <tableColumn id="3" xr3:uid="{BA122B1E-F268-43BE-9440-16BB03321F6D}" name="Unidad Medida" dataDxfId="6942" totalsRowDxfId="6941"/>
    <tableColumn id="4" xr3:uid="{E8AF4B62-4077-4C0E-A947-3E3BD087020E}" name="Unidades Netas" dataDxfId="6940" totalsRowDxfId="6939"/>
    <tableColumn id="1" xr3:uid="{16342772-4A81-4F03-807A-45B1783D162B}" name="% Merma" dataDxfId="6938" totalsRowDxfId="6937"/>
    <tableColumn id="7" xr3:uid="{D7B70D2A-8A11-4632-948F-587DF3FC4F1B}" name="Unidades" dataDxfId="6936" totalsRowDxfId="6935"/>
    <tableColumn id="5" xr3:uid="{B3F0CAA9-0AD4-4102-BA43-2FE2C0E8C6C1}" name="Coste Componente" dataDxfId="6934" totalsRowDxfId="6933" dataCellStyle="Moneda">
      <calculatedColumnFormula>+VLOOKUP(Tabla1103453454455456479455868778695108[[#This Row],[ArtÃ­culo]],Tabla34[#All],3,0)</calculatedColumnFormula>
    </tableColumn>
    <tableColumn id="6" xr3:uid="{40BD9D5E-4157-4142-8FF9-A83051741BAF}" name="Coste LÃ­nea" totalsRowFunction="sum" dataDxfId="6932" totalsRowDxfId="6931" dataCellStyle="Moneda">
      <calculatedColumnFormula>+Tabla1103453454455456479455868778695108[[#This Row],[Coste Componente]]*Tabla1103453454455456479455868778695108[[#This Row],[Unidades]]</calculatedColumnFormula>
    </tableColumn>
  </tableColumns>
  <tableStyleInfo name="TableStyleLight8" showFirstColumn="0" showLastColumn="0" showRowStripes="1" showColumnStripes="0"/>
</table>
</file>

<file path=xl/tables/table4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9DED49C-1261-4A96-B160-2E0E0C2A8C88}" name="Tabla110345345445545647936465969788796109" displayName="Tabla110345345445545647936465969788796109" ref="B31:H49" totalsRowCount="1" headerRowDxfId="6930" dataDxfId="6928" totalsRowDxfId="6926" headerRowBorderDxfId="6929" tableBorderDxfId="6927" totalsRowBorderDxfId="6925">
  <autoFilter ref="B31:H48" xr:uid="{465BE583-B429-4C2B-93EC-227E72041455}"/>
  <sortState xmlns:xlrd2="http://schemas.microsoft.com/office/spreadsheetml/2017/richdata2" ref="B32:H47">
    <sortCondition descending="1" ref="H36:H47"/>
  </sortState>
  <tableColumns count="7">
    <tableColumn id="2" xr3:uid="{592799D0-61DA-4F50-92D9-C0CF7F6D17FE}" name="ArtÃ­culo" dataDxfId="6924" totalsRowDxfId="6923"/>
    <tableColumn id="3" xr3:uid="{B2508394-9E0D-46B2-B957-46A9F91A3F77}" name="Unidad Medida" dataDxfId="6922" totalsRowDxfId="6921"/>
    <tableColumn id="4" xr3:uid="{C3AD7412-6951-4F96-B3C2-4927780BCB10}" name="Unidades Netas" dataDxfId="6920" totalsRowDxfId="6919"/>
    <tableColumn id="1" xr3:uid="{61E0E62D-8619-46F3-9B3C-0DDC5E18BB71}" name="% Merma" dataDxfId="6918" totalsRowDxfId="6917"/>
    <tableColumn id="7" xr3:uid="{5DD5ED41-C656-42EE-9F4E-00D9A8F64F50}" name="Unidades" dataDxfId="6916" totalsRowDxfId="6915"/>
    <tableColumn id="5" xr3:uid="{A873DCB2-CC13-4DB0-B187-F91C0B6121C6}" name="Coste Componente" dataDxfId="6914" totalsRowDxfId="6913" dataCellStyle="Moneda">
      <calculatedColumnFormula>+VLOOKUP(Tabla110345345445545647936465969788796109[[#This Row],[ArtÃ­culo]],Tabla34[#All],3,0)</calculatedColumnFormula>
    </tableColumn>
    <tableColumn id="6" xr3:uid="{C6E89A60-2140-4710-81FD-B00A5F00B990}" name="Coste LÃ­nea" totalsRowFunction="sum" dataDxfId="6912" totalsRowDxfId="6911" dataCellStyle="Moneda">
      <calculatedColumnFormula>+Tabla110345345445545647936465969788796109[[#This Row],[Coste Componente]]*Tabla110345345445545647936465969788796109[[#This Row],[Unidades]]</calculatedColumnFormula>
    </tableColumn>
  </tableColumns>
  <tableStyleInfo name="TableStyleLight8" showFirstColumn="0" showLastColumn="0" showRowStripes="1" showColumnStripes="0"/>
</table>
</file>

<file path=xl/tables/table4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A7F68DEC-28DD-493F-B41C-425975A1D6B0}" name="Tabla11034534544554564793637476070798897110" displayName="Tabla11034534544554564793637476070798897110" ref="B52:H68" totalsRowCount="1" headerRowDxfId="6910" dataDxfId="6908" totalsRowDxfId="6906" headerRowBorderDxfId="6909" tableBorderDxfId="6907" totalsRowBorderDxfId="6905">
  <autoFilter ref="B52:H67" xr:uid="{D046284E-C2C1-4680-A383-F9B742CBF79C}"/>
  <sortState xmlns:xlrd2="http://schemas.microsoft.com/office/spreadsheetml/2017/richdata2" ref="B53:H67">
    <sortCondition descending="1" ref="H59:H67"/>
  </sortState>
  <tableColumns count="7">
    <tableColumn id="2" xr3:uid="{29256DC7-CB5B-410F-8C96-0EB3A9EB2769}" name="ArtÃ­culo" dataDxfId="6904" totalsRowDxfId="6903"/>
    <tableColumn id="3" xr3:uid="{CCC8521A-85AD-43F0-9470-C5C82B121F99}" name="Unidad Medida" dataDxfId="6902" totalsRowDxfId="6901"/>
    <tableColumn id="4" xr3:uid="{C87B5384-41C4-4BFC-8EE1-5D947FD7C4EC}" name="Unidades Netas" dataDxfId="6900" totalsRowDxfId="6899"/>
    <tableColumn id="1" xr3:uid="{CEF13F8C-427F-4634-A6C9-7FDF045D3418}" name="% Merma" dataDxfId="6898" totalsRowDxfId="6897"/>
    <tableColumn id="7" xr3:uid="{743E7454-2491-462B-981F-44FDB6A8355D}" name="Unidades" dataDxfId="6896" totalsRowDxfId="6895"/>
    <tableColumn id="5" xr3:uid="{00D50A83-B124-4611-9382-FE2F4257B987}" name="Coste Componente" dataDxfId="6894" totalsRowDxfId="6893" dataCellStyle="Moneda">
      <calculatedColumnFormula>+VLOOKUP(Tabla11034534544554564793637476070798897110[[#This Row],[ArtÃ­culo]],Tabla34[#All],3,0)</calculatedColumnFormula>
    </tableColumn>
    <tableColumn id="6" xr3:uid="{D4722366-88F9-401D-B124-E5106A0E0F0D}" name="Coste LÃ­nea" totalsRowFunction="sum" dataDxfId="6892" totalsRowDxfId="6891" dataCellStyle="Moneda">
      <calculatedColumnFormula>+Tabla11034534544554564793637476070798897110[[#This Row],[Coste Componente]]*Tabla11034534544554564793637476070798897110[[#This Row],[Unidades]]</calculatedColumnFormula>
    </tableColumn>
  </tableColumns>
  <tableStyleInfo name="TableStyleLight8" showFirstColumn="0" showLastColumn="0" showRowStripes="1" showColumnStripes="0"/>
</table>
</file>

<file path=xl/tables/table4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1569E22B-818D-465D-85F2-AC92F93F0E84}" name="Tabla11034534544554564793638486171808998111" displayName="Tabla11034534544554564793638486171808998111" ref="B71:H90" totalsRowCount="1" headerRowDxfId="6890" dataDxfId="6888" totalsRowDxfId="6886" headerRowBorderDxfId="6889" tableBorderDxfId="6887" totalsRowBorderDxfId="6885">
  <autoFilter ref="B71:H89" xr:uid="{C36CCCC4-7A27-4243-8E76-2253568FF38F}"/>
  <sortState xmlns:xlrd2="http://schemas.microsoft.com/office/spreadsheetml/2017/richdata2" ref="B72:H89">
    <sortCondition descending="1" ref="H73:H89"/>
  </sortState>
  <tableColumns count="7">
    <tableColumn id="2" xr3:uid="{05E9A902-6BAC-4016-B669-6876B5DB1B99}" name="ArtÃ­culo" dataDxfId="6884" totalsRowDxfId="6883"/>
    <tableColumn id="3" xr3:uid="{D37A5B1B-C3CF-4DE8-9368-8E95149FCAE1}" name="Unidad Medida" dataDxfId="6882" totalsRowDxfId="6881"/>
    <tableColumn id="4" xr3:uid="{103FD40D-37C7-4B28-9C18-8E29931EE854}" name="Unidades Netas" dataDxfId="6880" totalsRowDxfId="6879"/>
    <tableColumn id="1" xr3:uid="{048B717F-BDB1-4142-8984-F81ED05B036B}" name="% Merma" dataDxfId="6878" totalsRowDxfId="6877"/>
    <tableColumn id="7" xr3:uid="{DF221D88-77E4-4E38-AACB-94A14777936C}" name="Unidades" dataDxfId="6876" totalsRowDxfId="6875"/>
    <tableColumn id="5" xr3:uid="{C7DBF117-3AA5-40E6-AA5C-82BA6ADAA6C0}" name="Coste Componente" dataDxfId="6874" totalsRowDxfId="6873" dataCellStyle="Moneda">
      <calculatedColumnFormula>+VLOOKUP(Tabla11034534544554564793638486171808998111[[#This Row],[ArtÃ­culo]],Tabla34[#All],3,0)</calculatedColumnFormula>
    </tableColumn>
    <tableColumn id="6" xr3:uid="{CD149CD3-5490-4EA8-AA5D-C025D9469556}" name="Coste LÃ­nea" totalsRowFunction="sum" dataDxfId="6872" totalsRowDxfId="6871" dataCellStyle="Moneda">
      <calculatedColumnFormula>+Tabla11034534544554564793638486171808998111[[#This Row],[Coste Componente]]*Tabla11034534544554564793638486171808998111[[#This Row],[Unidades]]</calculatedColumnFormula>
    </tableColumn>
  </tableColumns>
  <tableStyleInfo name="TableStyleLight8" showFirstColumn="0" showLastColumn="0" showRowStripes="1" showColumnStripes="0"/>
</table>
</file>

<file path=xl/tables/table4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ADB31E8B-64AE-45B1-B31D-A6F27D02D556}" name="Tabla110345345445545647945586877869510811712713622823724627233260269297315316348494493495501248" displayName="Tabla110345345445545647945586877869510811712713622823724627233260269297315316348494493495501248" ref="B95:H112" totalsRowCount="1" headerRowDxfId="6870" dataDxfId="6868" totalsRowDxfId="6866" headerRowBorderDxfId="6869" tableBorderDxfId="6867" totalsRowBorderDxfId="6865">
  <autoFilter ref="B95:H111" xr:uid="{ADB31E8B-64AE-45B1-B31D-A6F27D02D556}"/>
  <sortState xmlns:xlrd2="http://schemas.microsoft.com/office/spreadsheetml/2017/richdata2" ref="B96:H111">
    <sortCondition descending="1" ref="H100:H111"/>
  </sortState>
  <tableColumns count="7">
    <tableColumn id="2" xr3:uid="{2C57E554-B030-4799-9972-9755A2546A00}" name="Ingrediente" dataDxfId="6864" totalsRowDxfId="6863"/>
    <tableColumn id="3" xr3:uid="{5BD55422-9DBC-4C03-AABB-F395FDC2CA6F}" name="Und" dataDxfId="6862" totalsRowDxfId="6861"/>
    <tableColumn id="4" xr3:uid="{315A1408-9C31-4235-9C1F-36B688CA94B5}" name="Cant." dataDxfId="6860" totalsRowDxfId="6859"/>
    <tableColumn id="1" xr3:uid="{C4E722FF-71FD-4F76-AF95-188846B9136B}" name="Columna1" dataDxfId="6858" totalsRowDxfId="6857"/>
    <tableColumn id="7" xr3:uid="{CA08ABA9-28E5-4FFC-9158-E9405E7066DE}" name="Columna2" dataDxfId="6856" totalsRowDxfId="6855"/>
    <tableColumn id="5" xr3:uid="{436A8D90-5984-4A9B-9DE8-61203DB78265}" name="Costo" dataDxfId="6854" totalsRowDxfId="6853" dataCellStyle="Moneda">
      <calculatedColumnFormula>+VLOOKUP(Tabla110345345445545647945586877869510811712713622823724627233260269297315316348494493495501248[[#This Row],[Ingrediente]],Tabla34[#All],3,0)</calculatedColumnFormula>
    </tableColumn>
    <tableColumn id="6" xr3:uid="{F07035F4-61AF-48C8-8D38-93E8C98D6E9F}" name="Total costo" totalsRowFunction="sum" dataDxfId="6852" totalsRowDxfId="6851" dataCellStyle="Moneda">
      <calculatedColumnFormula>+Tabla110345345445545647945586877869510811712713622823724627233260269297315316348494493495501248[[#This Row],[Costo]]*Tabla110345345445545647945586877869510811712713622823724627233260269297315316348494493495501248[[#This Row],[Columna2]]</calculatedColumnFormula>
    </tableColumn>
  </tableColumns>
  <tableStyleInfo name="TableStyleLight8" showFirstColumn="0" showLastColumn="0" showRowStripes="1" showColumnStripes="0"/>
</table>
</file>

<file path=xl/tables/table4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5" xr:uid="{83CF6A9A-6219-4907-93E9-8DA44746FFA2}" name="Tabla110345345445545647945586877869510811712713622823724627233260269297315316348494493495501248446" displayName="Tabla110345345445545647945586877869510811712713622823724627233260269297315316348494493495501248446" ref="B116:H133" totalsRowCount="1" headerRowDxfId="6850" dataDxfId="6848" totalsRowDxfId="6846" headerRowBorderDxfId="6849" tableBorderDxfId="6847" totalsRowBorderDxfId="6845">
  <autoFilter ref="B116:H132" xr:uid="{83CF6A9A-6219-4907-93E9-8DA44746FFA2}"/>
  <sortState xmlns:xlrd2="http://schemas.microsoft.com/office/spreadsheetml/2017/richdata2" ref="B117:H132">
    <sortCondition descending="1" ref="H121:H132"/>
  </sortState>
  <tableColumns count="7">
    <tableColumn id="2" xr3:uid="{900EA1E8-9BDA-4A41-9759-212830E133BE}" name="Ingrediente" dataDxfId="6844" totalsRowDxfId="6843"/>
    <tableColumn id="3" xr3:uid="{D0F28D1C-1E00-468D-8B46-814F4BA368EC}" name="Und" dataDxfId="6842" totalsRowDxfId="6841"/>
    <tableColumn id="4" xr3:uid="{85311416-1A61-43D3-8CFB-468373AEC036}" name="Cant." dataDxfId="6840" totalsRowDxfId="6839"/>
    <tableColumn id="1" xr3:uid="{8DF87035-D317-4CF0-93A6-9F207326593D}" name="Columna1" dataDxfId="6838" totalsRowDxfId="6837"/>
    <tableColumn id="7" xr3:uid="{5DD05333-ADE9-43C6-B79A-BD9D7FE7A6A7}" name="Columna2" dataDxfId="6836" totalsRowDxfId="6835"/>
    <tableColumn id="5" xr3:uid="{D4D2A108-3B49-4E22-8173-7AAD8C278B98}" name="Costo" dataDxfId="6834" totalsRowDxfId="6833" dataCellStyle="Moneda">
      <calculatedColumnFormula>+VLOOKUP(Tabla110345345445545647945586877869510811712713622823724627233260269297315316348494493495501248446[[#This Row],[Ingrediente]],Tabla34[#All],3,0)</calculatedColumnFormula>
    </tableColumn>
    <tableColumn id="6" xr3:uid="{437AA1E8-376B-47F5-9C4A-7BC5E1CA9744}" name="Total costo" totalsRowFunction="sum" dataDxfId="6832" totalsRowDxfId="6831" dataCellStyle="Moneda">
      <calculatedColumnFormula>+Tabla110345345445545647945586877869510811712713622823724627233260269297315316348494493495501248446[[#This Row],[Costo]]*Tabla110345345445545647945586877869510811712713622823724627233260269297315316348494493495501248446[[#This Row],[Columna2]]</calculatedColumnFormula>
    </tableColumn>
  </tableColumns>
  <tableStyleInfo name="TableStyleLight8" showFirstColumn="0" showLastColumn="0" showRowStripes="1" showColumnStripes="0"/>
</table>
</file>

<file path=xl/tables/table4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2" xr:uid="{F9060E33-F67D-4736-98DE-CF7F8B612628}" name="Tabla461487182663" displayName="Tabla461487182663" ref="M6:M10" totalsRowShown="0" headerRowDxfId="3719" dataDxfId="3718" tableBorderDxfId="3717">
  <autoFilter ref="M6:M10" xr:uid="{F9060E33-F67D-4736-98DE-CF7F8B612628}"/>
  <tableColumns count="1">
    <tableColumn id="1" xr3:uid="{2489E27B-5084-4C29-BA7E-610EB001C13B}" name="Preparacion" dataDxfId="3716"/>
  </tableColumns>
  <tableStyleInfo showFirstColumn="0" showLastColumn="0" showRowStripes="1" showColumnStripes="0"/>
</table>
</file>

<file path=xl/tables/table4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3" xr:uid="{5B5D9D41-9747-47CB-840E-EFD1C9F28D11}" name="Tabla461487182381664" displayName="Tabla461487182381664" ref="M12:M16" totalsRowShown="0" headerRowDxfId="3715" dataDxfId="3714" tableBorderDxfId="3713">
  <autoFilter ref="M12:M16" xr:uid="{5B5D9D41-9747-47CB-840E-EFD1C9F28D11}"/>
  <tableColumns count="1">
    <tableColumn id="1" xr3:uid="{2414A514-6FC0-47BF-AF3F-78BD0CCE432B}" name="Emplatado" dataDxfId="3712"/>
  </tableColumns>
  <tableStyleInfo showFirstColumn="0" showLastColumn="0" showRowStripes="1" showColumnStripes="0"/>
</table>
</file>

<file path=xl/tables/table4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4" xr:uid="{46A87CEA-92BC-45B5-BA45-6064D85E6602}" name="Tabla461487182663665" displayName="Tabla461487182663665" ref="M31:M36" totalsRowShown="0" headerRowDxfId="3711" dataDxfId="3710" tableBorderDxfId="3709">
  <autoFilter ref="M31:M36" xr:uid="{46A87CEA-92BC-45B5-BA45-6064D85E6602}"/>
  <tableColumns count="1">
    <tableColumn id="1" xr3:uid="{1EBC9F67-8197-42D2-8BC3-90AC29B08014}" name="Preparacion" dataDxfId="3708"/>
  </tableColumns>
  <tableStyleInfo showFirstColumn="0" showLastColumn="0" showRowStripes="1" showColumnStripes="0"/>
</table>
</file>

<file path=xl/tables/table4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5" xr:uid="{657BC85D-F464-41B6-9256-6A09AD7B356A}" name="Tabla461487182381664666" displayName="Tabla461487182381664666" ref="M38:M42" totalsRowShown="0" headerRowDxfId="3707" dataDxfId="3706" tableBorderDxfId="3705">
  <autoFilter ref="M38:M42" xr:uid="{657BC85D-F464-41B6-9256-6A09AD7B356A}"/>
  <tableColumns count="1">
    <tableColumn id="1" xr3:uid="{47B2057B-5D92-4E65-89C0-BF454A60EB6D}" name="Emplatado" dataDxfId="3704"/>
  </tableColumns>
  <tableStyleInfo showFirstColumn="0" showLastColumn="0" showRowStripes="1" showColumnStripes="0"/>
</table>
</file>

<file path=xl/tables/table4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6" xr:uid="{F1DEB6E0-2E5C-4009-AB3F-DD953167673D}" name="Tabla461487182663667" displayName="Tabla461487182663667" ref="M52:M56" totalsRowShown="0" headerRowDxfId="3703" dataDxfId="3702" tableBorderDxfId="3701">
  <autoFilter ref="M52:M56" xr:uid="{F1DEB6E0-2E5C-4009-AB3F-DD953167673D}"/>
  <tableColumns count="1">
    <tableColumn id="1" xr3:uid="{BDDE26F7-B904-486A-A010-CA31E672819A}" name="Preparacion" dataDxfId="3700"/>
  </tableColumns>
  <tableStyleInfo showFirstColumn="0" showLastColumn="0" showRowStripes="1" showColumnStripes="0"/>
</table>
</file>

<file path=xl/tables/table4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7" xr:uid="{53E2EDFC-6AE5-4A4C-B67C-4711F3667EEE}" name="Tabla461487182381664668" displayName="Tabla461487182381664668" ref="M58:M60" totalsRowShown="0" headerRowDxfId="3699" dataDxfId="3698" tableBorderDxfId="3697">
  <autoFilter ref="M58:M60" xr:uid="{53E2EDFC-6AE5-4A4C-B67C-4711F3667EEE}"/>
  <tableColumns count="1">
    <tableColumn id="1" xr3:uid="{A31B5B26-064E-43AA-96FC-168C7020AC74}" name="Emplatado" dataDxfId="3696"/>
  </tableColumns>
  <tableStyleInfo showFirstColumn="0" showLastColumn="0" showRowStripes="1" showColumnStripes="0"/>
</table>
</file>

<file path=xl/tables/table4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8" xr:uid="{5CD0CACB-FA6F-48C1-A652-5CBF3E760BAC}" name="Tabla461487182663669" displayName="Tabla461487182663669" ref="M71:M75" totalsRowShown="0" headerRowDxfId="3695" dataDxfId="3694" tableBorderDxfId="3693">
  <autoFilter ref="M71:M75" xr:uid="{5CD0CACB-FA6F-48C1-A652-5CBF3E760BAC}"/>
  <tableColumns count="1">
    <tableColumn id="1" xr3:uid="{84CD42A0-3372-494E-BBD8-FAEC335FC2E3}" name="Preparacion" dataDxfId="3692"/>
  </tableColumns>
  <tableStyleInfo showFirstColumn="0" showLastColumn="0" showRowStripes="1" showColumnStripes="0"/>
</table>
</file>

<file path=xl/tables/table4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9" xr:uid="{D1B9BE19-6AE2-46C3-B71C-E7AE4564D02F}" name="Tabla461487182381664670" displayName="Tabla461487182381664670" ref="M77:M81" totalsRowShown="0" headerRowDxfId="3691" dataDxfId="3690" tableBorderDxfId="3689">
  <autoFilter ref="M77:M81" xr:uid="{D1B9BE19-6AE2-46C3-B71C-E7AE4564D02F}"/>
  <tableColumns count="1">
    <tableColumn id="1" xr3:uid="{7A20107A-D5B6-4260-A06D-D7003AD0C836}" name="Emplatado" dataDxfId="3688"/>
  </tableColumns>
  <tableStyleInfo showFirstColumn="0" showLastColumn="0" showRowStripes="1" showColumnStripes="0"/>
</table>
</file>

<file path=xl/tables/table4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0" xr:uid="{C2171108-12B4-4C8B-86D3-8DAFA957B69D}" name="Tabla461487182663671" displayName="Tabla461487182663671" ref="M95:M99" totalsRowShown="0" headerRowDxfId="3687" dataDxfId="3686" tableBorderDxfId="3685">
  <autoFilter ref="M95:M99" xr:uid="{C2171108-12B4-4C8B-86D3-8DAFA957B69D}"/>
  <tableColumns count="1">
    <tableColumn id="1" xr3:uid="{6B93F825-3332-47BD-826E-F63EDEA195FC}" name="Preparacion" dataDxfId="3684"/>
  </tableColumns>
  <tableStyleInfo showFirstColumn="0" showLastColumn="0" showRowStripes="1" showColumnStripes="0"/>
</table>
</file>

<file path=xl/tables/table4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1" xr:uid="{B1C9791D-B42C-4BEA-80B4-326182A90C61}" name="Tabla461487182381664672" displayName="Tabla461487182381664672" ref="M101:M105" totalsRowShown="0" headerRowDxfId="3683" dataDxfId="3682" tableBorderDxfId="3681">
  <autoFilter ref="M101:M105" xr:uid="{B1C9791D-B42C-4BEA-80B4-326182A90C61}"/>
  <tableColumns count="1">
    <tableColumn id="1" xr3:uid="{FDFB8DD3-FE7F-4F37-931D-64901AED4A11}" name="Emplatado" dataDxfId="3680"/>
  </tableColumns>
  <tableStyleInfo showFirstColumn="0" showLastColumn="0" showRowStripes="1" showColumnStripes="0"/>
</table>
</file>

<file path=xl/tables/table4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2" xr:uid="{1152EB73-6BE1-443A-AA8E-4856B095E078}" name="Tabla461487182663673" displayName="Tabla461487182663673" ref="M116:M120" totalsRowShown="0" headerRowDxfId="3679" dataDxfId="3678" tableBorderDxfId="3677">
  <autoFilter ref="M116:M120" xr:uid="{1152EB73-6BE1-443A-AA8E-4856B095E078}"/>
  <tableColumns count="1">
    <tableColumn id="1" xr3:uid="{80B357D0-CB8C-4C3D-88FC-04D47BCA29AC}" name="Preparacion" dataDxfId="3676"/>
  </tableColumns>
  <tableStyleInfo showFirstColumn="0" showLastColumn="0" showRowStripes="1" showColumnStripes="0"/>
</table>
</file>

<file path=xl/tables/table4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3" xr:uid="{ABB4240E-0617-4AEE-A27E-0786696B6F5F}" name="Tabla461487182381664674" displayName="Tabla461487182381664674" ref="M122:M126" totalsRowShown="0" headerRowDxfId="3675" dataDxfId="3674" tableBorderDxfId="3673">
  <autoFilter ref="M122:M126" xr:uid="{ABB4240E-0617-4AEE-A27E-0786696B6F5F}"/>
  <tableColumns count="1">
    <tableColumn id="1" xr3:uid="{BB6C9ACA-B9E4-4DDD-9C0B-0AD83694FD87}" name="Emplatado" dataDxfId="3672"/>
  </tableColumns>
  <tableStyleInfo showFirstColumn="0" showLastColumn="0" showRowStripes="1" showColumnStripes="0"/>
</table>
</file>

<file path=xl/tables/table4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8E944D4-DC21-4E2A-8B13-33BC37399A65}" name="Tabla110345345445545647936465969788796109118128" displayName="Tabla110345345445545647936465969788796109118128" ref="B8:H17" totalsRowCount="1" headerRowDxfId="5842" dataDxfId="5840" totalsRowDxfId="5838" headerRowBorderDxfId="5841" tableBorderDxfId="5839" totalsRowBorderDxfId="5837">
  <autoFilter ref="B8:H16" xr:uid="{465BE583-B429-4C2B-93EC-227E72041455}"/>
  <sortState xmlns:xlrd2="http://schemas.microsoft.com/office/spreadsheetml/2017/richdata2" ref="B9:H16">
    <sortCondition descending="1" ref="H11:H16"/>
  </sortState>
  <tableColumns count="7">
    <tableColumn id="2" xr3:uid="{2F41E8E5-40C0-47A5-A809-7913E3B85B99}" name="Ingrediente" dataDxfId="5836" totalsRowDxfId="5835"/>
    <tableColumn id="3" xr3:uid="{18823266-3E31-4C65-AAC9-37E1036251F0}" name="Und" dataDxfId="5834" totalsRowDxfId="5833"/>
    <tableColumn id="4" xr3:uid="{1AF63E65-BF33-44DE-A6D4-101048BA80DD}" name="Cant." dataDxfId="5832" totalsRowDxfId="5831"/>
    <tableColumn id="1" xr3:uid="{FA6539EC-F2C7-4E62-848F-4B6C954A2DFF}" name="Columna1" dataDxfId="5830" totalsRowDxfId="5829"/>
    <tableColumn id="7" xr3:uid="{7EF75228-DBB3-4A67-858A-98162A7D8AF8}" name="Columna2" dataDxfId="5828" totalsRowDxfId="5827"/>
    <tableColumn id="5" xr3:uid="{0F518D5D-CE94-4DA5-80AA-9311C33C36E3}" name="Costo" dataDxfId="5826" totalsRowDxfId="5825" dataCellStyle="Moneda">
      <calculatedColumnFormula>+VLOOKUP(Tabla110345345445545647936465969788796109118128[[#This Row],[Ingrediente]],Tabla34[#All],3,0)</calculatedColumnFormula>
    </tableColumn>
    <tableColumn id="6" xr3:uid="{6C0AD007-A0FF-43D5-985A-82015598D244}" name="Total costo" totalsRowFunction="sum" dataDxfId="5824" totalsRowDxfId="5823" dataCellStyle="Moneda">
      <calculatedColumnFormula>+Tabla110345345445545647936465969788796109118128[[#This Row],[Costo]]*Tabla110345345445545647936465969788796109118128[[#This Row],[Columna2]]</calculatedColumnFormula>
    </tableColumn>
  </tableColumns>
  <tableStyleInfo name="TableStyleLight8" showFirstColumn="0" showLastColumn="0" showRowStripes="1" showColumnStripes="0"/>
</table>
</file>

<file path=xl/tables/table4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6D32D1A9-408C-4742-8734-74BF45617C88}" name="Tabla11034534544554564793637476070798897110119129" displayName="Tabla11034534544554564793637476070798897110119129" ref="B20:H29" totalsRowCount="1" headerRowDxfId="5822" dataDxfId="5820" totalsRowDxfId="5818" headerRowBorderDxfId="5821" tableBorderDxfId="5819" totalsRowBorderDxfId="5817">
  <autoFilter ref="B20:H28" xr:uid="{D046284E-C2C1-4680-A383-F9B742CBF79C}"/>
  <sortState xmlns:xlrd2="http://schemas.microsoft.com/office/spreadsheetml/2017/richdata2" ref="B21:H28">
    <sortCondition descending="1" ref="H23:H28"/>
  </sortState>
  <tableColumns count="7">
    <tableColumn id="2" xr3:uid="{51D404F4-36EC-4DA4-A32C-8F51B060710E}" name="Ingrediente" dataDxfId="5816" totalsRowDxfId="5815"/>
    <tableColumn id="3" xr3:uid="{DADC54A7-85EB-4F15-AE8F-CE94D504F55A}" name="Und" dataDxfId="5814" totalsRowDxfId="5813"/>
    <tableColumn id="4" xr3:uid="{A91C8AB3-E27D-4556-A0E8-914C34CD000C}" name="Cant." dataDxfId="5812" totalsRowDxfId="5811"/>
    <tableColumn id="1" xr3:uid="{31BE1269-150C-4B02-ABEF-C693B6C9C0E1}" name="Columna1" dataDxfId="5810" totalsRowDxfId="5809"/>
    <tableColumn id="7" xr3:uid="{357BD5BF-5C22-464F-AB7A-F9C5DFC31A13}" name="Columna2" dataDxfId="5808" totalsRowDxfId="5807"/>
    <tableColumn id="5" xr3:uid="{B1941AFA-1666-4990-8FEC-4F240C6B7CC0}" name="Costo" dataDxfId="5806" totalsRowDxfId="5805" dataCellStyle="Moneda">
      <calculatedColumnFormula>+VLOOKUP(Tabla11034534544554564793637476070798897110119129[[#This Row],[Ingrediente]],Tabla34[#All],3,0)</calculatedColumnFormula>
    </tableColumn>
    <tableColumn id="6" xr3:uid="{B2527FD7-8637-40AE-9336-A2138F6714E4}" name="Total costo" totalsRowFunction="sum" dataDxfId="5804" totalsRowDxfId="5803" dataCellStyle="Moneda">
      <calculatedColumnFormula>+Tabla11034534544554564793637476070798897110119129[[#This Row],[Costo]]*Tabla11034534544554564793637476070798897110119129[[#This Row],[Columna2]]</calculatedColumnFormula>
    </tableColumn>
  </tableColumns>
  <tableStyleInfo name="TableStyleLight8" showFirstColumn="0" showLastColumn="0" showRowStripes="1" showColumnStripes="0"/>
</table>
</file>

<file path=xl/tables/table4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F92CB355-96B8-44FB-B8D7-E7F940F6C6C8}" name="Tabla11034534544554564793639496272819099112121131" displayName="Tabla11034534544554564793639496272819099112121131" ref="B32:H42" totalsRowCount="1" headerRowDxfId="5802" dataDxfId="5800" totalsRowDxfId="5798" headerRowBorderDxfId="5801" tableBorderDxfId="5799" totalsRowBorderDxfId="5797">
  <autoFilter ref="B32:H41" xr:uid="{E62057E2-89CF-41E7-BB60-37ADC6497F01}"/>
  <sortState xmlns:xlrd2="http://schemas.microsoft.com/office/spreadsheetml/2017/richdata2" ref="B33:H41">
    <sortCondition descending="1" ref="H33:H41"/>
  </sortState>
  <tableColumns count="7">
    <tableColumn id="2" xr3:uid="{BB5562CE-E0A1-479A-B214-BF5F9C9C707A}" name="Ingrediente" dataDxfId="5796" totalsRowDxfId="5795"/>
    <tableColumn id="3" xr3:uid="{5A838DF0-2131-4A11-B904-E6824B9ED152}" name="Und" dataDxfId="5794" totalsRowDxfId="5793"/>
    <tableColumn id="4" xr3:uid="{A2688F76-117A-4F41-873E-36FC84FD5363}" name="Cant." dataDxfId="5792" totalsRowDxfId="5791"/>
    <tableColumn id="1" xr3:uid="{ECD1F949-A8E4-4A0A-BF67-582FF6C1943E}" name="Columna1" dataDxfId="5790" totalsRowDxfId="5789"/>
    <tableColumn id="7" xr3:uid="{B6A3FF7E-9974-4741-B384-765147A33231}" name="Columna2" dataDxfId="5788" totalsRowDxfId="5787"/>
    <tableColumn id="5" xr3:uid="{183EF877-9B09-47A5-B9A6-0AC164A18151}" name="Costo" dataDxfId="5786" totalsRowDxfId="5785" dataCellStyle="Moneda">
      <calculatedColumnFormula>+VLOOKUP(Tabla11034534544554564793639496272819099112121131[[#This Row],[Ingrediente]],Tabla34[#All],6,0)</calculatedColumnFormula>
    </tableColumn>
    <tableColumn id="6" xr3:uid="{AEB49355-4D6D-4216-85C7-C8FEE3FEA1C3}" name="Total costo" totalsRowFunction="sum" dataDxfId="5784" totalsRowDxfId="5783" dataCellStyle="Moneda">
      <calculatedColumnFormula>+Tabla11034534544554564793639496272819099112121131[[#This Row],[Costo]]*Tabla11034534544554564793639496272819099112121131[[#This Row],[Columna2]]</calculatedColumnFormula>
    </tableColumn>
  </tableColumns>
  <tableStyleInfo name="TableStyleLight8" showFirstColumn="0" showLastColumn="0" showRowStripes="1" showColumnStripes="0"/>
</table>
</file>

<file path=xl/tables/table4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2C695A91-412B-4509-9FD4-2CE7CF186620}" name="Tabla110345345445545647936405063738291100113122132" displayName="Tabla110345345445545647936405063738291100113122132" ref="B45:H52" totalsRowCount="1" headerRowDxfId="5782" dataDxfId="5780" totalsRowDxfId="5778" headerRowBorderDxfId="5781" tableBorderDxfId="5779" totalsRowBorderDxfId="5777">
  <autoFilter ref="B45:H51" xr:uid="{629975DE-B647-4B8B-92CB-C56339E05411}"/>
  <sortState xmlns:xlrd2="http://schemas.microsoft.com/office/spreadsheetml/2017/richdata2" ref="B46:H51">
    <sortCondition descending="1" ref="H49:H51"/>
  </sortState>
  <tableColumns count="7">
    <tableColumn id="2" xr3:uid="{5ECC407E-3918-473B-9123-2C3A825D9677}" name="Ingrediente" dataDxfId="5776" totalsRowDxfId="5775"/>
    <tableColumn id="3" xr3:uid="{52F3A90A-44A2-4714-AF8B-7BB0DDD76AEE}" name="Und" dataDxfId="5774" totalsRowDxfId="5773"/>
    <tableColumn id="4" xr3:uid="{49847621-184C-48F8-BBBF-56C3716233F5}" name="Cant." dataDxfId="5772" totalsRowDxfId="5771"/>
    <tableColumn id="1" xr3:uid="{43E001B4-EFBB-48D8-AF14-B55BA2C4459D}" name="Columna1" dataDxfId="5770" totalsRowDxfId="5769"/>
    <tableColumn id="7" xr3:uid="{4A5B9997-54AA-4C01-8C77-24756F554F48}" name="Columna2" dataDxfId="5768" totalsRowDxfId="5767"/>
    <tableColumn id="5" xr3:uid="{FA2DB0C3-2413-42F0-8085-19A3D9A52C38}" name="Costo" dataDxfId="5766" totalsRowDxfId="5765" dataCellStyle="Moneda">
      <calculatedColumnFormula>+VLOOKUP(Tabla110345345445545647936405063738291100113122132[[#This Row],[Ingrediente]],Tabla34[#All],3,0)</calculatedColumnFormula>
    </tableColumn>
    <tableColumn id="6" xr3:uid="{1BE8AAF5-DD3E-4F0A-B6CB-8E06ECE473D2}" name="Total costo" totalsRowFunction="sum" dataDxfId="5764" totalsRowDxfId="5763" dataCellStyle="Moneda">
      <calculatedColumnFormula>+Tabla110345345445545647936405063738291100113122132[[#This Row],[Costo]]*Tabla110345345445545647936405063738291100113122132[[#This Row],[Columna2]]</calculatedColumnFormula>
    </tableColumn>
  </tableColumns>
  <tableStyleInfo name="TableStyleLight8" showFirstColumn="0" showLastColumn="0" showRowStripes="1" showColumnStripes="0"/>
</table>
</file>

<file path=xl/tables/table4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B4AD0657-38B3-45F5-9460-B264D0296E35}" name="Tabla110345345445545647936425164748392101114123133" displayName="Tabla110345345445545647936425164748392101114123133" ref="B58:H67" totalsRowCount="1" headerRowDxfId="5762" dataDxfId="5760" totalsRowDxfId="5758" headerRowBorderDxfId="5761" tableBorderDxfId="5759" totalsRowBorderDxfId="5757">
  <autoFilter ref="B58:H66" xr:uid="{3EE5C2FA-750C-416A-9A8F-6014417C48E2}"/>
  <sortState xmlns:xlrd2="http://schemas.microsoft.com/office/spreadsheetml/2017/richdata2" ref="B59:H66">
    <sortCondition descending="1" ref="H61:H66"/>
  </sortState>
  <tableColumns count="7">
    <tableColumn id="2" xr3:uid="{13262853-DD07-4489-AA7E-C8DEC51D4A34}" name="Ingrediente" dataDxfId="5756" totalsRowDxfId="5755"/>
    <tableColumn id="3" xr3:uid="{221D2B36-AE66-4446-83FC-DAA000D15A40}" name="Und" dataDxfId="5754" totalsRowDxfId="5753"/>
    <tableColumn id="4" xr3:uid="{91B1CD57-6E4D-4BE3-8B91-D08C26C45B1B}" name="Cant." dataDxfId="5752" totalsRowDxfId="5751"/>
    <tableColumn id="1" xr3:uid="{ECB00A65-F619-43AE-AE67-B17FAF681DB8}" name="Columna1" dataDxfId="5750" totalsRowDxfId="5749"/>
    <tableColumn id="7" xr3:uid="{0A1A0DB2-35FF-450F-93D2-7F4BA7D8ED47}" name="Columna2" dataDxfId="5748" totalsRowDxfId="5747"/>
    <tableColumn id="5" xr3:uid="{AF43A1F7-404B-47BC-A4C6-8D2448F5904D}" name="Costo" dataDxfId="5746" totalsRowDxfId="5745" dataCellStyle="Moneda">
      <calculatedColumnFormula>+VLOOKUP(Tabla110345345445545647936425164748392101114123133[[#This Row],[Ingrediente]],Tabla34[#All],3,0)</calculatedColumnFormula>
    </tableColumn>
    <tableColumn id="6" xr3:uid="{34134E4D-F321-4B4C-8309-376A1D7A1B24}" name="Total costo" totalsRowFunction="sum" dataDxfId="5744" totalsRowDxfId="5743" dataCellStyle="Moneda">
      <calculatedColumnFormula>+Tabla110345345445545647936425164748392101114123133[[#This Row],[Costo]]*Tabla110345345445545647936425164748392101114123133[[#This Row],[Columna2]]</calculatedColumnFormula>
    </tableColumn>
  </tableColumns>
  <tableStyleInfo name="TableStyleLight8" showFirstColumn="0" showLastColumn="0" showRowStripes="1" showColumnStripes="0"/>
</table>
</file>

<file path=xl/tables/table4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8F243-A27D-4C9D-98D9-3FF9EFCFE8EB}" name="Tabla1103453454455456479455868778695108117127136228237246272332602692973153163484944934995275283742432" displayName="Tabla1103453454455456479455868778695108117127136228237246272332602692973153163484944934995275283742432" ref="B71:H79" totalsRowCount="1" headerRowDxfId="5742" dataDxfId="5740" totalsRowDxfId="5738" headerRowBorderDxfId="5741" tableBorderDxfId="5739" totalsRowBorderDxfId="5737">
  <autoFilter ref="B71:H78" xr:uid="{09B8F243-A27D-4C9D-98D9-3FF9EFCFE8EB}"/>
  <sortState xmlns:xlrd2="http://schemas.microsoft.com/office/spreadsheetml/2017/richdata2" ref="B72:H78">
    <sortCondition descending="1" ref="H70:H74"/>
  </sortState>
  <tableColumns count="7">
    <tableColumn id="2" xr3:uid="{D5B37D6A-3EF6-4FF7-BCCD-96730B00EECA}" name="ArtÃ­culo" dataDxfId="5736" totalsRowDxfId="5735"/>
    <tableColumn id="3" xr3:uid="{CE4A461B-CA1B-4A3A-9346-64C7AFD6F93D}" name="Unidad Medida" dataDxfId="5734" totalsRowDxfId="5733"/>
    <tableColumn id="4" xr3:uid="{AA5F4469-A5E1-4A93-AEB5-13B10A8E454C}" name="Unidades Netas" dataDxfId="5732" totalsRowDxfId="5731"/>
    <tableColumn id="1" xr3:uid="{A58FD499-4813-4948-94A7-1935E31358BC}" name="% Merma" dataDxfId="5730" totalsRowDxfId="5729"/>
    <tableColumn id="7" xr3:uid="{5A24F69B-8D05-46B7-8AEE-FC0F4DA70020}" name="Unidades" dataDxfId="5728" totalsRowDxfId="5727"/>
    <tableColumn id="5" xr3:uid="{8D9E6773-0203-4688-B8CD-1797FBA14277}" name="Costo" dataDxfId="5726" totalsRowDxfId="5725" dataCellStyle="Moneda">
      <calculatedColumnFormula>+VLOOKUP(Tabla1103453454455456479455868778695108117127136228237246272332602692973153163484944934995275283742432[[#This Row],[ArtÃ­culo]],Tabla34[#All],3,0)</calculatedColumnFormula>
    </tableColumn>
    <tableColumn id="6" xr3:uid="{1FA88A51-077A-4034-A7AC-5001A7C8BC9C}" name="Total costo" totalsRowFunction="sum" dataDxfId="5724" totalsRowDxfId="5723" dataCellStyle="Moneda">
      <calculatedColumnFormula>+Tabla1103453454455456479455868778695108117127136228237246272332602692973153163484944934995275283742432[[#This Row],[Costo]]*Tabla1103453454455456479455868778695108117127136228237246272332602692973153163484944934995275283742432[[#This Row],[Unidades]]</calculatedColumnFormula>
    </tableColumn>
  </tableColumns>
  <tableStyleInfo name="TableStyleLight8" showFirstColumn="0" showLastColumn="0" showRowStripes="1" showColumnStripes="0"/>
</table>
</file>

<file path=xl/tables/table4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E0DFD5D-531C-4F81-AE7D-EE1568C5BA75}" name="Tabla110345345445545647945586877869510811712713622823724627233260269297315316348494493499527528374243226" displayName="Tabla110345345445545647945586877869510811712713622823724627233260269297315316348494493499527528374243226" ref="B83:H104" totalsRowCount="1" headerRowDxfId="5722" dataDxfId="5720" totalsRowDxfId="5718" headerRowBorderDxfId="5721" tableBorderDxfId="5719" totalsRowBorderDxfId="5717">
  <autoFilter ref="B83:H103" xr:uid="{2E0DFD5D-531C-4F81-AE7D-EE1568C5BA75}"/>
  <sortState xmlns:xlrd2="http://schemas.microsoft.com/office/spreadsheetml/2017/richdata2" ref="B84:H84">
    <sortCondition descending="1" ref="H70:H74"/>
  </sortState>
  <tableColumns count="7">
    <tableColumn id="2" xr3:uid="{012873BF-A1B8-4565-8E11-1E4ED28ED704}" name="ArtÃ­culo" dataDxfId="5716" totalsRowDxfId="5715"/>
    <tableColumn id="3" xr3:uid="{140F49EA-E09F-4BDA-9704-FA58CE174234}" name="Unidad Medida" dataDxfId="5714" totalsRowDxfId="5713"/>
    <tableColumn id="4" xr3:uid="{89EA799B-DE9D-4AAA-A07D-351E06E167D0}" name="Unidades Netas" dataDxfId="5712" totalsRowDxfId="5711"/>
    <tableColumn id="1" xr3:uid="{0B940735-5021-468A-A666-94A7A515F02B}" name="% Merma" dataDxfId="5710" totalsRowDxfId="5709"/>
    <tableColumn id="7" xr3:uid="{38F89FAB-710F-4FB8-A8F6-F5315FB8528D}" name="Unidades" dataDxfId="5708" totalsRowDxfId="5707"/>
    <tableColumn id="5" xr3:uid="{CACA8565-1AD3-4152-BDFA-0BACDAA59207}" name="Costo" dataDxfId="5706" totalsRowDxfId="5705" dataCellStyle="Moneda">
      <calculatedColumnFormula>+VLOOKUP(Tabla110345345445545647945586877869510811712713622823724627233260269297315316348494493499527528374243226[[#This Row],[ArtÃ­culo]],Tabla34[#All],3,0)</calculatedColumnFormula>
    </tableColumn>
    <tableColumn id="6" xr3:uid="{1EC85917-66B3-4AEA-BD50-CAEE902C912D}" name="Total costo" totalsRowFunction="sum" dataDxfId="5704" totalsRowDxfId="5703" dataCellStyle="Moneda">
      <calculatedColumnFormula>+Tabla110345345445545647945586877869510811712713622823724627233260269297315316348494493499527528374243226[[#This Row],[Costo]]*Tabla110345345445545647945586877869510811712713622823724627233260269297315316348494493499527528374243226[[#This Row],[Unidades]]</calculatedColumnFormula>
    </tableColumn>
  </tableColumns>
  <tableStyleInfo name="TableStyleLight8" showFirstColumn="0" showLastColumn="0" showRowStripes="1" showColumnStripes="0"/>
</table>
</file>

<file path=xl/tables/table4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1BCCE64-CE85-4E16-821A-817DACFE8979}" name="Tabla11034534544554564794558687786951081171271362282372462723326026929731531634849449349952752837424322628" displayName="Tabla11034534544554564794558687786951081171271362282372462723326026929731531634849449349952752837424322628" ref="B107:H128" totalsRowCount="1" headerRowDxfId="5702" dataDxfId="5700" totalsRowDxfId="5698" headerRowBorderDxfId="5701" tableBorderDxfId="5699" totalsRowBorderDxfId="5697">
  <autoFilter ref="B107:H127" xr:uid="{41BCCE64-CE85-4E16-821A-817DACFE8979}"/>
  <sortState xmlns:xlrd2="http://schemas.microsoft.com/office/spreadsheetml/2017/richdata2" ref="B108:H108">
    <sortCondition descending="1" ref="H70:H74"/>
  </sortState>
  <tableColumns count="7">
    <tableColumn id="2" xr3:uid="{9C97C917-C400-48EC-8236-17745D571CC5}" name="ArtÃ­culo" dataDxfId="5696" totalsRowDxfId="5695"/>
    <tableColumn id="3" xr3:uid="{44F63515-CE7B-4BBB-B4F7-F8047032C905}" name="Unidad Medida" dataDxfId="5694" totalsRowDxfId="5693"/>
    <tableColumn id="4" xr3:uid="{3333ACBC-E821-4268-B806-650BCF42D386}" name="Unidades Netas" dataDxfId="5692" totalsRowDxfId="5691"/>
    <tableColumn id="1" xr3:uid="{11092EA3-A2C2-46A6-A432-100D8A426B9F}" name="% Merma" dataDxfId="5690" totalsRowDxfId="5689"/>
    <tableColumn id="7" xr3:uid="{AE84292F-EBA7-4D1C-94AF-099B12BB0F3B}" name="Unidades" dataDxfId="5688" totalsRowDxfId="5687"/>
    <tableColumn id="5" xr3:uid="{2D1FA828-9F1D-4022-B2C6-43E8C7B39401}" name="Costo" dataDxfId="5686" totalsRowDxfId="5685" dataCellStyle="Moneda">
      <calculatedColumnFormula>+VLOOKUP(Tabla11034534544554564794558687786951081171271362282372462723326026929731531634849449349952752837424322628[[#This Row],[ArtÃ­culo]],Tabla34[#All],3,0)</calculatedColumnFormula>
    </tableColumn>
    <tableColumn id="6" xr3:uid="{495055DF-9C33-44AB-A6E6-BCCFC036B6D2}" name="Total costo" totalsRowFunction="sum" dataDxfId="5684" totalsRowDxfId="5683" dataCellStyle="Moneda">
      <calculatedColumnFormula>+Tabla11034534544554564794558687786951081171271362282372462723326026929731531634849449349952752837424322628[[#This Row],[Costo]]*Tabla11034534544554564794558687786951081171271362282372462723326026929731531634849449349952752837424322628[[#This Row],[Unidades]]</calculatedColumnFormula>
    </tableColumn>
  </tableColumns>
  <tableStyleInfo name="TableStyleLight8" showFirstColumn="0" showLastColumn="0" showRowStripes="1" showColumnStripes="0"/>
</table>
</file>

<file path=xl/tables/table4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2F984B1-493B-4759-A5FD-88E2F809AF89}" name="Tabla1103453454455456479455868778695108117127136228237246272332602692973153163484944934995275283742432262829" displayName="Tabla1103453454455456479455868778695108117127136228237246272332602692973153163484944934995275283742432262829" ref="B131:H151" totalsRowCount="1" headerRowDxfId="5682" dataDxfId="5680" totalsRowDxfId="5678" headerRowBorderDxfId="5681" tableBorderDxfId="5679" totalsRowBorderDxfId="5677">
  <autoFilter ref="B131:H150" xr:uid="{02F984B1-493B-4759-A5FD-88E2F809AF89}"/>
  <sortState xmlns:xlrd2="http://schemas.microsoft.com/office/spreadsheetml/2017/richdata2" ref="B132:H132">
    <sortCondition descending="1" ref="H70:H74"/>
  </sortState>
  <tableColumns count="7">
    <tableColumn id="2" xr3:uid="{13C83C52-60DC-4875-9526-AB6A9A271CE2}" name="ArtÃ­culo" dataDxfId="5676" totalsRowDxfId="5675"/>
    <tableColumn id="3" xr3:uid="{025D8589-984A-4472-AB41-05A6619CC04E}" name="Unidad Medida" dataDxfId="5674" totalsRowDxfId="5673"/>
    <tableColumn id="4" xr3:uid="{716A0E8F-D231-4C28-9D3A-3282BB673FDA}" name="Unidades Netas" dataDxfId="5672" totalsRowDxfId="5671"/>
    <tableColumn id="1" xr3:uid="{22228B98-CA79-4C56-B5A8-A2CE0CB672A9}" name="% Merma" dataDxfId="5670" totalsRowDxfId="5669"/>
    <tableColumn id="7" xr3:uid="{02B77191-A51B-44CA-B712-22BA62CED0D2}" name="Unidades" dataDxfId="5668" totalsRowDxfId="5667"/>
    <tableColumn id="5" xr3:uid="{630906FA-8951-40A9-9726-60BE82C54D6A}" name="Costo" dataDxfId="5666" totalsRowDxfId="5665" dataCellStyle="Moneda">
      <calculatedColumnFormula>+VLOOKUP(Tabla1103453454455456479455868778695108117127136228237246272332602692973153163484944934995275283742432262829[[#This Row],[ArtÃ­culo]],Tabla34[#All],3,0)</calculatedColumnFormula>
    </tableColumn>
    <tableColumn id="6" xr3:uid="{71C46F95-8301-4519-A407-7D529EF117C3}" name="Total costo" totalsRowFunction="sum" dataDxfId="5664" totalsRowDxfId="5663" dataCellStyle="Moneda">
      <calculatedColumnFormula>+Tabla1103453454455456479455868778695108117127136228237246272332602692973153163484944934995275283742432262829[[#This Row],[Costo]]*Tabla1103453454455456479455868778695108117127136228237246272332602692973153163484944934995275283742432262829[[#This Row],[Unidades]]</calculatedColumnFormula>
    </tableColumn>
  </tableColumns>
  <tableStyleInfo name="TableStyleLight8" showFirstColumn="0" showLastColumn="0" showRowStripes="1" showColumnStripes="0"/>
</table>
</file>

<file path=xl/tables/table4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484C21E-7DBF-44B5-A831-3F1756DFED08}" name="Tabla110345345445545647945586877869510811712713622823724627233260269297315316348494493499527528374243226282930" displayName="Tabla110345345445545647945586877869510811712713622823724627233260269297315316348494493499527528374243226282930" ref="B154:H174" totalsRowCount="1" headerRowDxfId="5662" dataDxfId="5660" totalsRowDxfId="5658" headerRowBorderDxfId="5661" tableBorderDxfId="5659" totalsRowBorderDxfId="5657">
  <autoFilter ref="B154:H173" xr:uid="{3484C21E-7DBF-44B5-A831-3F1756DFED08}"/>
  <sortState xmlns:xlrd2="http://schemas.microsoft.com/office/spreadsheetml/2017/richdata2" ref="B155:H155">
    <sortCondition descending="1" ref="H70:H74"/>
  </sortState>
  <tableColumns count="7">
    <tableColumn id="2" xr3:uid="{B1B73F56-F3C9-4A75-96C0-336451CC5C4F}" name="ArtÃ­culo" dataDxfId="5656" totalsRowDxfId="5655"/>
    <tableColumn id="3" xr3:uid="{E2D686FA-DC93-4F0A-9C09-C6EC7FA7CDE3}" name="Unidad Medida" dataDxfId="5654" totalsRowDxfId="5653"/>
    <tableColumn id="4" xr3:uid="{235CA5FB-28B0-498A-B758-85FE439E9BAF}" name="Unidades Netas" dataDxfId="5652" totalsRowDxfId="5651"/>
    <tableColumn id="1" xr3:uid="{5F541381-8290-4FDC-8B2C-9AC77DFB19CE}" name="% Merma" dataDxfId="5650" totalsRowDxfId="5649"/>
    <tableColumn id="7" xr3:uid="{F2FBFFA3-1C91-4379-84ED-BD1D6E6E5B5E}" name="Unidades" dataDxfId="5648" totalsRowDxfId="5647"/>
    <tableColumn id="5" xr3:uid="{7795F942-9537-4C90-95BC-0167CE79025C}" name="Costo" dataDxfId="5646" totalsRowDxfId="5645" dataCellStyle="Moneda">
      <calculatedColumnFormula>+VLOOKUP(Tabla110345345445545647945586877869510811712713622823724627233260269297315316348494493499527528374243226282930[[#This Row],[ArtÃ­culo]],Tabla34[#All],3,0)</calculatedColumnFormula>
    </tableColumn>
    <tableColumn id="6" xr3:uid="{52B02F47-CBF3-4CD3-9EA6-E7DC09577FEF}" name="Total costo" totalsRowFunction="sum" dataDxfId="5644" totalsRowDxfId="5643" dataCellStyle="Moneda">
      <calculatedColumnFormula>+Tabla110345345445545647945586877869510811712713622823724627233260269297315316348494493499527528374243226282930[[#This Row],[Costo]]*Tabla110345345445545647945586877869510811712713622823724627233260269297315316348494493499527528374243226282930[[#This Row],[Unidades]]</calculatedColumnFormula>
    </tableColumn>
  </tableColumns>
  <tableStyleInfo name="TableStyleLight8" showFirstColumn="0" showLastColumn="0" showRowStripes="1" showColumnStripes="0"/>
</table>
</file>

<file path=xl/tables/table4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C6A79C-2ADA-4537-B479-E2168A8DB5DC}" name="Tabla11034534544554564794558687786951081171271362282372462723326026929731531634849449349952752837424322628293032" displayName="Tabla11034534544554564794558687786951081171271362282372462723326026929731531634849449349952752837424322628293032" ref="B178:H194" totalsRowCount="1" headerRowDxfId="5642" dataDxfId="5640" totalsRowDxfId="5638" headerRowBorderDxfId="5641" tableBorderDxfId="5639" totalsRowBorderDxfId="5637">
  <autoFilter ref="B178:H193" xr:uid="{00C6A79C-2ADA-4537-B479-E2168A8DB5DC}"/>
  <sortState xmlns:xlrd2="http://schemas.microsoft.com/office/spreadsheetml/2017/richdata2" ref="B179:H179">
    <sortCondition descending="1" ref="H70:H74"/>
  </sortState>
  <tableColumns count="7">
    <tableColumn id="2" xr3:uid="{9376BE5E-0D9A-4A7D-A64E-AE590DBE48FC}" name="ArtÃ­culo" dataDxfId="5636" totalsRowDxfId="5635"/>
    <tableColumn id="3" xr3:uid="{D338CC11-D267-4E29-BE09-D41E94585EA8}" name="Unidad Medida" dataDxfId="5634" totalsRowDxfId="5633"/>
    <tableColumn id="4" xr3:uid="{B022552E-2543-4168-ADE0-8827F8E0F0B4}" name="Unidades Netas" dataDxfId="5632" totalsRowDxfId="5631"/>
    <tableColumn id="1" xr3:uid="{830996EA-D9AA-4F49-8127-E8A7F16BA238}" name="% Merma" dataDxfId="5630" totalsRowDxfId="5629"/>
    <tableColumn id="7" xr3:uid="{DDF36036-2E17-49B0-8301-4E00E15D7174}" name="Unidades" dataDxfId="5628" totalsRowDxfId="5627"/>
    <tableColumn id="5" xr3:uid="{D554EE3A-CDF0-4094-86A2-1A8D88A381E0}" name="Costo" dataDxfId="5626" totalsRowDxfId="5625" dataCellStyle="Moneda">
      <calculatedColumnFormula>+VLOOKUP(Tabla11034534544554564794558687786951081171271362282372462723326026929731531634849449349952752837424322628293032[[#This Row],[ArtÃ­culo]],Tabla34[#All],3,0)</calculatedColumnFormula>
    </tableColumn>
    <tableColumn id="6" xr3:uid="{2A80E52E-732A-4A59-913E-642D1B6E4CDD}" name="Total costo" totalsRowFunction="sum" dataDxfId="5624" totalsRowDxfId="5623" dataCellStyle="Moneda">
      <calculatedColumnFormula>+Tabla11034534544554564794558687786951081171271362282372462723326026929731531634849449349952752837424322628293032[[#This Row],[Costo]]*Tabla11034534544554564794558687786951081171271362282372462723326026929731531634849449349952752837424322628293032[[#This Row],[Unidades]]</calculatedColumnFormula>
    </tableColumn>
  </tableColumns>
  <tableStyleInfo name="TableStyleLight8" showFirstColumn="0" showLastColumn="0" showRowStripes="1" showColumnStripes="0"/>
</table>
</file>

<file path=xl/tables/table4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2C36ED7-A08C-4B2B-B11C-568668804CEC}" name="Tabla1103453454455456479455868778695108117127136228237246272332602692973153163484944934995275283742432262829303233" displayName="Tabla1103453454455456479455868778695108117127136228237246272332602692973153163484944934995275283742432262829303233" ref="B199:H215" totalsRowCount="1" headerRowDxfId="5622" dataDxfId="5620" totalsRowDxfId="5618" headerRowBorderDxfId="5621" tableBorderDxfId="5619" totalsRowBorderDxfId="5617">
  <autoFilter ref="B199:H214" xr:uid="{52C36ED7-A08C-4B2B-B11C-568668804CEC}"/>
  <sortState xmlns:xlrd2="http://schemas.microsoft.com/office/spreadsheetml/2017/richdata2" ref="B200:H200">
    <sortCondition descending="1" ref="H70:H74"/>
  </sortState>
  <tableColumns count="7">
    <tableColumn id="2" xr3:uid="{CF52C156-A03A-45FB-B68F-D1F2B91B5C79}" name="ArtÃ­culo" dataDxfId="5616" totalsRowDxfId="5615"/>
    <tableColumn id="3" xr3:uid="{3E453452-8A10-4C3C-8E84-11009E7BAEAF}" name="Unidad Medida" dataDxfId="5614" totalsRowDxfId="5613"/>
    <tableColumn id="4" xr3:uid="{3711856D-9BE3-41A6-BEAB-9A39DAA411E1}" name="Unidades Netas" dataDxfId="5612" totalsRowDxfId="5611"/>
    <tableColumn id="1" xr3:uid="{9CEDCD07-68FF-4E4A-ABE5-89C880E9A98D}" name="% Merma" dataDxfId="5610" totalsRowDxfId="5609"/>
    <tableColumn id="7" xr3:uid="{BD401A57-C96F-4FB1-B09A-489C828288C7}" name="Unidades" dataDxfId="5608" totalsRowDxfId="5607"/>
    <tableColumn id="5" xr3:uid="{EA939BCF-E8ED-48F6-8FFF-726F9DBDE9E9}" name="Costo" dataDxfId="5606" totalsRowDxfId="5605" dataCellStyle="Moneda">
      <calculatedColumnFormula>+VLOOKUP(Tabla1103453454455456479455868778695108117127136228237246272332602692973153163484944934995275283742432262829303233[[#This Row],[ArtÃ­culo]],Tabla34[#All],3,0)</calculatedColumnFormula>
    </tableColumn>
    <tableColumn id="6" xr3:uid="{5250AE7E-E828-43A9-8367-CE8192CA3382}" name="Total costo" totalsRowFunction="sum" dataDxfId="5604" totalsRowDxfId="5603" dataCellStyle="Moneda">
      <calculatedColumnFormula>+Tabla1103453454455456479455868778695108117127136228237246272332602692973153163484944934995275283742432262829303233[[#This Row],[Costo]]*Tabla1103453454455456479455868778695108117127136228237246272332602692973153163484944934995275283742432262829303233[[#This Row],[Unidades]]</calculatedColumnFormula>
    </tableColumn>
  </tableColumns>
  <tableStyleInfo name="TableStyleLight8" showFirstColumn="0" showLastColumn="0" showRowStripes="1" showColumnStripes="0"/>
</table>
</file>

<file path=xl/tables/table4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A2DC18D-7EE0-4092-BA9F-ED6297A3E10C}" name="Tabla110345345445545647945586877869510811712713622823724627233260269297315316348494493499527528374243226282930323336" displayName="Tabla110345345445545647945586877869510811712713622823724627233260269297315316348494493499527528374243226282930323336" ref="B221:H237" totalsRowCount="1" headerRowDxfId="5602" dataDxfId="5600" totalsRowDxfId="5598" headerRowBorderDxfId="5601" tableBorderDxfId="5599" totalsRowBorderDxfId="5597">
  <autoFilter ref="B221:H236" xr:uid="{3A2DC18D-7EE0-4092-BA9F-ED6297A3E10C}"/>
  <sortState xmlns:xlrd2="http://schemas.microsoft.com/office/spreadsheetml/2017/richdata2" ref="B222:H222">
    <sortCondition descending="1" ref="H70:H74"/>
  </sortState>
  <tableColumns count="7">
    <tableColumn id="2" xr3:uid="{1EE66B64-621D-4C68-BA69-E0E550B7BB66}" name="ArtÃ­culo" dataDxfId="5596" totalsRowDxfId="5595"/>
    <tableColumn id="3" xr3:uid="{E96BF1EE-6082-4B88-A650-E4C04C895B6B}" name="Unidad Medida" dataDxfId="5594" totalsRowDxfId="5593"/>
    <tableColumn id="4" xr3:uid="{A95F444F-3582-4D0D-BC95-BF53780DBA61}" name="Unidades Netas" dataDxfId="5592" totalsRowDxfId="5591"/>
    <tableColumn id="1" xr3:uid="{D6C1280F-411A-485D-BD22-E3F12B893DE0}" name="% Merma" dataDxfId="5590" totalsRowDxfId="5589"/>
    <tableColumn id="7" xr3:uid="{AFFBC235-32F7-43A6-A56A-69F1DAEAC402}" name="Unidades" dataDxfId="5588" totalsRowDxfId="5587"/>
    <tableColumn id="5" xr3:uid="{77C182CA-F55B-4216-92E9-2F2047CF5122}" name="Costo" dataDxfId="5586" totalsRowDxfId="5585" dataCellStyle="Moneda">
      <calculatedColumnFormula>+VLOOKUP(Tabla110345345445545647945586877869510811712713622823724627233260269297315316348494493499527528374243226282930323336[[#This Row],[ArtÃ­culo]],Tabla34[#All],3,0)</calculatedColumnFormula>
    </tableColumn>
    <tableColumn id="6" xr3:uid="{43965E7A-3037-4194-A2B7-4A2EC4EC550A}" name="Total costo" totalsRowFunction="sum" dataDxfId="5584" totalsRowDxfId="5583" dataCellStyle="Moneda">
      <calculatedColumnFormula>+Tabla110345345445545647945586877869510811712713622823724627233260269297315316348494493499527528374243226282930323336[[#This Row],[Costo]]*Tabla110345345445545647945586877869510811712713622823724627233260269297315316348494493499527528374243226282930323336[[#This Row],[Unidades]]</calculatedColumnFormula>
    </tableColumn>
  </tableColumns>
  <tableStyleInfo name="TableStyleLight8" showFirstColumn="0" showLastColumn="0" showRowStripes="1" showColumnStripes="0"/>
</table>
</file>

<file path=xl/tables/table4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77DF853-1284-4D24-AC9A-9B6280130E89}" name="Tabla11034534544554564794558687786951081171271362282372462723326026929731531634849449349952752837424322628293032333641" displayName="Tabla11034534544554564794558687786951081171271362282372462723326026929731531634849449349952752837424322628293032333641" ref="B241:H257" totalsRowCount="1" headerRowDxfId="5582" dataDxfId="5580" totalsRowDxfId="5578" headerRowBorderDxfId="5581" tableBorderDxfId="5579" totalsRowBorderDxfId="5577">
  <autoFilter ref="B241:H256" xr:uid="{F77DF853-1284-4D24-AC9A-9B6280130E89}"/>
  <sortState xmlns:xlrd2="http://schemas.microsoft.com/office/spreadsheetml/2017/richdata2" ref="B242:H242">
    <sortCondition descending="1" ref="H70:H74"/>
  </sortState>
  <tableColumns count="7">
    <tableColumn id="2" xr3:uid="{092DCAFE-06D5-43A8-8C3F-65E1C14171E7}" name="ArtÃ­culo" dataDxfId="5576" totalsRowDxfId="5575"/>
    <tableColumn id="3" xr3:uid="{5A5EF07C-7170-47E8-8F46-E1DB3E1AE57C}" name="Unidad Medida" dataDxfId="5574" totalsRowDxfId="5573"/>
    <tableColumn id="4" xr3:uid="{C87904D4-EF6F-4440-9E7E-35DAE61F67B8}" name="Unidades Netas" dataDxfId="5572" totalsRowDxfId="5571"/>
    <tableColumn id="1" xr3:uid="{74851BCC-A498-4A3F-B2D6-E09913F4E692}" name="% Merma" dataDxfId="5570" totalsRowDxfId="5569"/>
    <tableColumn id="7" xr3:uid="{26669FE3-A842-433D-997A-70EAE7470202}" name="Unidades" dataDxfId="5568" totalsRowDxfId="5567"/>
    <tableColumn id="5" xr3:uid="{0891A78B-F08B-4AE9-912F-2BC390FFFC6E}" name="Costo" dataDxfId="5566" totalsRowDxfId="5565" dataCellStyle="Moneda">
      <calculatedColumnFormula>+VLOOKUP(Tabla11034534544554564794558687786951081171271362282372462723326026929731531634849449349952752837424322628293032333641[[#This Row],[ArtÃ­culo]],Tabla34[#All],3,0)</calculatedColumnFormula>
    </tableColumn>
    <tableColumn id="6" xr3:uid="{BB5F6381-3B36-4B2F-930A-82BB65167C30}" name="Total costo" totalsRowFunction="sum" dataDxfId="5564" totalsRowDxfId="5563" dataCellStyle="Moneda">
      <calculatedColumnFormula>+Tabla11034534544554564794558687786951081171271362282372462723326026929731531634849449349952752837424322628293032333641[[#This Row],[Costo]]*Tabla11034534544554564794558687786951081171271362282372462723326026929731531634849449349952752837424322628293032333641[[#This Row],[Unidades]]</calculatedColumnFormula>
    </tableColumn>
  </tableColumns>
  <tableStyleInfo name="TableStyleLight8" showFirstColumn="0" showLastColumn="0" showRowStripes="1" showColumnStripes="0"/>
</table>
</file>

<file path=xl/tables/table4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54143AD-BB6C-4F2B-A312-F368CFC4C64A}" name="Tabla11034534544554564794558687786951081171271362282372462723326026929731531634849449349952752837424322628293032333650" displayName="Tabla11034534544554564794558687786951081171271362282372462723326026929731531634849449349952752837424322628293032333650" ref="B261:H278" totalsRowCount="1" headerRowDxfId="5562" dataDxfId="5560" totalsRowDxfId="5558" headerRowBorderDxfId="5561" tableBorderDxfId="5559" totalsRowBorderDxfId="5557">
  <autoFilter ref="B261:H277" xr:uid="{A54143AD-BB6C-4F2B-A312-F368CFC4C64A}"/>
  <sortState xmlns:xlrd2="http://schemas.microsoft.com/office/spreadsheetml/2017/richdata2" ref="B262:H262">
    <sortCondition descending="1" ref="H70:H74"/>
  </sortState>
  <tableColumns count="7">
    <tableColumn id="2" xr3:uid="{86B301ED-83D9-4C45-9FB1-C080FF6B6546}" name="ArtÃ­culo" dataDxfId="5556" totalsRowDxfId="5555"/>
    <tableColumn id="3" xr3:uid="{136364D8-BF1D-4105-98C8-8C4CF8836130}" name="Unidad Medida" dataDxfId="5554" totalsRowDxfId="5553"/>
    <tableColumn id="4" xr3:uid="{484058FA-D02F-4E0C-8630-8CB903282130}" name="Unidades Netas" dataDxfId="5552" totalsRowDxfId="5551"/>
    <tableColumn id="1" xr3:uid="{5AF8A07E-8BBD-4DDD-890D-C32BA507BC29}" name="% Merma" dataDxfId="5550" totalsRowDxfId="5549"/>
    <tableColumn id="7" xr3:uid="{68B0973A-2C8E-4131-AAF2-6ABB24A2A2F9}" name="Unidades" dataDxfId="5548" totalsRowDxfId="5547"/>
    <tableColumn id="5" xr3:uid="{6787F752-D115-45D5-87C4-37B4DEA7668B}" name="Costo" dataDxfId="5546" totalsRowDxfId="5545" dataCellStyle="Moneda">
      <calculatedColumnFormula>+VLOOKUP(Tabla11034534544554564794558687786951081171271362282372462723326026929731531634849449349952752837424322628293032333650[[#This Row],[ArtÃ­culo]],Tabla34[#All],3,0)</calculatedColumnFormula>
    </tableColumn>
    <tableColumn id="6" xr3:uid="{E294B81A-5CC1-495B-9B93-F47716BD7747}" name="Total costo" totalsRowFunction="sum" dataDxfId="5544" totalsRowDxfId="5543" dataCellStyle="Moneda">
      <calculatedColumnFormula>+Tabla11034534544554564794558687786951081171271362282372462723326026929731531634849449349952752837424322628293032333650[[#This Row],[Costo]]*Tabla11034534544554564794558687786951081171271362282372462723326026929731531634849449349952752837424322628293032333650[[#This Row],[Unidades]]</calculatedColumnFormula>
    </tableColumn>
  </tableColumns>
  <tableStyleInfo name="TableStyleLight8" showFirstColumn="0" showLastColumn="0" showRowStripes="1" showColumnStripes="0"/>
</table>
</file>

<file path=xl/tables/table4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31915B4-CE56-49E1-8671-08892D35527A}" name="Tabla11034534544554564794558687786951081171271362282372462723326026929731531634849449349952752837424322628293032333655" displayName="Tabla11034534544554564794558687786951081171271362282372462723326026929731531634849449349952752837424322628293032333655" ref="B281:H298" totalsRowCount="1" headerRowDxfId="5542" dataDxfId="5540" totalsRowDxfId="5538" headerRowBorderDxfId="5541" tableBorderDxfId="5539" totalsRowBorderDxfId="5537">
  <autoFilter ref="B281:H297" xr:uid="{431915B4-CE56-49E1-8671-08892D35527A}"/>
  <sortState xmlns:xlrd2="http://schemas.microsoft.com/office/spreadsheetml/2017/richdata2" ref="B282:H282">
    <sortCondition descending="1" ref="H70:H74"/>
  </sortState>
  <tableColumns count="7">
    <tableColumn id="2" xr3:uid="{B533D852-BD14-4730-9AC9-C48B8897631E}" name="ArtÃ­culo" dataDxfId="5536" totalsRowDxfId="5535"/>
    <tableColumn id="3" xr3:uid="{3E85A639-F4D5-4E3F-B16C-64792C0F05C7}" name="Unidad Medida" dataDxfId="5534" totalsRowDxfId="5533"/>
    <tableColumn id="4" xr3:uid="{886FCDFF-ACF1-4EB8-A275-97F14EA6FD14}" name="Unidades Netas" dataDxfId="5532" totalsRowDxfId="5531"/>
    <tableColumn id="1" xr3:uid="{6CDA62EB-344C-4C7C-8C69-FB4468CE0095}" name="% Merma" dataDxfId="5530" totalsRowDxfId="5529"/>
    <tableColumn id="7" xr3:uid="{EE9CC0DD-ABDF-484B-A49A-726C5E830BD5}" name="Unidades" dataDxfId="5528" totalsRowDxfId="5527"/>
    <tableColumn id="5" xr3:uid="{CA7F7C0D-61A1-4DE9-BE0F-E43240341C02}" name="Costo" dataDxfId="5526" totalsRowDxfId="5525" dataCellStyle="Moneda">
      <calculatedColumnFormula>+VLOOKUP(Tabla11034534544554564794558687786951081171271362282372462723326026929731531634849449349952752837424322628293032333655[[#This Row],[ArtÃ­culo]],Tabla34[#All],3,0)</calculatedColumnFormula>
    </tableColumn>
    <tableColumn id="6" xr3:uid="{37FC96E8-BF3E-432E-B4B2-A6E5ED3EC72F}" name="Total costo" totalsRowFunction="sum" dataDxfId="5524" totalsRowDxfId="5523" dataCellStyle="Moneda">
      <calculatedColumnFormula>+Tabla11034534544554564794558687786951081171271362282372462723326026929731531634849449349952752837424322628293032333655[[#This Row],[Costo]]*Tabla11034534544554564794558687786951081171271362282372462723326026929731531634849449349952752837424322628293032333655[[#This Row],[Unidades]]</calculatedColumnFormula>
    </tableColumn>
  </tableColumns>
  <tableStyleInfo name="TableStyleLight8" showFirstColumn="0" showLastColumn="0" showRowStripes="1" showColumnStripes="0"/>
</table>
</file>

<file path=xl/tables/table4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593AF87-F35D-47BF-A042-C6ABA389B86F}" name="Tabla11034534544554564794558687786951081171271362282372462723326026929731531634849449349952752837424322628293032333661" displayName="Tabla11034534544554564794558687786951081171271362282372462723326026929731531634849449349952752837424322628293032333661" ref="B302:H319" totalsRowCount="1" headerRowDxfId="5522" dataDxfId="5520" totalsRowDxfId="5518" headerRowBorderDxfId="5521" tableBorderDxfId="5519" totalsRowBorderDxfId="5517">
  <autoFilter ref="B302:H318" xr:uid="{7593AF87-F35D-47BF-A042-C6ABA389B86F}"/>
  <sortState xmlns:xlrd2="http://schemas.microsoft.com/office/spreadsheetml/2017/richdata2" ref="B303:H303">
    <sortCondition descending="1" ref="H70:H74"/>
  </sortState>
  <tableColumns count="7">
    <tableColumn id="2" xr3:uid="{C67795A7-89F0-4BEF-8CAB-4ADF25F860F7}" name="ArtÃ­culo" dataDxfId="5516" totalsRowDxfId="5515"/>
    <tableColumn id="3" xr3:uid="{5AB7D6E8-1C3D-43A4-B72A-5A97965C010F}" name="Unidad Medida" dataDxfId="5514" totalsRowDxfId="5513"/>
    <tableColumn id="4" xr3:uid="{DFC194AD-C524-44D5-8F15-583A52B62779}" name="Unidades Netas" dataDxfId="5512" totalsRowDxfId="5511"/>
    <tableColumn id="1" xr3:uid="{5FBA6134-2F0A-458D-9CAA-E0C8AD6F1680}" name="% Merma" dataDxfId="5510" totalsRowDxfId="5509"/>
    <tableColumn id="7" xr3:uid="{631E19EA-4BC2-4E49-9BF6-B9B1628CC264}" name="Unidades" dataDxfId="5508" totalsRowDxfId="5507"/>
    <tableColumn id="5" xr3:uid="{6AE8842D-1701-4A0A-BE4E-0ADE02ED0228}" name="Costo" dataDxfId="5506" totalsRowDxfId="5505" dataCellStyle="Moneda">
      <calculatedColumnFormula>+VLOOKUP(Tabla11034534544554564794558687786951081171271362282372462723326026929731531634849449349952752837424322628293032333661[[#This Row],[ArtÃ­culo]],Tabla34[#All],3,0)</calculatedColumnFormula>
    </tableColumn>
    <tableColumn id="6" xr3:uid="{F9551ED9-44BE-4619-BD59-DA35892E6951}" name="Total costo" totalsRowFunction="sum" dataDxfId="5504" totalsRowDxfId="5503" dataCellStyle="Moneda">
      <calculatedColumnFormula>+Tabla11034534544554564794558687786951081171271362282372462723326026929731531634849449349952752837424322628293032333661[[#This Row],[Costo]]*Tabla11034534544554564794558687786951081171271362282372462723326026929731531634849449349952752837424322628293032333661[[#This Row],[Unidades]]</calculatedColumnFormula>
    </tableColumn>
  </tableColumns>
  <tableStyleInfo name="TableStyleLight8" showFirstColumn="0" showLastColumn="0" showRowStripes="1" showColumnStripes="0"/>
</table>
</file>

<file path=xl/tables/table4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76DF9585-AF95-490F-A4C5-76A21CAEACD2}" name="Tabla11034534544554564794558687786951081171271362282372462723326026929731531634849449349952752837424322628293032333662" displayName="Tabla11034534544554564794558687786951081171271362282372462723326026929731531634849449349952752837424322628293032333662" ref="B323:H340" totalsRowCount="1" headerRowDxfId="5502" dataDxfId="5500" totalsRowDxfId="5498" headerRowBorderDxfId="5501" tableBorderDxfId="5499" totalsRowBorderDxfId="5497">
  <autoFilter ref="B323:H339" xr:uid="{76DF9585-AF95-490F-A4C5-76A21CAEACD2}"/>
  <sortState xmlns:xlrd2="http://schemas.microsoft.com/office/spreadsheetml/2017/richdata2" ref="B324:H324">
    <sortCondition descending="1" ref="H70:H74"/>
  </sortState>
  <tableColumns count="7">
    <tableColumn id="2" xr3:uid="{578AB57D-7D60-4872-82D3-CBCC8EE122D8}" name="ArtÃ­culo" dataDxfId="5496" totalsRowDxfId="5495"/>
    <tableColumn id="3" xr3:uid="{2D39D91A-7041-408D-914A-BF6B3C4BB712}" name="Unidad Medida" dataDxfId="5494" totalsRowDxfId="5493"/>
    <tableColumn id="4" xr3:uid="{9B1DF151-1D6D-4FD8-9475-28B1C80123AF}" name="Unidades Netas" dataDxfId="5492" totalsRowDxfId="5491"/>
    <tableColumn id="1" xr3:uid="{F09F0C13-7D7E-45D4-8BB2-438B37035D5C}" name="% Merma" dataDxfId="5490" totalsRowDxfId="5489"/>
    <tableColumn id="7" xr3:uid="{EF4CE1E9-7085-449B-B086-8DB0A8E7E98D}" name="Unidades" dataDxfId="5488" totalsRowDxfId="5487"/>
    <tableColumn id="5" xr3:uid="{7EE19F9B-DD97-49A8-B796-C6ED0F016316}" name="Costo" dataDxfId="5486" totalsRowDxfId="5485" dataCellStyle="Moneda">
      <calculatedColumnFormula>+VLOOKUP(Tabla11034534544554564794558687786951081171271362282372462723326026929731531634849449349952752837424322628293032333662[[#This Row],[ArtÃ­culo]],Tabla34[#All],3,0)</calculatedColumnFormula>
    </tableColumn>
    <tableColumn id="6" xr3:uid="{D15140FF-FFE9-4A46-988D-62B7185222AA}" name="Total costo" totalsRowFunction="sum" dataDxfId="5484" totalsRowDxfId="5483" dataCellStyle="Moneda">
      <calculatedColumnFormula>+Tabla11034534544554564794558687786951081171271362282372462723326026929731531634849449349952752837424322628293032333662[[#This Row],[Costo]]*Tabla11034534544554564794558687786951081171271362282372462723326026929731531634849449349952752837424322628293032333662[[#This Row],[Unidades]]</calculatedColumnFormula>
    </tableColumn>
  </tableColumns>
  <tableStyleInfo name="TableStyleLight8" showFirstColumn="0" showLastColumn="0" showRowStripes="1" showColumnStripes="0"/>
</table>
</file>

<file path=xl/tables/table4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4" xr:uid="{C854D813-AE79-4B5E-9188-3CF511DD2F1C}" name="Tabla461487182675" displayName="Tabla461487182675" ref="M7:M10" totalsRowShown="0" headerRowDxfId="3671" dataDxfId="3670" tableBorderDxfId="3669">
  <autoFilter ref="M7:M10" xr:uid="{C854D813-AE79-4B5E-9188-3CF511DD2F1C}"/>
  <tableColumns count="1">
    <tableColumn id="1" xr3:uid="{3AC212AC-EEFF-4C05-ACC0-54BCA40028CE}" name="Preparacion" dataDxfId="3668"/>
  </tableColumns>
  <tableStyleInfo showFirstColumn="0" showLastColumn="0" showRowStripes="1" showColumnStripes="0"/>
</table>
</file>

<file path=xl/tables/table4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5" xr:uid="{DBD0AD6F-6CAC-4DF0-8D93-C50B908ABA74}" name="Tabla461487182381676" displayName="Tabla461487182381676" ref="M12:M14" totalsRowShown="0" headerRowDxfId="3667" dataDxfId="3666" tableBorderDxfId="3665">
  <autoFilter ref="M12:M14" xr:uid="{DBD0AD6F-6CAC-4DF0-8D93-C50B908ABA74}"/>
  <tableColumns count="1">
    <tableColumn id="1" xr3:uid="{9E0B9313-C454-4559-B999-3BECDBF004E9}" name="Emplatado" dataDxfId="3664"/>
  </tableColumns>
  <tableStyleInfo showFirstColumn="0" showLastColumn="0" showRowStripes="1" showColumnStripes="0"/>
</table>
</file>

<file path=xl/tables/table4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6" xr:uid="{E9B22C64-7C7C-4521-87AB-37760A0F2836}" name="Tabla461487182675677" displayName="Tabla461487182675677" ref="M19:M20" totalsRowShown="0" headerRowDxfId="3663" dataDxfId="3662" tableBorderDxfId="3661">
  <autoFilter ref="M19:M20" xr:uid="{E9B22C64-7C7C-4521-87AB-37760A0F2836}"/>
  <tableColumns count="1">
    <tableColumn id="1" xr3:uid="{CD9AC7C5-FD34-4BA2-B6C4-80195FFCD84E}" name="Preparacion" dataDxfId="3660"/>
  </tableColumns>
  <tableStyleInfo showFirstColumn="0" showLastColumn="0" showRowStripes="1" showColumnStripes="0"/>
</table>
</file>

<file path=xl/tables/table4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7" xr:uid="{DBCD3CB6-1D35-4A1A-870B-318A5CCB32E1}" name="Tabla461487182381676678" displayName="Tabla461487182381676678" ref="M22:M26" totalsRowShown="0" headerRowDxfId="3659" dataDxfId="3658" tableBorderDxfId="3657">
  <autoFilter ref="M22:M26" xr:uid="{DBCD3CB6-1D35-4A1A-870B-318A5CCB32E1}"/>
  <tableColumns count="1">
    <tableColumn id="1" xr3:uid="{B58BF133-3184-4A4A-8A81-8D7CC306F4A2}" name="Emplatado" dataDxfId="3656"/>
  </tableColumns>
  <tableStyleInfo showFirstColumn="0" showLastColumn="0" showRowStripes="1" showColumnStripes="0"/>
</table>
</file>

<file path=xl/tables/table4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8" xr:uid="{97456C0F-D3DC-4B6D-BE67-291E600882D5}" name="Tabla461487182675679" displayName="Tabla461487182675679" ref="M31:M32" totalsRowShown="0" headerRowDxfId="3655" dataDxfId="3654" tableBorderDxfId="3653">
  <autoFilter ref="M31:M32" xr:uid="{97456C0F-D3DC-4B6D-BE67-291E600882D5}"/>
  <tableColumns count="1">
    <tableColumn id="1" xr3:uid="{C634BFCC-3DE4-433A-BDE8-253AF19DE31B}" name="Preparacion" dataDxfId="3652"/>
  </tableColumns>
  <tableStyleInfo showFirstColumn="0" showLastColumn="0" showRowStripes="1" showColumnStripes="0"/>
</table>
</file>

<file path=xl/tables/table4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9" xr:uid="{3769B807-8929-4B92-A133-6A9D7E357976}" name="Tabla461487182381676680" displayName="Tabla461487182381676680" ref="M34:M37" totalsRowShown="0" headerRowDxfId="3651" dataDxfId="3650" tableBorderDxfId="3649">
  <autoFilter ref="M34:M37" xr:uid="{3769B807-8929-4B92-A133-6A9D7E357976}"/>
  <tableColumns count="1">
    <tableColumn id="1" xr3:uid="{26888869-8C20-422E-81A0-8757A8C57B75}" name="Emplatado" dataDxfId="3648"/>
  </tableColumns>
  <tableStyleInfo showFirstColumn="0" showLastColumn="0" showRowStripes="1" showColumnStripes="0"/>
</table>
</file>

<file path=xl/tables/table4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0" xr:uid="{3BA6DA7B-BA5E-4EA2-9C22-18406840C322}" name="Tabla461487182675681" displayName="Tabla461487182675681" ref="M44:M46" totalsRowShown="0" headerRowDxfId="3647" dataDxfId="3646" tableBorderDxfId="3645">
  <autoFilter ref="M44:M46" xr:uid="{3BA6DA7B-BA5E-4EA2-9C22-18406840C322}"/>
  <tableColumns count="1">
    <tableColumn id="1" xr3:uid="{46C5313F-9BBB-41CC-AA78-3BAD9BC34BED}" name="Preparacion" dataDxfId="3644"/>
  </tableColumns>
  <tableStyleInfo showFirstColumn="0" showLastColumn="0" showRowStripes="1" showColumnStripes="0"/>
</table>
</file>

<file path=xl/tables/table4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1" xr:uid="{1D2A793F-6114-4941-A242-5A3965082B59}" name="Tabla461487182381676682" displayName="Tabla461487182381676682" ref="M48:M50" totalsRowShown="0" headerRowDxfId="3643" dataDxfId="3642" tableBorderDxfId="3641">
  <autoFilter ref="M48:M50" xr:uid="{1D2A793F-6114-4941-A242-5A3965082B59}"/>
  <tableColumns count="1">
    <tableColumn id="1" xr3:uid="{EC69F5E7-6DEF-4F0D-9D5E-7CC5B5D40AE6}" name="Emplatado" dataDxfId="3640"/>
  </tableColumns>
  <tableStyleInfo showFirstColumn="0" showLastColumn="0" showRowStripes="1" showColumnStripes="0"/>
</table>
</file>

<file path=xl/tables/table4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2" xr:uid="{27BD6B55-4AE6-41AD-8424-DB28A544600D}" name="Tabla461487182675683" displayName="Tabla461487182675683" ref="M70:M74" totalsRowShown="0" headerRowDxfId="3639" dataDxfId="3638" tableBorderDxfId="3637">
  <autoFilter ref="M70:M74" xr:uid="{27BD6B55-4AE6-41AD-8424-DB28A544600D}"/>
  <tableColumns count="1">
    <tableColumn id="1" xr3:uid="{FAE7584F-C0F2-4813-A260-504D3F54D05F}" name="Preparacion" dataDxfId="3636"/>
  </tableColumns>
  <tableStyleInfo showFirstColumn="0" showLastColumn="0" showRowStripes="1" showColumnStripes="0"/>
</table>
</file>

<file path=xl/tables/table4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3" xr:uid="{86060CAC-FEDB-4138-A249-CB7CC014E6BA}" name="Tabla461487182381676684" displayName="Tabla461487182381676684" ref="M76:M80" totalsRowShown="0" headerRowDxfId="3635" dataDxfId="3634" tableBorderDxfId="3633">
  <autoFilter ref="M76:M80" xr:uid="{86060CAC-FEDB-4138-A249-CB7CC014E6BA}"/>
  <tableColumns count="1">
    <tableColumn id="1" xr3:uid="{F6CA4B88-8A93-40F7-AE78-8DFCCF64F703}" name="Emplatado" dataDxfId="3632"/>
  </tableColumns>
  <tableStyleInfo showFirstColumn="0" showLastColumn="0" showRowStripes="1" showColumnStripes="0"/>
</table>
</file>

<file path=xl/tables/table5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4" xr:uid="{A3280C03-2B44-46E0-94DE-52A05ACDCED0}" name="Tabla461487182675685" displayName="Tabla461487182675685" ref="M82:M86" totalsRowShown="0" headerRowDxfId="3631" dataDxfId="3630" tableBorderDxfId="3629">
  <autoFilter ref="M82:M86" xr:uid="{A3280C03-2B44-46E0-94DE-52A05ACDCED0}"/>
  <tableColumns count="1">
    <tableColumn id="1" xr3:uid="{65DA03F8-6431-46A8-9C81-7C39FF06A35D}" name="Preparacion" dataDxfId="3628"/>
  </tableColumns>
  <tableStyleInfo showFirstColumn="0" showLastColumn="0" showRowStripes="1" showColumnStripes="0"/>
</table>
</file>

<file path=xl/tables/table5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5" xr:uid="{F8808108-C49D-4891-8BD4-3F366226DE5C}" name="Tabla461487182381676686" displayName="Tabla461487182381676686" ref="M88:M92" totalsRowShown="0" headerRowDxfId="3627" dataDxfId="3626" tableBorderDxfId="3625">
  <autoFilter ref="M88:M92" xr:uid="{F8808108-C49D-4891-8BD4-3F366226DE5C}"/>
  <tableColumns count="1">
    <tableColumn id="1" xr3:uid="{EE8A80C7-A27B-49B5-9D1B-82D642643F9A}" name="Emplatado" dataDxfId="3624"/>
  </tableColumns>
  <tableStyleInfo showFirstColumn="0" showLastColumn="0" showRowStripes="1" showColumnStripes="0"/>
</table>
</file>

<file path=xl/tables/table5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6" xr:uid="{085B2AC9-B3A3-448A-9EA0-2EE005E899A2}" name="Tabla461487182675681687" displayName="Tabla461487182675681687" ref="M57:M59" totalsRowShown="0" headerRowDxfId="3623" dataDxfId="3622" tableBorderDxfId="3621">
  <autoFilter ref="M57:M59" xr:uid="{085B2AC9-B3A3-448A-9EA0-2EE005E899A2}"/>
  <tableColumns count="1">
    <tableColumn id="1" xr3:uid="{CEF3647D-33E3-4664-8A64-C8EEF50857FE}" name="Preparacion" dataDxfId="3620"/>
  </tableColumns>
  <tableStyleInfo showFirstColumn="0" showLastColumn="0" showRowStripes="1" showColumnStripes="0"/>
</table>
</file>

<file path=xl/tables/table5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7" xr:uid="{6556A403-90B3-4996-BFC8-9C80D69D6667}" name="Tabla461487182381676682688" displayName="Tabla461487182381676682688" ref="M61:M65" totalsRowShown="0" headerRowDxfId="3619" dataDxfId="3618" tableBorderDxfId="3617">
  <autoFilter ref="M61:M65" xr:uid="{6556A403-90B3-4996-BFC8-9C80D69D6667}"/>
  <tableColumns count="1">
    <tableColumn id="1" xr3:uid="{57E07349-56F6-40E8-878F-167E82A63297}" name="Emplatado" dataDxfId="3616"/>
  </tableColumns>
  <tableStyleInfo showFirstColumn="0" showLastColumn="0" showRowStripes="1" showColumnStripes="0"/>
</table>
</file>

<file path=xl/tables/table5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43280E4-43D2-439A-A98A-3418F4A0EEC1}" name="Tabla34" displayName="Tabla34" ref="A1:C1067" totalsRowShown="0" headerRowDxfId="10843" dataDxfId="10842">
  <autoFilter ref="A1:C1067" xr:uid="{E9D78199-1F91-48EF-9289-CD47999DDFF2}">
    <filterColumn colId="0">
      <filters>
        <filter val="QUESO MONPOSINO"/>
        <filter val="QUESO MOZZARELLA BLOQUE X 2,5K"/>
      </filters>
    </filterColumn>
  </autoFilter>
  <sortState xmlns:xlrd2="http://schemas.microsoft.com/office/spreadsheetml/2017/richdata2" ref="A130:C510">
    <sortCondition ref="A175"/>
  </sortState>
  <tableColumns count="3">
    <tableColumn id="2" xr3:uid="{78CBD84C-F8D7-4237-91B7-9641EF9671AD}" name="INSUMOS " dataDxfId="10841"/>
    <tableColumn id="3" xr3:uid="{9920BA56-D276-4465-B50B-FFDC625556DB}" name="U. Medida." dataDxfId="10840"/>
    <tableColumn id="4" xr3:uid="{3D7A0ADE-DA32-4C95-9413-57A40A18A036}" name="Cantidad " dataDxfId="10839" dataCellStyle="Moneda"/>
  </tableColumns>
  <tableStyleInfo name="TableStyleLight8" showFirstColumn="0" showLastColumn="0" showRowStripes="1" showColumnStripes="0"/>
</table>
</file>

<file path=xl/tables/table5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63B91D61-95E3-4350-9AB7-55413E6AEE9E}" name="Tabla1103453454455456479120" displayName="Tabla1103453454455456479120" ref="B7:H22" totalsRowCount="1" headerRowDxfId="10838" dataDxfId="10836" totalsRowDxfId="10834" headerRowBorderDxfId="10837" tableBorderDxfId="10835" totalsRowBorderDxfId="10833">
  <autoFilter ref="B7:H21" xr:uid="{63B91D61-95E3-4350-9AB7-55413E6AEE9E}"/>
  <sortState xmlns:xlrd2="http://schemas.microsoft.com/office/spreadsheetml/2017/richdata2" ref="B8:H21">
    <sortCondition descending="1" ref="H10:H21"/>
  </sortState>
  <tableColumns count="7">
    <tableColumn id="2" xr3:uid="{A5BEF691-19B0-407B-8B8B-AA9AB67FCB90}" name="ArtÃ­culo" dataDxfId="10832" totalsRowDxfId="10831"/>
    <tableColumn id="3" xr3:uid="{0A35B3F9-7474-41B1-A4C3-EB89604674A4}" name="Unidad Medida" dataDxfId="10830" totalsRowDxfId="10829"/>
    <tableColumn id="4" xr3:uid="{776F68AF-D18E-408D-8DF0-61C813A1B0BE}" name="Unidades Netas" dataDxfId="10828" totalsRowDxfId="10827"/>
    <tableColumn id="7" xr3:uid="{F3595396-1B88-4768-A089-CD31FB098FC7}" name="% Merma" dataDxfId="10826" totalsRowDxfId="10825"/>
    <tableColumn id="1" xr3:uid="{7944F3D6-83FD-45C3-B0AB-F2120F7B879B}" name="Unidades" dataDxfId="10824" totalsRowDxfId="10823"/>
    <tableColumn id="5" xr3:uid="{57640B66-2B41-4808-898E-7310255E67EE}" name="Costo" dataDxfId="10822" totalsRowDxfId="10821" dataCellStyle="Moneda">
      <calculatedColumnFormula>+VLOOKUP(Tabla1103453454455456479120[[#This Row],[ArtÃ­culo]],Tabla34[#All],3,0)</calculatedColumnFormula>
    </tableColumn>
    <tableColumn id="6" xr3:uid="{3DA43AEE-8A10-4624-81A2-490C952F0D71}" name="Total costo" totalsRowFunction="sum" dataDxfId="10820" totalsRowDxfId="10819" dataCellStyle="Moneda">
      <calculatedColumnFormula>+Tabla1103453454455456479120[[#This Row],[Costo]]*Tabla1103453454455456479120[[#This Row],[Unidades]]</calculatedColumnFormula>
    </tableColumn>
  </tableColumns>
  <tableStyleInfo name="TableStyleLight8" showFirstColumn="0" showLastColumn="0" showRowStripes="1" showColumnStripes="0"/>
</table>
</file>

<file path=xl/tables/table5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128181F-F36B-4A75-B033-4CCB27DA4234}" name="Tabla1103453454455456479120121" displayName="Tabla1103453454455456479120121" ref="B26:H44" totalsRowCount="1" headerRowDxfId="10818" dataDxfId="10816" totalsRowDxfId="10814" headerRowBorderDxfId="10817" tableBorderDxfId="10815" totalsRowBorderDxfId="10813">
  <autoFilter ref="B26:H43" xr:uid="{C128181F-F36B-4A75-B033-4CCB27DA4234}"/>
  <sortState xmlns:xlrd2="http://schemas.microsoft.com/office/spreadsheetml/2017/richdata2" ref="B27:H43">
    <sortCondition descending="1" ref="H30:H43"/>
  </sortState>
  <tableColumns count="7">
    <tableColumn id="2" xr3:uid="{3E3EEDD5-4A36-480F-B684-F18DE673FCB4}" name="ArtÃ­culo" dataDxfId="10812" totalsRowDxfId="10811"/>
    <tableColumn id="3" xr3:uid="{1EADFEA0-3BE4-457E-AD8D-49F3C9A71BED}" name="Unidad Medida" dataDxfId="10810" totalsRowDxfId="10809"/>
    <tableColumn id="4" xr3:uid="{2DCF33FE-7CF5-4583-82B1-A8C44BE812F2}" name="Unidades Netas" dataDxfId="10808" totalsRowDxfId="10807"/>
    <tableColumn id="7" xr3:uid="{82A76E2E-67D0-4289-9938-86025C35BF97}" name="% Merma" dataDxfId="10806" totalsRowDxfId="10805"/>
    <tableColumn id="1" xr3:uid="{62CFCE02-0AD0-49E8-BF4C-CDC688E24510}" name="Unidades" dataDxfId="10804" totalsRowDxfId="10803"/>
    <tableColumn id="5" xr3:uid="{0AC0D466-581A-4496-8569-55CD09F423AD}" name="Costo" dataDxfId="10802" totalsRowDxfId="10801" dataCellStyle="Moneda">
      <calculatedColumnFormula>+VLOOKUP(Tabla1103453454455456479120121[[#This Row],[ArtÃ­culo]],Tabla34[#All],3,0)</calculatedColumnFormula>
    </tableColumn>
    <tableColumn id="6" xr3:uid="{AAAF1B5A-3F09-40A7-997C-D35EE9E477CE}" name="Total costo" totalsRowFunction="sum" dataDxfId="10800" totalsRowDxfId="10799" dataCellStyle="Moneda">
      <calculatedColumnFormula>+Tabla1103453454455456479120121[[#This Row],[Costo]]*Tabla1103453454455456479120121[[#This Row],[Unidades]]</calculatedColumnFormula>
    </tableColumn>
  </tableColumns>
  <tableStyleInfo name="TableStyleLight8" showFirstColumn="0" showLastColumn="0" showRowStripes="1" showColumnStripes="0"/>
</table>
</file>

<file path=xl/tables/table5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158C60D3-9FCA-4E3A-87D9-957266C3368D}" name="Tabla1103453454455456479120122" displayName="Tabla1103453454455456479120122" ref="B47:H60" totalsRowCount="1" headerRowDxfId="10798" dataDxfId="10796" totalsRowDxfId="10794" headerRowBorderDxfId="10797" tableBorderDxfId="10795" totalsRowBorderDxfId="10793">
  <autoFilter ref="B47:H59" xr:uid="{158C60D3-9FCA-4E3A-87D9-957266C3368D}"/>
  <sortState xmlns:xlrd2="http://schemas.microsoft.com/office/spreadsheetml/2017/richdata2" ref="B48:H59">
    <sortCondition descending="1" ref="H49:H59"/>
  </sortState>
  <tableColumns count="7">
    <tableColumn id="2" xr3:uid="{E0170772-EDA4-4880-B929-2107799605AB}" name="ArtÃ­culo" dataDxfId="10792" totalsRowDxfId="10791"/>
    <tableColumn id="3" xr3:uid="{5C4C9D25-45A3-477C-86C5-867C169930DA}" name="Unidad Medida" dataDxfId="10790" totalsRowDxfId="10789"/>
    <tableColumn id="4" xr3:uid="{50CE6E4D-0301-4F75-85E2-1FAAF13BB6D7}" name="Unidades Netas" dataDxfId="10788" totalsRowDxfId="10787"/>
    <tableColumn id="7" xr3:uid="{48D5249E-BBD3-444B-84AC-722B417253EC}" name="% Merma" dataDxfId="10786" totalsRowDxfId="10785"/>
    <tableColumn id="1" xr3:uid="{44845673-8C98-4936-B92B-EBB22CBE5ACC}" name="Unidades" dataDxfId="10784" totalsRowDxfId="10783"/>
    <tableColumn id="5" xr3:uid="{988EFEBC-2029-4BDA-A735-D129A8998452}" name="Costo" dataDxfId="10782" totalsRowDxfId="10781" dataCellStyle="Moneda">
      <calculatedColumnFormula>+VLOOKUP(Tabla1103453454455456479120122[[#This Row],[ArtÃ­culo]],Tabla34[#All],3,0)</calculatedColumnFormula>
    </tableColumn>
    <tableColumn id="6" xr3:uid="{B8A45A83-58C9-40D8-9B45-5FE1200F6A94}" name="Total costo" totalsRowFunction="sum" dataDxfId="10780" totalsRowDxfId="10779" dataCellStyle="Moneda">
      <calculatedColumnFormula>+Tabla1103453454455456479120122[[#This Row],[Costo]]*Tabla1103453454455456479120122[[#This Row],[Unidades]]</calculatedColumnFormula>
    </tableColumn>
  </tableColumns>
  <tableStyleInfo name="TableStyleLight8" showFirstColumn="0" showLastColumn="0" showRowStripes="1" showColumnStripes="0"/>
</table>
</file>

<file path=xl/tables/table5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10F7E8B-5DCC-4F01-86DA-E3E73B86FD1A}" name="Tabla1103453454455456479120123" displayName="Tabla1103453454455456479120123" ref="B64:H78" totalsRowCount="1" headerRowDxfId="10778" dataDxfId="10776" totalsRowDxfId="10774" headerRowBorderDxfId="10777" tableBorderDxfId="10775" totalsRowBorderDxfId="10773">
  <autoFilter ref="B64:H77" xr:uid="{F10F7E8B-5DCC-4F01-86DA-E3E73B86FD1A}"/>
  <sortState xmlns:xlrd2="http://schemas.microsoft.com/office/spreadsheetml/2017/richdata2" ref="B65:H77">
    <sortCondition descending="1" ref="H66:H77"/>
  </sortState>
  <tableColumns count="7">
    <tableColumn id="2" xr3:uid="{4971EB5D-8322-4AF5-81DB-BA8F761DFB2D}" name="ArtÃ­culo" dataDxfId="10772" totalsRowDxfId="10771"/>
    <tableColumn id="3" xr3:uid="{111AECFC-F377-4947-BBA9-2BF54A52A9CF}" name="Unidad Medida" dataDxfId="10770" totalsRowDxfId="10769"/>
    <tableColumn id="4" xr3:uid="{721C99E7-EA86-46E4-AD0B-64D3D78D7D90}" name="Unidades Netas" dataDxfId="10768" totalsRowDxfId="10767"/>
    <tableColumn id="8" xr3:uid="{AC5A5F3C-EF50-4CB0-B0A8-00A8B3F858E0}" name="% Merma" dataDxfId="10766" totalsRowDxfId="10765"/>
    <tableColumn id="9" xr3:uid="{55D33598-DAA0-459B-8DFD-F8B3CC1B038A}" name="Unidades" dataDxfId="10764" totalsRowDxfId="10763"/>
    <tableColumn id="5" xr3:uid="{A4E9B760-D305-4734-B2A1-36BA0A3C4CB9}" name="Costo" dataDxfId="10762" totalsRowDxfId="10761" dataCellStyle="Moneda">
      <calculatedColumnFormula>+VLOOKUP(Tabla1103453454455456479120123[[#This Row],[ArtÃ­culo]],Tabla34[#All],3,0)</calculatedColumnFormula>
    </tableColumn>
    <tableColumn id="6" xr3:uid="{ABEB200D-4D24-4776-B59B-3BA08AD243FE}" name="Total costo" totalsRowFunction="sum" dataDxfId="10760" totalsRowDxfId="10759" dataCellStyle="Moneda">
      <calculatedColumnFormula>+Tabla1103453454455456479120123[[#This Row],[Costo]]*Tabla1103453454455456479120123[[#This Row],[Unidades]]</calculatedColumnFormula>
    </tableColumn>
  </tableColumns>
  <tableStyleInfo name="TableStyleLight8" showFirstColumn="0" showLastColumn="0" showRowStripes="1" showColumnStripes="0"/>
</table>
</file>

<file path=xl/tables/table5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EB40C25-1273-454B-AB14-69CAF7C99C36}" name="Tabla1103453454455456479120124" displayName="Tabla1103453454455456479120124" ref="B82:H94" totalsRowCount="1" headerRowDxfId="10758" dataDxfId="10756" totalsRowDxfId="10754" headerRowBorderDxfId="10757" tableBorderDxfId="10755" totalsRowBorderDxfId="10753">
  <autoFilter ref="B82:H93" xr:uid="{DEB40C25-1273-454B-AB14-69CAF7C99C36}"/>
  <sortState xmlns:xlrd2="http://schemas.microsoft.com/office/spreadsheetml/2017/richdata2" ref="B83:H93">
    <sortCondition descending="1" ref="H86:H93"/>
  </sortState>
  <tableColumns count="7">
    <tableColumn id="2" xr3:uid="{5B324B80-52F9-425C-ACD7-4A415A7247DC}" name="ArtÃ­culo" dataDxfId="10752" totalsRowDxfId="10751"/>
    <tableColumn id="3" xr3:uid="{7E8A3E12-EC24-4E69-934A-F9042D8E7853}" name="Unidad Medida" dataDxfId="10750" totalsRowDxfId="10749"/>
    <tableColumn id="4" xr3:uid="{AB1051A7-7F4F-4FBA-8766-BCA72A08DDC4}" name="Unidades Netas" dataDxfId="10748" totalsRowDxfId="10747"/>
    <tableColumn id="1" xr3:uid="{4F0F0A5B-993A-43E1-AE98-5F6FC1B845A9}" name="% Merma" dataDxfId="10746" totalsRowDxfId="10745"/>
    <tableColumn id="7" xr3:uid="{A5D84DE3-A609-4CE7-A947-7CB8B0E72F7D}" name="Unidades" dataDxfId="10744" totalsRowDxfId="10743"/>
    <tableColumn id="5" xr3:uid="{2EBFA6E8-8C1F-4B3A-A394-B27A5DA655C7}" name="Costo" dataDxfId="10742" totalsRowDxfId="10741" dataCellStyle="Moneda">
      <calculatedColumnFormula>+VLOOKUP(Tabla1103453454455456479120124[[#This Row],[ArtÃ­culo]],Tabla34[#All],3,0)</calculatedColumnFormula>
    </tableColumn>
    <tableColumn id="6" xr3:uid="{9714FDEE-265D-4CF6-A2D2-E99781F45B41}" name="Total costo" totalsRowFunction="sum" dataDxfId="10740" totalsRowDxfId="10739" dataCellStyle="Moneda">
      <calculatedColumnFormula>+Tabla1103453454455456479120124[[#This Row],[Costo]]*Tabla1103453454455456479120124[[#This Row],[Unidades]]</calculatedColumnFormula>
    </tableColumn>
  </tableColumns>
  <tableStyleInfo name="TableStyleLight8" showFirstColumn="0" showLastColumn="0" showRowStripes="1" showColumnStripes="0"/>
</table>
</file>

<file path=xl/tables/table5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D4CF1A5-65A0-489F-A618-ECBD494D60CF}" name="Tabla1103453454455456479120125" displayName="Tabla1103453454455456479120125" ref="B98:H106" totalsRowCount="1" dataDxfId="10737" totalsRowDxfId="10735" headerRowBorderDxfId="10738" tableBorderDxfId="10736" totalsRowBorderDxfId="10734">
  <autoFilter ref="B98:H105" xr:uid="{BD4CF1A5-65A0-489F-A618-ECBD494D60CF}"/>
  <sortState xmlns:xlrd2="http://schemas.microsoft.com/office/spreadsheetml/2017/richdata2" ref="B99:H105">
    <sortCondition descending="1" ref="H103:H105"/>
  </sortState>
  <tableColumns count="7">
    <tableColumn id="2" xr3:uid="{6A72017D-A5EE-467F-8A32-152DF148780F}" name="ArtÃ­culo" dataDxfId="10733" totalsRowDxfId="10732"/>
    <tableColumn id="3" xr3:uid="{C5EE8EF1-96ED-4E18-8CFB-44FAD7AE611A}" name="Unidad Medida" dataDxfId="10731" totalsRowDxfId="10730"/>
    <tableColumn id="4" xr3:uid="{E02C76BC-C118-4242-9DE1-A7DB08276AF4}" name="Unidades Netas" dataDxfId="10729" totalsRowDxfId="10728"/>
    <tableColumn id="1" xr3:uid="{894974E8-E7C4-40C4-B43D-6ED3A637AFD2}" name="% Merma" dataDxfId="10727" totalsRowDxfId="10726"/>
    <tableColumn id="7" xr3:uid="{D36B0698-8D08-4A04-B5A6-2CC4509DFA56}" name="Unidades" dataDxfId="10725" totalsRowDxfId="10724"/>
    <tableColumn id="5" xr3:uid="{0667ABA6-725E-413F-941D-9D5B43CE2563}" name="Coste Componente" dataDxfId="10723" totalsRowDxfId="10722" dataCellStyle="Moneda">
      <calculatedColumnFormula>+VLOOKUP(Tabla1103453454455456479120125[[#This Row],[ArtÃ­culo]],Tabla34[#All],3,0)</calculatedColumnFormula>
    </tableColumn>
    <tableColumn id="6" xr3:uid="{13530FD0-3D71-4041-8BD9-456665E93868}" name="Coste LÃ­nea" totalsRowFunction="sum" dataDxfId="10721" totalsRowDxfId="10720" dataCellStyle="Moneda">
      <calculatedColumnFormula>+Tabla1103453454455456479120125[[#This Row],[Coste Componente]]*Tabla1103453454455456479120125[[#This Row],[Unidades Netas]]</calculatedColumnFormula>
    </tableColumn>
  </tableColumns>
  <tableStyleInfo name="TableStyleLight8" showFirstColumn="0" showLastColumn="0" showRowStripes="1" showColumnStripes="0"/>
</table>
</file>

<file path=xl/tables/table5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549BE7B0-EAE0-4E9D-9985-C4CA5F64C974}" name="Tabla1103453454455456479120125258" displayName="Tabla1103453454455456479120125258" ref="B110:H123" totalsRowCount="1" dataDxfId="10718" totalsRowDxfId="10716" headerRowBorderDxfId="10719" tableBorderDxfId="10717" totalsRowBorderDxfId="10715">
  <autoFilter ref="B110:H122" xr:uid="{549BE7B0-EAE0-4E9D-9985-C4CA5F64C974}"/>
  <sortState xmlns:xlrd2="http://schemas.microsoft.com/office/spreadsheetml/2017/richdata2" ref="B111:H122">
    <sortCondition descending="1" ref="H113:H122"/>
  </sortState>
  <tableColumns count="7">
    <tableColumn id="2" xr3:uid="{AF8C9B31-B7FF-4595-B7F1-247F0E069D6D}" name="ArtÃ­culo" dataDxfId="10714" totalsRowDxfId="10713"/>
    <tableColumn id="3" xr3:uid="{48A2AD39-C386-4EA6-BF0E-91D23A7969BD}" name="Unidad Medida" dataDxfId="10712" totalsRowDxfId="10711"/>
    <tableColumn id="4" xr3:uid="{A362F1D3-9ECF-4B4F-99AD-2E70A54E7625}" name="Unidades Netas" dataDxfId="10710" totalsRowDxfId="10709"/>
    <tableColumn id="1" xr3:uid="{866C2D17-8F07-4DD8-BF19-9BBBB40C4959}" name="% Merma" dataDxfId="10708" totalsRowDxfId="10707"/>
    <tableColumn id="7" xr3:uid="{C9991D81-3293-40F1-BBE2-01D8AC221869}" name="Unidades" dataDxfId="10706" totalsRowDxfId="10705"/>
    <tableColumn id="5" xr3:uid="{BFE91B64-0804-4815-9DED-2BF17D24A086}" name="Coste Componente" dataDxfId="10704" totalsRowDxfId="10703" dataCellStyle="Moneda">
      <calculatedColumnFormula>+VLOOKUP(Tabla1103453454455456479120125258[[#This Row],[ArtÃ­culo]],Tabla34[#All],3,0)</calculatedColumnFormula>
    </tableColumn>
    <tableColumn id="6" xr3:uid="{499E754E-F041-42D0-ACD3-1E3224B9395E}" name="Coste LÃ­nea" totalsRowFunction="sum" dataDxfId="10702" totalsRowDxfId="10701" dataCellStyle="Moneda">
      <calculatedColumnFormula>+Tabla1103453454455456479120125258[[#This Row],[Coste Componente]]*Tabla1103453454455456479120125258[[#This Row],[Unidades Netas]]</calculatedColumnFormula>
    </tableColumn>
  </tableColumns>
  <tableStyleInfo name="TableStyleLight8" showFirstColumn="0" showLastColumn="0" showRowStripes="1" showColumnStripes="0"/>
</table>
</file>

<file path=xl/tables/table5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A103B1C4-84B9-4910-BC59-5A9BC7B67FEB}" name="Tabla1103453454455456479120125258259" displayName="Tabla1103453454455456479120125258259" ref="B127:H137" totalsRowCount="1" dataDxfId="10699" totalsRowDxfId="10697" headerRowBorderDxfId="10700" tableBorderDxfId="10698" totalsRowBorderDxfId="10696">
  <autoFilter ref="B127:H136" xr:uid="{A103B1C4-84B9-4910-BC59-5A9BC7B67FEB}"/>
  <sortState xmlns:xlrd2="http://schemas.microsoft.com/office/spreadsheetml/2017/richdata2" ref="B128:H136">
    <sortCondition descending="1" ref="H130:H136"/>
  </sortState>
  <tableColumns count="7">
    <tableColumn id="2" xr3:uid="{04EE3476-8188-4373-BCB0-946C1C0CD59C}" name="ArtÃ­culo" dataDxfId="10695" totalsRowDxfId="10694"/>
    <tableColumn id="3" xr3:uid="{5FBDDC26-DEB9-4B6A-BCF1-C78AD33FEF4B}" name="Unidad Medida" dataDxfId="10693" totalsRowDxfId="10692"/>
    <tableColumn id="4" xr3:uid="{5ADA1D2D-5854-4D45-8F13-0805C7C4E4F0}" name="Unidades Netas" dataDxfId="10691" totalsRowDxfId="10690"/>
    <tableColumn id="1" xr3:uid="{CA480B6C-CEF9-4BB3-A114-EE6254A85E0D}" name="% Merma" dataDxfId="10689" totalsRowDxfId="10688"/>
    <tableColumn id="7" xr3:uid="{C56908E8-34C5-40EA-A3CF-9D930D451EA1}" name="Unidades" dataDxfId="10687" totalsRowDxfId="10686"/>
    <tableColumn id="5" xr3:uid="{80869AFC-29D2-42AE-AA9B-14CCA8AD2B59}" name="Coste Componente" dataDxfId="10685" totalsRowDxfId="10684" dataCellStyle="Moneda">
      <calculatedColumnFormula>+VLOOKUP(Tabla1103453454455456479120125258259[[#This Row],[ArtÃ­culo]],Tabla34[#All],3,0)</calculatedColumnFormula>
    </tableColumn>
    <tableColumn id="6" xr3:uid="{DE66792C-D4CF-4C58-B7F0-94B9E7265E8F}" name="Coste LÃ­nea" totalsRowFunction="sum" dataDxfId="10683" totalsRowDxfId="10682" dataCellStyle="Moneda">
      <calculatedColumnFormula>+Tabla1103453454455456479120125258259[[#This Row],[Coste Componente]]*Tabla1103453454455456479120125258259[[#This Row],[Unidades]]</calculatedColumnFormula>
    </tableColumn>
  </tableColumns>
  <tableStyleInfo name="TableStyleLight8" showFirstColumn="0" showLastColumn="0" showRowStripes="1" showColumnStripes="0"/>
</table>
</file>

<file path=xl/tables/table5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27CC7CE3-6FD8-4F4A-86D7-FF246CAB4117}" name="Tabla1103453454455456479120125258261" displayName="Tabla1103453454455456479120125258261" ref="B141:H153" totalsRowCount="1" dataDxfId="10680" totalsRowDxfId="10678" headerRowBorderDxfId="10681" tableBorderDxfId="10679" totalsRowBorderDxfId="10677">
  <autoFilter ref="B141:H152" xr:uid="{27CC7CE3-6FD8-4F4A-86D7-FF246CAB4117}"/>
  <sortState xmlns:xlrd2="http://schemas.microsoft.com/office/spreadsheetml/2017/richdata2" ref="B142:H152">
    <sortCondition descending="1" ref="H149:H152"/>
  </sortState>
  <tableColumns count="7">
    <tableColumn id="2" xr3:uid="{C32ABA0A-A548-451E-A79B-D1EC12848211}" name="ArtÃ­culo" dataDxfId="10676" totalsRowDxfId="10675"/>
    <tableColumn id="3" xr3:uid="{41AC0922-58F6-4027-B9DD-B8F55481055F}" name="Unidad Medida" dataDxfId="10674" totalsRowDxfId="10673"/>
    <tableColumn id="4" xr3:uid="{C5D8E5C9-0474-469D-87B4-E0DE3FE9AF03}" name="Unidades Netas" dataDxfId="10672" totalsRowDxfId="10671"/>
    <tableColumn id="1" xr3:uid="{D8A34E19-2007-4C22-A566-CC6FFF697AE0}" name="% Merma" dataDxfId="10670" totalsRowDxfId="10669"/>
    <tableColumn id="7" xr3:uid="{ADC65D92-C9A9-4397-9502-6EF60C4693CF}" name="Unidades" dataDxfId="10668" totalsRowDxfId="10667"/>
    <tableColumn id="5" xr3:uid="{92624945-14E9-4970-974B-1AE7CE045CE6}" name="Coste Componente" dataDxfId="10666" totalsRowDxfId="10665" dataCellStyle="Moneda">
      <calculatedColumnFormula>+VLOOKUP(Tabla1103453454455456479120125258261[[#This Row],[ArtÃ­culo]],Tabla34[#All],3,0)</calculatedColumnFormula>
    </tableColumn>
    <tableColumn id="6" xr3:uid="{DF2DB869-A7DB-4B7A-98C1-89F289720FDA}" name="Coste LÃ­nea" totalsRowFunction="sum" dataDxfId="10664" totalsRowDxfId="10663" dataCellStyle="Moneda">
      <calculatedColumnFormula>+Tabla1103453454455456479120125258261[[#This Row],[Coste Componente]]*Tabla1103453454455456479120125258261[[#This Row],[Unidades]]</calculatedColumnFormula>
    </tableColumn>
  </tableColumns>
  <tableStyleInfo name="TableStyleLight8" showFirstColumn="0" showLastColumn="0" showRowStripes="1" showColumnStripes="0"/>
</table>
</file>

<file path=xl/tables/table5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0D2D3617-4599-4072-9203-637FE5C06B96}" name="Tabla1103453454455456479120125258262" displayName="Tabla1103453454455456479120125258262" ref="B157:H168" totalsRowCount="1" dataDxfId="10661" totalsRowDxfId="10659" headerRowBorderDxfId="10662" tableBorderDxfId="10660" totalsRowBorderDxfId="10658">
  <autoFilter ref="B157:H167" xr:uid="{0D2D3617-4599-4072-9203-637FE5C06B96}"/>
  <sortState xmlns:xlrd2="http://schemas.microsoft.com/office/spreadsheetml/2017/richdata2" ref="B158:H167">
    <sortCondition descending="1" ref="H159:H167"/>
  </sortState>
  <tableColumns count="7">
    <tableColumn id="2" xr3:uid="{8502E15A-2A73-407A-AA07-9DBD4DB52815}" name="ArtÃ­culo" dataDxfId="10657" totalsRowDxfId="10656"/>
    <tableColumn id="3" xr3:uid="{95BA127D-1756-4B88-8A2B-8B3009509573}" name="Unidad Medida" dataDxfId="10655" totalsRowDxfId="10654"/>
    <tableColumn id="4" xr3:uid="{567998CC-861A-4BEC-A83C-71182D7EA1FF}" name="Unidades Netas" dataDxfId="10653" totalsRowDxfId="10652"/>
    <tableColumn id="1" xr3:uid="{4EE7D98A-91F7-4EE3-B512-083344FB5772}" name="% Merma" dataDxfId="10651" totalsRowDxfId="10650"/>
    <tableColumn id="7" xr3:uid="{43C0DE28-3D1C-487B-8076-7567FB4B5BB4}" name="Unidades" dataDxfId="10649" totalsRowDxfId="10648"/>
    <tableColumn id="5" xr3:uid="{256D56D1-6927-47B3-B469-D1FBC8E5B2CC}" name="Coste Componente" dataDxfId="10647" totalsRowDxfId="10646" dataCellStyle="Moneda">
      <calculatedColumnFormula>+VLOOKUP(Tabla1103453454455456479120125258262[[#This Row],[ArtÃ­culo]],Tabla34[#All],3,0)</calculatedColumnFormula>
    </tableColumn>
    <tableColumn id="6" xr3:uid="{025866EF-0343-45E8-A38E-88CF188F0435}" name="Coste LÃ­nea" totalsRowFunction="sum" dataDxfId="10645" totalsRowDxfId="10644" dataCellStyle="Moneda">
      <calculatedColumnFormula>+Tabla1103453454455456479120125258262[[#This Row],[Coste Componente]]*Tabla1103453454455456479120125258262[[#This Row],[Unidades]]</calculatedColumnFormula>
    </tableColumn>
  </tableColumns>
  <tableStyleInfo name="TableStyleLight8" showFirstColumn="0" showLastColumn="0" showRowStripes="1" showColumnStripes="0"/>
</table>
</file>

<file path=xl/tables/table5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2AD4EF3D-B5EB-4FEE-9151-00B2DD52B267}" name="Tabla1103453454455456479120125258263" displayName="Tabla1103453454455456479120125258263" ref="B172:H186" totalsRowCount="1" dataDxfId="10642" totalsRowDxfId="10640" headerRowBorderDxfId="10643" tableBorderDxfId="10641" totalsRowBorderDxfId="10639">
  <autoFilter ref="B172:H185" xr:uid="{2AD4EF3D-B5EB-4FEE-9151-00B2DD52B267}"/>
  <sortState xmlns:xlrd2="http://schemas.microsoft.com/office/spreadsheetml/2017/richdata2" ref="B173:H185">
    <sortCondition descending="1" ref="H174:H185"/>
  </sortState>
  <tableColumns count="7">
    <tableColumn id="2" xr3:uid="{6505C607-5D25-4D9E-811D-667978B892C8}" name="ArtÃ­culo" dataDxfId="10638" totalsRowDxfId="10637"/>
    <tableColumn id="3" xr3:uid="{271DF209-5F30-46FE-8590-140A3D9F84EC}" name="Unidad Medida" dataDxfId="10636" totalsRowDxfId="10635"/>
    <tableColumn id="4" xr3:uid="{503E5F1A-C6C8-4C22-93F2-48EFC98A0B21}" name="Unidades Netas" dataDxfId="10634" totalsRowDxfId="10633"/>
    <tableColumn id="1" xr3:uid="{880AB633-E437-4068-8A4E-003DD8813583}" name="% Merma" dataDxfId="10632" totalsRowDxfId="10631"/>
    <tableColumn id="7" xr3:uid="{8C48B0EC-2372-4121-ADDD-19268E3B5254}" name="Unidades" dataDxfId="10630" totalsRowDxfId="10629"/>
    <tableColumn id="5" xr3:uid="{6C655103-E982-4BC8-A545-5F0ABF744E06}" name="Coste Componente" dataDxfId="10628" totalsRowDxfId="10627" dataCellStyle="Moneda">
      <calculatedColumnFormula>+VLOOKUP(Tabla1103453454455456479120125258263[[#This Row],[ArtÃ­culo]],Tabla34[#All],3,0)</calculatedColumnFormula>
    </tableColumn>
    <tableColumn id="6" xr3:uid="{6C24E421-42BA-4B3D-8FA9-53E81CB10881}" name="Coste LÃ­nea" totalsRowFunction="sum" dataDxfId="10626" totalsRowDxfId="10625" dataCellStyle="Moneda">
      <calculatedColumnFormula>+Tabla1103453454455456479120125258263[[#This Row],[Coste Componente]]*Tabla1103453454455456479120125258263[[#This Row],[Unidades]]</calculatedColumnFormula>
    </tableColumn>
  </tableColumns>
  <tableStyleInfo name="TableStyleLight8" showFirstColumn="0" showLastColumn="0" showRowStripes="1" showColumnStripes="0"/>
</table>
</file>

<file path=xl/tables/table5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AF0ACDEB-7D95-4263-A66B-F45F9F4AADBD}" name="Tabla1103453454455456479120125258263265" displayName="Tabla1103453454455456479120125258263265" ref="B190:H203" totalsRowCount="1" dataDxfId="10623" totalsRowDxfId="10621" headerRowBorderDxfId="10624" tableBorderDxfId="10622" totalsRowBorderDxfId="10620">
  <autoFilter ref="B190:H202" xr:uid="{895E92C5-B0C9-4F5C-A358-86FD5DA78CE7}"/>
  <sortState xmlns:xlrd2="http://schemas.microsoft.com/office/spreadsheetml/2017/richdata2" ref="B191:H202">
    <sortCondition descending="1" ref="H195:H202"/>
  </sortState>
  <tableColumns count="7">
    <tableColumn id="2" xr3:uid="{95F1A16D-632F-4A8E-AC36-9A6B4A2D7984}" name="ArtÃ­culo" dataDxfId="10619" totalsRowDxfId="10618"/>
    <tableColumn id="3" xr3:uid="{39B6CDA5-087D-492A-8529-856A2D681352}" name="Unidad Medida" dataDxfId="10617" totalsRowDxfId="10616"/>
    <tableColumn id="4" xr3:uid="{8F27BA27-FD10-45AD-94C5-BF766904C3AB}" name="Unidades Netas" dataDxfId="10615" totalsRowDxfId="10614"/>
    <tableColumn id="1" xr3:uid="{95947122-CAA5-4396-A19D-8A5D3AC6922C}" name="% Merma" dataDxfId="10613" totalsRowDxfId="10612"/>
    <tableColumn id="7" xr3:uid="{4642EDE9-0EDB-4C8C-B580-F35EB6E7D554}" name="Unidades" dataDxfId="10611" totalsRowDxfId="10610"/>
    <tableColumn id="5" xr3:uid="{FD0BC923-299E-4D11-9E3F-D419E6278AB0}" name="Coste Componente" dataDxfId="10609" totalsRowDxfId="10608" dataCellStyle="Moneda">
      <calculatedColumnFormula>+VLOOKUP(Tabla1103453454455456479120125258263265[[#This Row],[ArtÃ­culo]],Tabla34[#All],3,0)</calculatedColumnFormula>
    </tableColumn>
    <tableColumn id="6" xr3:uid="{336D3721-D67C-4DED-9148-D05D0BF403FE}" name="Coste LÃ­nea" totalsRowFunction="sum" dataDxfId="10607" totalsRowDxfId="10606" dataCellStyle="Moneda">
      <calculatedColumnFormula>+Tabla1103453454455456479120125258263265[[#This Row],[Coste Componente]]*Tabla1103453454455456479120125258263265[[#This Row],[Unidades]]</calculatedColumnFormula>
    </tableColumn>
  </tableColumns>
  <tableStyleInfo name="TableStyleLight8" showFirstColumn="0" showLastColumn="0" showRowStripes="1" showColumnStripes="0"/>
</table>
</file>

<file path=xl/tables/table5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10883977-575A-4828-AC21-0C897966CFFF}" name="Tabla1103453454455456479120125258263265291" displayName="Tabla1103453454455456479120125258263265291" ref="B207:H218" totalsRowCount="1" dataDxfId="10604" totalsRowDxfId="10602" headerRowBorderDxfId="10605" tableBorderDxfId="10603" totalsRowBorderDxfId="10601">
  <autoFilter ref="B207:H217" xr:uid="{E1EAABC1-D105-482C-B641-F272EDD6C3D3}"/>
  <sortState xmlns:xlrd2="http://schemas.microsoft.com/office/spreadsheetml/2017/richdata2" ref="B208:H217">
    <sortCondition descending="1" ref="H212:H217"/>
  </sortState>
  <tableColumns count="7">
    <tableColumn id="2" xr3:uid="{F02BF412-F6E7-4585-84FE-4AC0B661062A}" name="ArtÃ­culo" dataDxfId="10600" totalsRowDxfId="10599"/>
    <tableColumn id="3" xr3:uid="{86DABA91-71E2-45BB-970C-48B6694556DE}" name="Unidad Medida" dataDxfId="10598" totalsRowDxfId="10597"/>
    <tableColumn id="4" xr3:uid="{3AB96641-D8B2-437E-9DFA-10740168F957}" name="Unidades Netas" dataDxfId="10596" totalsRowDxfId="10595"/>
    <tableColumn id="1" xr3:uid="{D8B5142B-1295-4481-8D1B-60F1043E062E}" name="% Merma" dataDxfId="10594" totalsRowDxfId="10593"/>
    <tableColumn id="7" xr3:uid="{EDE8C9C6-9AB8-49B3-A351-6CD81E7D0A0A}" name="Unidades" dataDxfId="10592" totalsRowDxfId="10591"/>
    <tableColumn id="5" xr3:uid="{F663FD87-8586-4E14-B756-E577441422A8}" name="Coste Componente" dataDxfId="10590" totalsRowDxfId="10589" dataCellStyle="Moneda">
      <calculatedColumnFormula>+VLOOKUP(Tabla1103453454455456479120125258263265291[[#This Row],[ArtÃ­culo]],Tabla34[#All],3,0)</calculatedColumnFormula>
    </tableColumn>
    <tableColumn id="6" xr3:uid="{D85D7A91-EB22-4B6F-8B59-A06D7460BCFF}" name="Coste LÃ­nea" totalsRowFunction="sum" dataDxfId="10588" totalsRowDxfId="10587" dataCellStyle="Moneda">
      <calculatedColumnFormula>+Tabla1103453454455456479120125258263265291[[#This Row],[Coste Componente]]*Tabla1103453454455456479120125258263265291[[#This Row],[Unidades]]</calculatedColumnFormula>
    </tableColumn>
  </tableColumns>
  <tableStyleInfo name="TableStyleLight8" showFirstColumn="0" showLastColumn="0" showRowStripes="1" showColumnStripes="0"/>
</table>
</file>

<file path=xl/tables/table5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22485D6E-D77A-4AA0-B7C9-096BD04CFD13}" name="Tabla1103453454455456479120125258263265291292" displayName="Tabla1103453454455456479120125258263265291292" ref="B222:H230" totalsRowCount="1" dataDxfId="10585" totalsRowDxfId="10583" headerRowBorderDxfId="10586" tableBorderDxfId="10584" totalsRowBorderDxfId="10582">
  <autoFilter ref="B222:H229" xr:uid="{B99A1D6E-FD5F-401A-B7C5-40EA4DA8611A}"/>
  <sortState xmlns:xlrd2="http://schemas.microsoft.com/office/spreadsheetml/2017/richdata2" ref="B223:H229">
    <sortCondition descending="1" ref="H227:H229"/>
  </sortState>
  <tableColumns count="7">
    <tableColumn id="2" xr3:uid="{79F54F28-32F8-4661-8163-9ABEAC0B492E}" name="ArtÃ­culo" dataDxfId="10581" totalsRowDxfId="10580"/>
    <tableColumn id="3" xr3:uid="{E14D1E84-88CA-46C2-A2CC-767D52E56D0F}" name="Unidad Medida" dataDxfId="10579" totalsRowDxfId="10578"/>
    <tableColumn id="4" xr3:uid="{8CA748F4-D7C6-4CF6-8E4C-9EA0ED328B87}" name="Unidades Netas" dataDxfId="10577" totalsRowDxfId="10576"/>
    <tableColumn id="1" xr3:uid="{0A0D5022-9F57-460C-B1B6-E14E6BC7D03C}" name="% Merma" dataDxfId="10575" totalsRowDxfId="10574"/>
    <tableColumn id="7" xr3:uid="{4359D913-44B3-4CAF-A878-BF05E26945DB}" name="Unidades" dataDxfId="10573" totalsRowDxfId="10572"/>
    <tableColumn id="5" xr3:uid="{3FA7B3F8-E064-42BE-A762-F00C752A00C7}" name="Coste Componente" dataDxfId="10571" totalsRowDxfId="10570" dataCellStyle="Moneda">
      <calculatedColumnFormula>+VLOOKUP(Tabla1103453454455456479120125258263265291292[[#This Row],[ArtÃ­culo]],Tabla34[#All],3,0)</calculatedColumnFormula>
    </tableColumn>
    <tableColumn id="6" xr3:uid="{8568ABDC-B7E3-4C3C-87B3-961B5E97988B}" name="Coste LÃ­nea" totalsRowFunction="sum" dataDxfId="10569" totalsRowDxfId="10568" dataCellStyle="Moneda">
      <calculatedColumnFormula>+Tabla1103453454455456479120125258263265291292[[#This Row],[Coste Componente]]*Tabla1103453454455456479120125258263265291292[[#This Row],[Unidades]]</calculatedColumnFormula>
    </tableColumn>
  </tableColumns>
  <tableStyleInfo name="TableStyleLight8" showFirstColumn="0" showLastColumn="0" showRowStripes="1" showColumnStripes="0"/>
</table>
</file>

<file path=xl/tables/table5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3514D920-BCA5-4B61-8943-18DF704CB852}" name="Tabla11034534544554564793638293" displayName="Tabla11034534544554564793638293" ref="B234:H248" totalsRowCount="1" dataDxfId="10566" totalsRowDxfId="10564" headerRowBorderDxfId="10567" tableBorderDxfId="10565" totalsRowBorderDxfId="10563">
  <autoFilter ref="B234:H247" xr:uid="{C204087E-5893-41F3-9C56-B3666E8D3218}"/>
  <sortState xmlns:xlrd2="http://schemas.microsoft.com/office/spreadsheetml/2017/richdata2" ref="B235:H247">
    <sortCondition descending="1" ref="H235:H247"/>
  </sortState>
  <tableColumns count="7">
    <tableColumn id="2" xr3:uid="{EC979418-84E3-43A1-AB8B-C9A5C60FA655}" name="ArtÃ­culo" dataDxfId="10562" totalsRowDxfId="10561"/>
    <tableColumn id="3" xr3:uid="{E6CDF952-36F9-4A22-9887-400C5D2472E2}" name="Unidad Medida" dataDxfId="10560" totalsRowDxfId="10559"/>
    <tableColumn id="4" xr3:uid="{37F1DAC3-0EE1-4BE6-85B9-B8685BF4C349}" name="Unidades Netas" dataDxfId="10558" totalsRowDxfId="10557"/>
    <tableColumn id="1" xr3:uid="{684CD39F-0C9D-4ADE-91EC-08CE8097AEF9}" name="% Merma" dataDxfId="10556" totalsRowDxfId="10555"/>
    <tableColumn id="7" xr3:uid="{6B744EDB-45CC-49B9-9D2F-4556FC2193C4}" name="Unidades" dataDxfId="10554" totalsRowDxfId="10553"/>
    <tableColumn id="5" xr3:uid="{C68E0266-4E2C-4E21-854C-37680454BD96}" name="Coste Componente" dataDxfId="10552" totalsRowDxfId="10551" dataCellStyle="Moneda">
      <calculatedColumnFormula>+VLOOKUP(Tabla11034534544554564793638293[[#This Row],[ArtÃ­culo]],Tabla34[#All],3,0)</calculatedColumnFormula>
    </tableColumn>
    <tableColumn id="6" xr3:uid="{849DC1D4-7013-49C8-B7E2-C456414BE5C2}" name="Coste LÃ­nea" totalsRowFunction="sum" dataDxfId="10550" totalsRowDxfId="10549" dataCellStyle="Moneda">
      <calculatedColumnFormula>+Tabla11034534544554564793638293[[#This Row],[Coste Componente]]*Tabla11034534544554564793638293[[#This Row],[Unidades]]</calculatedColumnFormula>
    </tableColumn>
  </tableColumns>
  <tableStyleInfo name="TableStyleLight8" showFirstColumn="0" showLastColumn="0" showRowStripes="1" showColumnStripes="0"/>
</table>
</file>

<file path=xl/tables/table5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7E72E76E-6AAD-4906-B5CC-B938EA303997}" name="Tabla11034534544554564793638293294" displayName="Tabla11034534544554564793638293294" ref="B252:H258" totalsRowCount="1" dataDxfId="10547" totalsRowDxfId="10545" headerRowBorderDxfId="10548" tableBorderDxfId="10546" totalsRowBorderDxfId="10544">
  <autoFilter ref="B252:H257" xr:uid="{EB45E5AD-6326-4F48-B384-6CF0C9B44B2F}"/>
  <sortState xmlns:xlrd2="http://schemas.microsoft.com/office/spreadsheetml/2017/richdata2" ref="B253:H257">
    <sortCondition descending="1" ref="H253:H257"/>
  </sortState>
  <tableColumns count="7">
    <tableColumn id="2" xr3:uid="{805A10D9-AD76-4E5E-AF99-EACF0927E557}" name="ArtÃ­culo" dataDxfId="10543" totalsRowDxfId="10542"/>
    <tableColumn id="3" xr3:uid="{0503F108-077F-4788-86D7-D44A946F1F54}" name="Unidad Medida" dataDxfId="10541" totalsRowDxfId="10540"/>
    <tableColumn id="4" xr3:uid="{88D9CFC0-4908-42D8-B86B-514BD42FE30C}" name="Unidades Netas" dataDxfId="10539" totalsRowDxfId="10538"/>
    <tableColumn id="1" xr3:uid="{B0D5C3E7-7D37-4F5E-8263-2A4B261AA109}" name="% Merma" dataDxfId="10537" totalsRowDxfId="10536"/>
    <tableColumn id="7" xr3:uid="{6E83C50C-BB82-4D9F-94A3-773F4295459F}" name="Unidades" dataDxfId="10535" totalsRowDxfId="10534"/>
    <tableColumn id="5" xr3:uid="{047E16D6-2FE8-4AA8-8CB4-A8CDE66B1D64}" name="Coste Componente" dataDxfId="10533" totalsRowDxfId="10532" dataCellStyle="Moneda">
      <calculatedColumnFormula>+VLOOKUP(Tabla11034534544554564793638293294[[#This Row],[ArtÃ­culo]],Tabla34[#All],3,0)</calculatedColumnFormula>
    </tableColumn>
    <tableColumn id="6" xr3:uid="{E7D7008D-2822-4163-BDFA-E82F2512AC0E}" name="Coste LÃ­nea" totalsRowFunction="sum" dataDxfId="10531" totalsRowDxfId="10530" dataCellStyle="Moneda">
      <calculatedColumnFormula>+Tabla11034534544554564793638293294[[#This Row],[Coste Componente]]*Tabla11034534544554564793638293294[[#This Row],[Unidades]]</calculatedColumnFormula>
    </tableColumn>
  </tableColumns>
  <tableStyleInfo name="TableStyleLight8" showFirstColumn="0" showLastColumn="0" showRowStripes="1" showColumnStripes="0"/>
</table>
</file>

<file path=xl/tables/table5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58CC4570-FAC7-4D7F-912D-B48E1EA99272}" name="Tabla11034534544554564793638293294295" displayName="Tabla11034534544554564793638293294295" ref="B263:H267" totalsRowCount="1" dataDxfId="10528" totalsRowDxfId="10526" headerRowBorderDxfId="10529" tableBorderDxfId="10527" totalsRowBorderDxfId="10525">
  <autoFilter ref="B263:H266" xr:uid="{EEC393CF-8E70-4810-9462-E246A006AF7C}"/>
  <sortState xmlns:xlrd2="http://schemas.microsoft.com/office/spreadsheetml/2017/richdata2" ref="B264:H266">
    <sortCondition descending="1" ref="H265:H266"/>
  </sortState>
  <tableColumns count="7">
    <tableColumn id="2" xr3:uid="{11647062-1E3A-4D33-B760-F4F50C36D9F6}" name="ArtÃ­culo" dataDxfId="10524" totalsRowDxfId="10523"/>
    <tableColumn id="3" xr3:uid="{864D1E8F-6AB0-4886-8325-F2FC0F44DFB0}" name="Unidad Medida" dataDxfId="10522" totalsRowDxfId="10521"/>
    <tableColumn id="4" xr3:uid="{EAB4ECCF-7653-4E44-BA74-21C14D31B64B}" name="Unidades Netas" dataDxfId="10520" totalsRowDxfId="10519"/>
    <tableColumn id="1" xr3:uid="{AAA20D12-CA30-47B8-B4B2-ACE286D98AAB}" name="% Merma" dataDxfId="10518" totalsRowDxfId="10517"/>
    <tableColumn id="7" xr3:uid="{9F2F5C55-E576-48A1-9E76-A2C3C37E4006}" name="Unidades" dataDxfId="10516" totalsRowDxfId="10515"/>
    <tableColumn id="5" xr3:uid="{86E6C2EE-F2A3-4B85-A0B4-5B2888BEF743}" name="Coste Componente" dataDxfId="10514" totalsRowDxfId="10513" dataCellStyle="Moneda">
      <calculatedColumnFormula>+VLOOKUP(Tabla11034534544554564793638293294295[[#This Row],[ArtÃ­culo]],Tabla34[#All],3,0)</calculatedColumnFormula>
    </tableColumn>
    <tableColumn id="6" xr3:uid="{5290543E-9435-4F6D-9482-CA19D3F37285}" name="Coste LÃ­nea" totalsRowFunction="sum" dataDxfId="10512" totalsRowDxfId="10511" dataCellStyle="Moneda">
      <calculatedColumnFormula>+Tabla11034534544554564793638293294295[[#This Row],[Coste Componente]]*Tabla11034534544554564793638293294295[[#This Row],[Unidades]]</calculatedColumnFormula>
    </tableColumn>
  </tableColumns>
  <tableStyleInfo name="TableStyleLight8" showFirstColumn="0" showLastColumn="0" showRowStripes="1" showColumnStripes="0"/>
</table>
</file>

<file path=xl/tables/table5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63FC8459-74C6-4A27-BC35-D0471E786FFD}" name="Tabla11034534544554564793638293294296" displayName="Tabla11034534544554564793638293294296" ref="B274:H280" totalsRowCount="1" dataDxfId="10509" totalsRowDxfId="10507" headerRowBorderDxfId="10510" tableBorderDxfId="10508" totalsRowBorderDxfId="10506">
  <autoFilter ref="B274:H279" xr:uid="{5CFC2420-833A-4E7C-A423-A5DB7CB9D344}"/>
  <sortState xmlns:xlrd2="http://schemas.microsoft.com/office/spreadsheetml/2017/richdata2" ref="B275:H279">
    <sortCondition descending="1" ref="H276:H279"/>
  </sortState>
  <tableColumns count="7">
    <tableColumn id="2" xr3:uid="{727674C3-6BBB-4807-BF4B-DD3800D6BC8A}" name="ArtÃ­culo" dataDxfId="10505" totalsRowDxfId="10504"/>
    <tableColumn id="3" xr3:uid="{47F0A85C-9082-40B9-93CD-397495880922}" name="Unidad Medida" dataDxfId="10503" totalsRowDxfId="10502"/>
    <tableColumn id="4" xr3:uid="{1AA62BE1-28B1-430D-90D8-58EF6BE0DC82}" name="Unidades Netas" dataDxfId="10501" totalsRowDxfId="10500"/>
    <tableColumn id="1" xr3:uid="{15769C9C-D0B7-4C3B-8777-2C73A3B2BB5F}" name="% Merma" dataDxfId="10499" totalsRowDxfId="10498"/>
    <tableColumn id="7" xr3:uid="{25018C83-1902-484E-BE78-7C3B54B2B99A}" name="Unidades" dataDxfId="10497" totalsRowDxfId="10496"/>
    <tableColumn id="5" xr3:uid="{BFEB3D07-A7CD-4028-ABB3-87819A2A2574}" name="Coste Componente" dataDxfId="10495" totalsRowDxfId="10494" dataCellStyle="Moneda">
      <calculatedColumnFormula>+VLOOKUP(Tabla11034534544554564793638293294296[[#This Row],[ArtÃ­culo]],Tabla34[#All],3,0)</calculatedColumnFormula>
    </tableColumn>
    <tableColumn id="6" xr3:uid="{C102EDAD-8C66-45E4-884B-D470EC2D70C2}" name="Coste LÃ­nea" totalsRowFunction="sum" dataDxfId="10493" totalsRowDxfId="10492" dataCellStyle="Moneda">
      <calculatedColumnFormula>+Tabla11034534544554564793638293294296[[#This Row],[Coste Componente]]*Tabla11034534544554564793638293294296[[#This Row],[Unidades]]</calculatedColumnFormula>
    </tableColumn>
  </tableColumns>
  <tableStyleInfo name="TableStyleLight8" showFirstColumn="0" showLastColumn="0" showRowStripes="1" showColumnStripes="0"/>
</table>
</file>

<file path=xl/tables/table5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6A8141B7-2D30-48D6-94DD-D9B427BF8A83}" name="Tabla11034534544554564793638293294303" displayName="Tabla11034534544554564793638293294303" ref="B287:H290" totalsRowCount="1" dataDxfId="10490" totalsRowDxfId="10488" headerRowBorderDxfId="10491" tableBorderDxfId="10489" totalsRowBorderDxfId="10487">
  <autoFilter ref="B287:H289" xr:uid="{F4E3A538-492E-4784-AEC0-007C319B3CA9}"/>
  <sortState xmlns:xlrd2="http://schemas.microsoft.com/office/spreadsheetml/2017/richdata2" ref="B288:H289">
    <sortCondition descending="1" ref="H48"/>
  </sortState>
  <tableColumns count="7">
    <tableColumn id="2" xr3:uid="{0241664C-2AB5-41EC-A939-7EEFB1AFEA03}" name="ArtÃ­culo" dataDxfId="10486" totalsRowDxfId="10485"/>
    <tableColumn id="3" xr3:uid="{751AEF7A-5E7C-48BE-BF0D-96FF4A84E2F6}" name="Unidad Medida" dataDxfId="10484" totalsRowDxfId="10483"/>
    <tableColumn id="4" xr3:uid="{25BFBC74-A296-424F-A46B-21C2EE61D994}" name="Unidades Netas" dataDxfId="10482" totalsRowDxfId="10481"/>
    <tableColumn id="1" xr3:uid="{7CDA5863-870A-4A51-BE13-148D25F54B63}" name="% Merma" dataDxfId="10480" totalsRowDxfId="10479"/>
    <tableColumn id="7" xr3:uid="{F756BF35-217B-48EE-956D-2900D8AB7050}" name="Unidades" dataDxfId="10478" totalsRowDxfId="10477"/>
    <tableColumn id="5" xr3:uid="{07187B17-2DCC-4D22-BCE5-20BD529E5EEC}" name="Coste Componente" dataDxfId="10476" totalsRowDxfId="10475" dataCellStyle="Moneda">
      <calculatedColumnFormula>+VLOOKUP(Tabla11034534544554564793638293294303[[#This Row],[ArtÃ­culo]],Tabla34[#All],3,0)</calculatedColumnFormula>
    </tableColumn>
    <tableColumn id="6" xr3:uid="{0EC49BA3-83B6-4043-ABF1-C8AC5CBCCA7C}" name="Coste LÃ­nea" totalsRowFunction="sum" dataDxfId="10474" totalsRowDxfId="10473" dataCellStyle="Moneda">
      <calculatedColumnFormula>+Tabla11034534544554564793638293294303[[#This Row],[Coste Componente]]*Tabla11034534544554564793638293294303[[#This Row],[Unidades]]</calculatedColumnFormula>
    </tableColumn>
  </tableColumns>
  <tableStyleInfo name="TableStyleLight8" showFirstColumn="0" showLastColumn="0" showRowStripes="1" showColumnStripes="0"/>
</table>
</file>

<file path=xl/tables/table5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0241E43F-836F-488B-8917-C2CC5A81109B}" name="Tabla11034534544554564793638293294303304" displayName="Tabla11034534544554564793638293294303304" ref="B298:H302" totalsRowCount="1" dataDxfId="10471" totalsRowDxfId="10469" headerRowBorderDxfId="10472" tableBorderDxfId="10470" totalsRowBorderDxfId="10468">
  <autoFilter ref="B298:H301" xr:uid="{A8FE3BD2-2F2F-4B47-9C30-88C806A775C9}"/>
  <sortState xmlns:xlrd2="http://schemas.microsoft.com/office/spreadsheetml/2017/richdata2" ref="B299:H301">
    <sortCondition descending="1" ref="H48"/>
  </sortState>
  <tableColumns count="7">
    <tableColumn id="2" xr3:uid="{C7B7159D-48D4-4FFA-8C7D-CDAA4AAD8046}" name="ArtÃ­culo" dataDxfId="10467" totalsRowDxfId="10466"/>
    <tableColumn id="3" xr3:uid="{05BE787A-DC07-4B8A-B184-A871E411278E}" name="Unidad Medida" dataDxfId="10465" totalsRowDxfId="10464"/>
    <tableColumn id="4" xr3:uid="{A75F3753-77BC-4875-8578-EA475ABD0927}" name="Unidades Netas" dataDxfId="10463" totalsRowDxfId="10462"/>
    <tableColumn id="1" xr3:uid="{F1014476-B07E-4B04-9575-30B814490A38}" name="% Merma" dataDxfId="10461" totalsRowDxfId="10460"/>
    <tableColumn id="7" xr3:uid="{9BE7D427-A703-49BF-9D14-C4C54151331B}" name="Unidades" dataDxfId="10459" totalsRowDxfId="10458"/>
    <tableColumn id="5" xr3:uid="{C580A245-A40C-4F02-8440-BDEC84BD98E2}" name="Coste Componente" dataDxfId="10457" totalsRowDxfId="10456" dataCellStyle="Moneda">
      <calculatedColumnFormula>+VLOOKUP(Tabla11034534544554564793638293294303304[[#This Row],[ArtÃ­culo]],Tabla34[#All],3,0)</calculatedColumnFormula>
    </tableColumn>
    <tableColumn id="6" xr3:uid="{4FA90B14-E87F-422D-9B9F-0FAE21B4B20F}" name="Coste LÃ­nea" totalsRowFunction="sum" dataDxfId="10455" totalsRowDxfId="10454" dataCellStyle="Moneda">
      <calculatedColumnFormula>+Tabla11034534544554564793638293294303304[[#This Row],[Coste Componente]]*Tabla11034534544554564793638293294303304[[#This Row],[Unidades]]</calculatedColumnFormula>
    </tableColumn>
  </tableColumns>
  <tableStyleInfo name="TableStyleLight8" showFirstColumn="0" showLastColumn="0" showRowStripes="1" showColumnStripes="0"/>
</table>
</file>

<file path=xl/tables/table5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9E5ACAEA-4A2E-408D-B57B-3579255BA1B0}" name="Tabla11034534544554564793638293294303305" displayName="Tabla11034534544554564793638293294303305" ref="B310:H313" totalsRowCount="1" dataDxfId="10452" totalsRowDxfId="10450" headerRowBorderDxfId="10453" tableBorderDxfId="10451" totalsRowBorderDxfId="10449">
  <autoFilter ref="B310:H312" xr:uid="{BC55AB60-6B5D-4E05-843A-6724103AAEE6}"/>
  <sortState xmlns:xlrd2="http://schemas.microsoft.com/office/spreadsheetml/2017/richdata2" ref="B311:H312">
    <sortCondition descending="1" ref="H48"/>
  </sortState>
  <tableColumns count="7">
    <tableColumn id="2" xr3:uid="{698187D2-7332-4CDF-9AC6-C2605C96ED44}" name="ArtÃ­culo" dataDxfId="10448" totalsRowDxfId="10447"/>
    <tableColumn id="3" xr3:uid="{2BBFE7FC-53E8-4D7C-9004-ABDD0D0030DD}" name="Unidad Medida" dataDxfId="10446" totalsRowDxfId="10445"/>
    <tableColumn id="4" xr3:uid="{950D5E7D-A8FA-467B-877A-F914F0740D99}" name="Unidades Netas" dataDxfId="10444" totalsRowDxfId="10443"/>
    <tableColumn id="1" xr3:uid="{ABE9399C-CAA6-4370-AFB4-A64D210AF7AE}" name="% Merma" dataDxfId="10442" totalsRowDxfId="10441"/>
    <tableColumn id="7" xr3:uid="{003FDA8C-E13C-4EC1-9404-5282527060CD}" name="Unidades" dataDxfId="10440" totalsRowDxfId="10439"/>
    <tableColumn id="5" xr3:uid="{041C7033-6881-497F-A35E-1990FAA67D47}" name="Coste Componente" dataDxfId="10438" totalsRowDxfId="10437" dataCellStyle="Moneda">
      <calculatedColumnFormula>+VLOOKUP(Tabla11034534544554564793638293294303305[[#This Row],[ArtÃ­culo]],Tabla34[#All],3,0)</calculatedColumnFormula>
    </tableColumn>
    <tableColumn id="6" xr3:uid="{4C580BD4-9EA2-4D1A-A2AD-61B273AA7227}" name="Coste LÃ­nea" totalsRowFunction="sum" dataDxfId="10436" totalsRowDxfId="10435" dataCellStyle="Moneda">
      <calculatedColumnFormula>+Tabla11034534544554564793638293294303305[[#This Row],[Coste Componente]]*Tabla11034534544554564793638293294303305[[#This Row],[Unidades]]</calculatedColumnFormula>
    </tableColumn>
  </tableColumns>
  <tableStyleInfo name="TableStyleLight8" showFirstColumn="0" showLastColumn="0" showRowStripes="1" showColumnStripes="0"/>
</table>
</file>

<file path=xl/tables/table5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5" xr:uid="{31B3A796-0D2C-4900-8E06-3E261806A6F5}" name="Tabla11034534544554564793638293294303304386" displayName="Tabla11034534544554564793638293294303304386" ref="B322:H327" totalsRowCount="1" dataDxfId="10433" totalsRowDxfId="10431" headerRowBorderDxfId="10434" tableBorderDxfId="10432" totalsRowBorderDxfId="10430">
  <autoFilter ref="B322:H326" xr:uid="{3BCEB242-3C8D-4F09-9F62-DF4CAE71C8B3}"/>
  <sortState xmlns:xlrd2="http://schemas.microsoft.com/office/spreadsheetml/2017/richdata2" ref="B323:H326">
    <sortCondition descending="1" ref="H324:H326"/>
  </sortState>
  <tableColumns count="7">
    <tableColumn id="2" xr3:uid="{FCC5493F-4B13-4516-A400-BCCD06DAA52A}" name="Columna1" dataDxfId="10429" totalsRowDxfId="10428"/>
    <tableColumn id="3" xr3:uid="{FD7A646E-4B4A-4751-B770-4F9C4993F7E0}" name="Columna2" dataDxfId="10427" totalsRowDxfId="10426"/>
    <tableColumn id="4" xr3:uid="{792B6DC8-FCC1-47BB-8F04-6BC51874AAE8}" name="Columna3" dataDxfId="10425" totalsRowDxfId="10424"/>
    <tableColumn id="1" xr3:uid="{82B3B3CA-9AAD-4825-87B9-C910DD48BD36}" name="Columna4" dataDxfId="10423" totalsRowDxfId="10422"/>
    <tableColumn id="7" xr3:uid="{62B08586-4FEA-4A20-A3CD-C0BFBDF4B2FF}" name="Columna5" dataDxfId="10421" totalsRowDxfId="10420"/>
    <tableColumn id="5" xr3:uid="{0152EEAC-82C6-4226-92B2-FD0C63FEA3C7}" name="Columna6" dataDxfId="10419" totalsRowDxfId="10418" dataCellStyle="Moneda">
      <calculatedColumnFormula>+VLOOKUP(Tabla11034534544554564793638293294303304386[[#This Row],[Columna1]],Tabla34[#All],3,0)</calculatedColumnFormula>
    </tableColumn>
    <tableColumn id="6" xr3:uid="{EDF10A2D-D7EF-4417-8D5D-A1FFCFD612E4}" name="Columna7" totalsRowFunction="sum" dataDxfId="10417" totalsRowDxfId="10416" dataCellStyle="Moneda">
      <calculatedColumnFormula>+Tabla11034534544554564793638293294303304386[[#This Row],[Columna6]]*Tabla11034534544554564793638293294303304386[[#This Row],[Columna5]]</calculatedColumnFormula>
    </tableColumn>
  </tableColumns>
  <tableStyleInfo name="TableStyleLight8" showFirstColumn="0" showLastColumn="0" showRowStripes="1" showColumnStripes="0"/>
</table>
</file>

<file path=xl/tables/table5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6" xr:uid="{38669988-CE05-4360-A51C-6D381A4BBCFD}" name="Tabla11034534544554564793638293294303304386387" displayName="Tabla11034534544554564793638293294303304386387" ref="B334:H337" totalsRowCount="1" dataDxfId="10414" totalsRowDxfId="10412" headerRowBorderDxfId="10415" tableBorderDxfId="10413" totalsRowBorderDxfId="10411">
  <autoFilter ref="B334:H336" xr:uid="{2EC5DECF-B3E7-4E30-B97F-55B0B40FC13D}"/>
  <sortState xmlns:xlrd2="http://schemas.microsoft.com/office/spreadsheetml/2017/richdata2" ref="B335:H336">
    <sortCondition descending="1" ref="H48"/>
  </sortState>
  <tableColumns count="7">
    <tableColumn id="2" xr3:uid="{30A2A877-1965-4B21-AA63-B822A8A8D328}" name="ArtÃ­culo" dataDxfId="10410" totalsRowDxfId="10409"/>
    <tableColumn id="3" xr3:uid="{449C0B0E-6094-401D-850B-88825F42EEE8}" name="Unidad Medida" dataDxfId="10408" totalsRowDxfId="10407"/>
    <tableColumn id="4" xr3:uid="{72519CA6-6801-4AD5-B6C1-2618FC6D0CD0}" name="Unidades Netas" dataDxfId="10406" totalsRowDxfId="10405"/>
    <tableColumn id="1" xr3:uid="{B87863C6-0C11-49FD-A9B0-61003AE293BA}" name="% Merma" dataDxfId="10404" totalsRowDxfId="10403"/>
    <tableColumn id="7" xr3:uid="{27447C3A-B777-49C2-AE9E-EF0D886DEA98}" name="Unidades" dataDxfId="10402" totalsRowDxfId="10401"/>
    <tableColumn id="5" xr3:uid="{0D630084-A5F6-4E99-A749-59D455976017}" name="Coste Componente" dataDxfId="10400" totalsRowDxfId="10399" dataCellStyle="Moneda">
      <calculatedColumnFormula>+VLOOKUP(Tabla11034534544554564793638293294303304386387[[#This Row],[ArtÃ­culo]],Tabla34[#All],3,0)</calculatedColumnFormula>
    </tableColumn>
    <tableColumn id="6" xr3:uid="{546480E0-636C-4554-99F8-DA5D47EA4FB5}" name="Coste LÃ­nea" totalsRowFunction="sum" dataDxfId="10398" totalsRowDxfId="10397" dataCellStyle="Moneda">
      <calculatedColumnFormula>+Tabla11034534544554564793638293294303304386387[[#This Row],[Coste Componente]]*Tabla11034534544554564793638293294303304386387[[#This Row],[Unidades]]</calculatedColumnFormula>
    </tableColumn>
  </tableColumns>
  <tableStyleInfo name="TableStyleLight8" showFirstColumn="0" showLastColumn="0" showRowStripes="1" showColumnStripes="0"/>
</table>
</file>

<file path=xl/tables/table5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7" xr:uid="{2BA6AE55-1812-41E1-BB03-6AEAD30464B8}" name="Tabla11034534544554564793638293294303304386387388" displayName="Tabla11034534544554564793638293294303304386387388" ref="B346:H350" totalsRowCount="1" dataDxfId="10395" totalsRowDxfId="10393" headerRowBorderDxfId="10396" tableBorderDxfId="10394" totalsRowBorderDxfId="10392">
  <autoFilter ref="B346:H349" xr:uid="{4F9E3ED4-26D0-48F8-B36B-8BF843416CD5}"/>
  <sortState xmlns:xlrd2="http://schemas.microsoft.com/office/spreadsheetml/2017/richdata2" ref="B347:H349">
    <sortCondition descending="1" ref="H348:H349"/>
  </sortState>
  <tableColumns count="7">
    <tableColumn id="2" xr3:uid="{9A2B1B81-D4ED-4B19-8C8D-0B4EDC070A49}" name="ArtÃ­culo" dataDxfId="10391" totalsRowDxfId="10390"/>
    <tableColumn id="3" xr3:uid="{1022E039-F5F4-4214-8810-EB7A1845E279}" name="Unidad Medida" dataDxfId="10389" totalsRowDxfId="10388"/>
    <tableColumn id="4" xr3:uid="{85A667BF-9423-47F3-9F85-71C82E768C06}" name="Unidades Netas" dataDxfId="10387" totalsRowDxfId="10386"/>
    <tableColumn id="1" xr3:uid="{7DFB5F6F-B66A-4D2D-89FE-E25307B109ED}" name="% Merma" dataDxfId="10385" totalsRowDxfId="10384"/>
    <tableColumn id="7" xr3:uid="{D314626C-4AEB-4BDD-8069-F34C280F3747}" name="Unidades" dataDxfId="10383" totalsRowDxfId="10382"/>
    <tableColumn id="5" xr3:uid="{494EB41C-113F-43E3-A41F-883DBBFB4F82}" name="Coste Componente" dataDxfId="10381" totalsRowDxfId="10380" dataCellStyle="Moneda">
      <calculatedColumnFormula>+VLOOKUP(Tabla11034534544554564793638293294303304386387388[[#This Row],[ArtÃ­culo]],Tabla34[#All],3,0)</calculatedColumnFormula>
    </tableColumn>
    <tableColumn id="6" xr3:uid="{A98D9E6F-285D-4707-A4A1-DA488E833AB9}" name="Coste LÃ­nea" totalsRowFunction="sum" dataDxfId="10379" totalsRowDxfId="10378" dataCellStyle="Moneda">
      <calculatedColumnFormula>+Tabla11034534544554564793638293294303304386387388[[#This Row],[Coste Componente]]*Tabla11034534544554564793638293294303304386387388[[#This Row],[Unidades]]</calculatedColumnFormula>
    </tableColumn>
  </tableColumns>
  <tableStyleInfo name="TableStyleLight8" showFirstColumn="0" showLastColumn="0" showRowStripes="1" showColumnStripes="0"/>
</table>
</file>

<file path=xl/tables/table5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8" xr:uid="{FEB3EB5C-32C1-4AF5-A19C-B7DE9DF7A179}" name="Tabla11034534544554564793638293294303304386387389" displayName="Tabla11034534544554564793638293294303304386387389" ref="B357:H360" totalsRowCount="1" dataDxfId="10376" totalsRowDxfId="10374" headerRowBorderDxfId="10377" tableBorderDxfId="10375" totalsRowBorderDxfId="10373">
  <autoFilter ref="B357:H359" xr:uid="{A0DC512C-FAFC-4F68-9D8D-5D2BF5EBED2E}"/>
  <sortState xmlns:xlrd2="http://schemas.microsoft.com/office/spreadsheetml/2017/richdata2" ref="B358:H359">
    <sortCondition descending="1" ref="H48"/>
  </sortState>
  <tableColumns count="7">
    <tableColumn id="2" xr3:uid="{0006D6D5-0A87-4788-AE89-E36C053FC288}" name="ArtÃ­culo" dataDxfId="10372" totalsRowDxfId="10371"/>
    <tableColumn id="3" xr3:uid="{980DD2C0-1366-4DFF-910E-B22A1CD5249C}" name="Unidad Medida" dataDxfId="10370" totalsRowDxfId="10369"/>
    <tableColumn id="4" xr3:uid="{C7D56FCA-9F9A-4F80-8508-023BA9316AB7}" name="Unidades Netas" dataDxfId="10368" totalsRowDxfId="10367"/>
    <tableColumn id="1" xr3:uid="{6495E53A-5605-4B6F-9D91-513282AE2523}" name="% Merma" dataDxfId="10366" totalsRowDxfId="10365"/>
    <tableColumn id="7" xr3:uid="{37D897C6-C16C-4974-878A-D2C4FF3700BE}" name="Unidades" dataDxfId="10364" totalsRowDxfId="10363"/>
    <tableColumn id="5" xr3:uid="{96037FE0-CD61-43F2-9910-14165D16F4A3}" name="Coste Componente" dataDxfId="10362" totalsRowDxfId="10361" dataCellStyle="Moneda">
      <calculatedColumnFormula>+VLOOKUP(Tabla11034534544554564793638293294303304386387389[[#This Row],[ArtÃ­culo]],Tabla34[#All],3,0)</calculatedColumnFormula>
    </tableColumn>
    <tableColumn id="6" xr3:uid="{A43DE750-A179-4A08-B4A4-550049D9E41A}" name="Coste LÃ­nea" totalsRowFunction="sum" dataDxfId="10360" totalsRowDxfId="10359" dataCellStyle="Moneda">
      <calculatedColumnFormula>+Tabla11034534544554564793638293294303304386387389[[#This Row],[Coste Componente]]*Tabla11034534544554564793638293294303304386387389[[#This Row],[Unidades]]</calculatedColumnFormula>
    </tableColumn>
  </tableColumns>
  <tableStyleInfo name="TableStyleLight8" showFirstColumn="0" showLastColumn="0" showRowStripes="1" showColumnStripes="0"/>
</table>
</file>

<file path=xl/tables/table5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9" xr:uid="{0671E0B9-DFEB-46A8-B25A-A76082E97254}" name="Tabla11034534544554564793638293294296390" displayName="Tabla11034534544554564793638293294296390" ref="B370:H376" totalsRowCount="1" dataDxfId="10357" totalsRowDxfId="10355" headerRowBorderDxfId="10358" tableBorderDxfId="10356" totalsRowBorderDxfId="10354">
  <autoFilter ref="B370:H375" xr:uid="{6F89B9B5-67BA-4419-92C2-BFFE565DE37C}"/>
  <sortState xmlns:xlrd2="http://schemas.microsoft.com/office/spreadsheetml/2017/richdata2" ref="B371:H375">
    <sortCondition descending="1" ref="H372:H375"/>
  </sortState>
  <tableColumns count="7">
    <tableColumn id="2" xr3:uid="{0B0D7B58-826A-4862-A867-D1E1ED63AD3D}" name="ArtÃ­culo" dataDxfId="10353" totalsRowDxfId="10352"/>
    <tableColumn id="3" xr3:uid="{E8E377C5-F831-42CA-A864-E77577E27369}" name="Unidad Medida" dataDxfId="10351" totalsRowDxfId="10350"/>
    <tableColumn id="4" xr3:uid="{798BC520-85E6-4BAD-9122-2D80ED7B0DA7}" name="Unidades Netas" dataDxfId="10349" totalsRowDxfId="10348"/>
    <tableColumn id="1" xr3:uid="{0EC7FC76-85BB-4A44-91E0-B315D19A5626}" name="% Merma" dataDxfId="10347" totalsRowDxfId="10346"/>
    <tableColumn id="7" xr3:uid="{926CF746-55C5-43AA-A99D-A1078C8A6648}" name="Unidades" dataDxfId="10345" totalsRowDxfId="10344"/>
    <tableColumn id="5" xr3:uid="{F7B76B64-6750-432D-B014-54A718D2252F}" name="Coste Componente" dataDxfId="10343" totalsRowDxfId="10342" dataCellStyle="Moneda">
      <calculatedColumnFormula>+VLOOKUP(Tabla11034534544554564793638293294296390[[#This Row],[ArtÃ­culo]],Tabla34[#All],3,0)</calculatedColumnFormula>
    </tableColumn>
    <tableColumn id="6" xr3:uid="{604692B7-89C5-4DC7-9FFB-ADC71D3889E1}" name="Coste LÃ­nea" totalsRowFunction="sum" dataDxfId="10341" totalsRowDxfId="10340" dataCellStyle="Moneda">
      <calculatedColumnFormula>+Tabla11034534544554564793638293294296390[[#This Row],[Coste Componente]]*Tabla11034534544554564793638293294296390[[#This Row],[Unidades]]</calculatedColumnFormula>
    </tableColumn>
  </tableColumns>
  <tableStyleInfo name="TableStyleLight8" showFirstColumn="0" showLastColumn="0" showRowStripes="1" showColumnStripes="0"/>
</table>
</file>

<file path=xl/tables/table5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4" xr:uid="{6B5C4C41-8AE3-4A1B-82E1-34EC390B6613}" name="Tabla11034534544554564793638293294296390375" displayName="Tabla11034534544554564793638293294296390375" ref="B386:H402" totalsRowCount="1" dataDxfId="10338" totalsRowDxfId="10336" headerRowBorderDxfId="10339" tableBorderDxfId="10337" totalsRowBorderDxfId="10335">
  <autoFilter ref="B386:H401" xr:uid="{6B5C4C41-8AE3-4A1B-82E1-34EC390B6613}"/>
  <sortState xmlns:xlrd2="http://schemas.microsoft.com/office/spreadsheetml/2017/richdata2" ref="B387:H401">
    <sortCondition descending="1" ref="H388:H401"/>
  </sortState>
  <tableColumns count="7">
    <tableColumn id="2" xr3:uid="{D997BCBE-1D4C-4A06-90A1-31A9D0AB8DB9}" name="ArtÃ­culo" dataDxfId="10334" totalsRowDxfId="10333"/>
    <tableColumn id="3" xr3:uid="{D4618456-4647-48B4-8A41-C9428F1D3568}" name="Unidad Medida" dataDxfId="10332" totalsRowDxfId="10331"/>
    <tableColumn id="4" xr3:uid="{DB2B92A5-45A6-419F-980C-0912159EF3FA}" name="Unidades Netas" dataDxfId="10330" totalsRowDxfId="10329"/>
    <tableColumn id="1" xr3:uid="{F9DA2D63-5B54-4E5C-B11C-6ABDC058DD13}" name="% Merma" dataDxfId="10328" totalsRowDxfId="10327"/>
    <tableColumn id="7" xr3:uid="{26C0F94A-8980-4266-AE0C-8D651D842FF2}" name="Unidades" dataDxfId="10326" totalsRowDxfId="10325"/>
    <tableColumn id="5" xr3:uid="{7E0C1A22-FA5A-4CDD-94F8-E2912A3A5388}" name="Coste Componente" dataDxfId="10324" totalsRowDxfId="10323" dataCellStyle="Moneda">
      <calculatedColumnFormula>+VLOOKUP(Tabla11034534544554564793638293294296390375[[#This Row],[ArtÃ­culo]],Tabla34[#All],3,0)</calculatedColumnFormula>
    </tableColumn>
    <tableColumn id="6" xr3:uid="{373AFC65-1F96-4880-B08D-5323877E8213}" name="Coste LÃ­nea" totalsRowFunction="sum" dataDxfId="10322" totalsRowDxfId="10321" dataCellStyle="Moneda">
      <calculatedColumnFormula>+Tabla11034534544554564793638293294296390375[[#This Row],[Coste Componente]]*Tabla11034534544554564793638293294296390375[[#This Row],[Unidades]]</calculatedColumnFormula>
    </tableColumn>
  </tableColumns>
  <tableStyleInfo name="TableStyleLight8" showFirstColumn="0" showLastColumn="0" showRowStripes="1" showColumnStripes="0"/>
</table>
</file>

<file path=xl/tables/table5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5" xr:uid="{6570264D-FA7C-4B86-AA3F-92C431066CE2}" name="Tabla11034534544554564793638293294296390375426" displayName="Tabla11034534544554564793638293294296390375426" ref="B408:H419" totalsRowCount="1" dataDxfId="10319" totalsRowDxfId="10317" headerRowBorderDxfId="10320" tableBorderDxfId="10318" totalsRowBorderDxfId="10316">
  <autoFilter ref="B408:H418" xr:uid="{6570264D-FA7C-4B86-AA3F-92C431066CE2}"/>
  <sortState xmlns:xlrd2="http://schemas.microsoft.com/office/spreadsheetml/2017/richdata2" ref="B409:H418">
    <sortCondition descending="1" ref="H413:H418"/>
  </sortState>
  <tableColumns count="7">
    <tableColumn id="2" xr3:uid="{DA5A4E9C-BFB6-42CA-9904-FED0EC57B888}" name="ArtÃ­culo" dataDxfId="10315" totalsRowDxfId="10314"/>
    <tableColumn id="3" xr3:uid="{095837C0-C01E-41C9-ACE2-F0987A781E33}" name="Unidad Medida" dataDxfId="10313" totalsRowDxfId="10312"/>
    <tableColumn id="4" xr3:uid="{1701FC67-FA02-4D5E-A8EA-F07495B42055}" name="Unidades Netas" dataDxfId="10311" totalsRowDxfId="10310"/>
    <tableColumn id="1" xr3:uid="{5716BE60-0EA6-46CF-B59A-1D0B196CBE7F}" name="% Merma" dataDxfId="10309" totalsRowDxfId="10308"/>
    <tableColumn id="7" xr3:uid="{912C6565-63D4-4DAB-B425-C755F898C18C}" name="Unidades" dataDxfId="10307" totalsRowDxfId="10306"/>
    <tableColumn id="5" xr3:uid="{2CF4C6D2-9AC0-4BFE-9030-2FF0E2C75EE6}" name="Coste Componente" dataDxfId="10305" totalsRowDxfId="10304" dataCellStyle="Moneda">
      <calculatedColumnFormula>+VLOOKUP(Tabla11034534544554564793638293294296390375426[[#This Row],[ArtÃ­culo]],Tabla34[#All],3,0)</calculatedColumnFormula>
    </tableColumn>
    <tableColumn id="6" xr3:uid="{F70E1682-C79E-46D1-8A00-D6B67A993862}" name="Coste LÃ­nea" totalsRowFunction="sum" dataDxfId="10303" totalsRowDxfId="10302" dataCellStyle="Moneda">
      <calculatedColumnFormula>+Tabla11034534544554564793638293294296390375426[[#This Row],[Coste Componente]]*Tabla11034534544554564793638293294296390375426[[#This Row],[Unidades]]</calculatedColumnFormula>
    </tableColumn>
  </tableColumns>
  <tableStyleInfo name="TableStyleLight8" showFirstColumn="0" showLastColumn="0" showRowStripes="1" showColumnStripes="0"/>
</table>
</file>

<file path=xl/tables/table5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7" xr:uid="{842B439A-E69E-4248-B2F9-DF58C7BB81CE}" name="Tabla11034534544554564793638293294296390375426428" displayName="Tabla11034534544554564793638293294296390375426428" ref="B424:H435" totalsRowCount="1" dataDxfId="10300" totalsRowDxfId="10298" headerRowBorderDxfId="10301" tableBorderDxfId="10299" totalsRowBorderDxfId="10297">
  <autoFilter ref="B424:H434" xr:uid="{842B439A-E69E-4248-B2F9-DF58C7BB81CE}"/>
  <sortState xmlns:xlrd2="http://schemas.microsoft.com/office/spreadsheetml/2017/richdata2" ref="B425:H434">
    <sortCondition descending="1" ref="H429:H434"/>
  </sortState>
  <tableColumns count="7">
    <tableColumn id="2" xr3:uid="{489F4932-881E-4A5D-89F1-C4656F1A4919}" name="ArtÃ­culo" dataDxfId="10296" totalsRowDxfId="10295"/>
    <tableColumn id="3" xr3:uid="{6E2D8DD4-F0DD-4DA9-BEB5-9DA26EF17CEE}" name="Unidad Medida" dataDxfId="10294" totalsRowDxfId="10293"/>
    <tableColumn id="4" xr3:uid="{6CAFD047-A45D-4061-9199-E2FE95557CAC}" name="Unidades Netas" dataDxfId="10292" totalsRowDxfId="10291"/>
    <tableColumn id="1" xr3:uid="{74EFCFE3-6AF6-4B68-93DD-C97EA7BF04CE}" name="% Merma" dataDxfId="10290" totalsRowDxfId="10289"/>
    <tableColumn id="7" xr3:uid="{9447B047-9D39-47DE-8505-E091363AD0D4}" name="Unidades" dataDxfId="10288" totalsRowDxfId="10287"/>
    <tableColumn id="5" xr3:uid="{8CF11393-8211-42DA-9009-A8D20DA0DF2B}" name="Coste Componente" dataDxfId="10286" totalsRowDxfId="10285" dataCellStyle="Moneda">
      <calculatedColumnFormula>+VLOOKUP(Tabla11034534544554564793638293294296390375426428[[#This Row],[ArtÃ­culo]],Tabla34[#All],3,0)</calculatedColumnFormula>
    </tableColumn>
    <tableColumn id="6" xr3:uid="{334C4337-CAD4-446B-BA41-6BC176BE6DF6}" name="Coste LÃ­nea" totalsRowFunction="sum" dataDxfId="10284" totalsRowDxfId="10283" dataCellStyle="Moneda">
      <calculatedColumnFormula>+Tabla11034534544554564793638293294296390375426428[[#This Row],[Coste Componente]]*Tabla11034534544554564793638293294296390375426428[[#This Row],[Unidades]]</calculatedColumnFormula>
    </tableColumn>
  </tableColumns>
  <tableStyleInfo name="TableStyleLight8" showFirstColumn="0" showLastColumn="0" showRowStripes="1" showColumnStripes="0"/>
</table>
</file>

<file path=xl/tables/table5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7" xr:uid="{7817313C-8FEE-4AAF-82F3-E2A4CADDA90A}" name="Tabla11034534544554564793638293294296390375426428438" displayName="Tabla11034534544554564793638293294296390375426428438" ref="B439:H450" totalsRowCount="1" dataDxfId="10281" totalsRowDxfId="10279" headerRowBorderDxfId="10282" tableBorderDxfId="10280" totalsRowBorderDxfId="10278">
  <autoFilter ref="B439:H449" xr:uid="{7817313C-8FEE-4AAF-82F3-E2A4CADDA90A}"/>
  <sortState xmlns:xlrd2="http://schemas.microsoft.com/office/spreadsheetml/2017/richdata2" ref="B440:H444">
    <sortCondition descending="1" ref="H48"/>
  </sortState>
  <tableColumns count="7">
    <tableColumn id="2" xr3:uid="{26218BE1-D635-4E4B-AAA8-35668CE338D3}" name="ArtÃ­culo" dataDxfId="10277" totalsRowDxfId="10276"/>
    <tableColumn id="3" xr3:uid="{919A453C-9FEC-4020-BAAF-6FCD04E7C61F}" name="Unidad Medida" dataDxfId="10275" totalsRowDxfId="10274"/>
    <tableColumn id="4" xr3:uid="{6BFB72BA-56C0-4714-822B-269735FA60AE}" name="Unidades Netas" dataDxfId="10273" totalsRowDxfId="10272"/>
    <tableColumn id="1" xr3:uid="{A1041513-E053-4CB4-83EE-3FDFF0DA54B3}" name="% Merma" dataDxfId="10271" totalsRowDxfId="10270"/>
    <tableColumn id="7" xr3:uid="{3D2D035E-A7B0-4461-8D15-7AD989591B3C}" name="Unidades" dataDxfId="10269" totalsRowDxfId="10268"/>
    <tableColumn id="5" xr3:uid="{A93B41D6-3221-43FB-A793-8ADC30260EF0}" name="Coste Componente" dataDxfId="10267" totalsRowDxfId="10266" dataCellStyle="Moneda">
      <calculatedColumnFormula>+VLOOKUP(Tabla11034534544554564793638293294296390375426428438[[#This Row],[ArtÃ­culo]],Tabla34[#All],3,0)</calculatedColumnFormula>
    </tableColumn>
    <tableColumn id="6" xr3:uid="{0EE0FF2C-D4E5-47C3-A002-666F35F0E9E8}" name="Coste LÃ­nea" totalsRowFunction="sum" dataDxfId="10265" totalsRowDxfId="10264" dataCellStyle="Moneda">
      <calculatedColumnFormula>+Tabla11034534544554564793638293294296390375426428438[[#This Row],[Coste Componente]]*Tabla11034534544554564793638293294296390375426428438[[#This Row],[Unidades]]</calculatedColumnFormula>
    </tableColumn>
  </tableColumns>
  <tableStyleInfo name="TableStyleLight8" showFirstColumn="0" showLastColumn="0" showRowStripes="1" showColumnStripes="0"/>
</table>
</file>

<file path=xl/tables/table5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8" xr:uid="{1816117C-81E0-42A9-AA91-C4297FD42F5D}" name="Tabla11034534544554564793638293294296390375426428438439" displayName="Tabla11034534544554564793638293294296390375426428438439" ref="B455:H469" totalsRowCount="1" dataDxfId="10262" totalsRowDxfId="10260" headerRowBorderDxfId="10263" tableBorderDxfId="10261" totalsRowBorderDxfId="10259">
  <autoFilter ref="B455:H468" xr:uid="{1816117C-81E0-42A9-AA91-C4297FD42F5D}"/>
  <sortState xmlns:xlrd2="http://schemas.microsoft.com/office/spreadsheetml/2017/richdata2" ref="B456:H468">
    <sortCondition descending="1" ref="H457:H468"/>
  </sortState>
  <tableColumns count="7">
    <tableColumn id="2" xr3:uid="{6B0EF5C4-B590-4D0E-B0DD-5967030FBAB8}" name="ArtÃ­culo" dataDxfId="10258" totalsRowDxfId="10257"/>
    <tableColumn id="3" xr3:uid="{D2E2ED7B-D225-48A6-AF17-39D410740D87}" name="Unidad Medida" dataDxfId="10256" totalsRowDxfId="10255"/>
    <tableColumn id="4" xr3:uid="{D7DC6E52-D487-4218-9CB3-34AB463043AF}" name="Unidades Netas" dataDxfId="10254" totalsRowDxfId="10253"/>
    <tableColumn id="1" xr3:uid="{B5C54362-F894-4F6C-BE8F-5E2DA265E292}" name="% Merma" dataDxfId="10252" totalsRowDxfId="10251"/>
    <tableColumn id="7" xr3:uid="{9DCE465D-46FE-4F58-9D6D-B42059D0D2AF}" name="Unidades" dataDxfId="10250" totalsRowDxfId="10249"/>
    <tableColumn id="5" xr3:uid="{A8B6A8D2-2384-4931-AF9E-AACA3BCBE98B}" name="Coste Componente" dataDxfId="10248" totalsRowDxfId="10247" dataCellStyle="Moneda">
      <calculatedColumnFormula>+VLOOKUP(Tabla11034534544554564793638293294296390375426428438439[[#This Row],[ArtÃ­culo]],Tabla34[#All],3,0)</calculatedColumnFormula>
    </tableColumn>
    <tableColumn id="6" xr3:uid="{A7BA29ED-EC0E-4172-A743-BB352D386DC4}" name="Coste LÃ­nea" totalsRowFunction="sum" dataDxfId="10246" totalsRowDxfId="10245" dataCellStyle="Moneda">
      <calculatedColumnFormula>+Tabla11034534544554564793638293294296390375426428438439[[#This Row],[Coste Componente]]*Tabla11034534544554564793638293294296390375426428438439[[#This Row],[Unidades]]</calculatedColumnFormula>
    </tableColumn>
  </tableColumns>
  <tableStyleInfo name="TableStyleLight8" showFirstColumn="0" showLastColumn="0" showRowStripes="1" showColumnStripes="0"/>
</table>
</file>

<file path=xl/tables/table5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8" xr:uid="{6DAB459D-A72A-4B1C-BB88-00E371CF7E2A}" name="Tabla461487182689" displayName="Tabla461487182689" ref="M6:M10" totalsRowShown="0" headerRowDxfId="3615" dataDxfId="3614" tableBorderDxfId="3613">
  <autoFilter ref="M6:M10" xr:uid="{6DAB459D-A72A-4B1C-BB88-00E371CF7E2A}"/>
  <tableColumns count="1">
    <tableColumn id="1" xr3:uid="{6C4A9301-E6AC-4632-8C13-45EF8FF23980}" name="Preparacion" dataDxfId="3612"/>
  </tableColumns>
  <tableStyleInfo showFirstColumn="0" showLastColumn="0" showRowStripes="1" showColumnStripes="0"/>
</table>
</file>

<file path=xl/tables/table5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9" xr:uid="{88A50BD7-4699-4071-99F7-9D416E477AF4}" name="Tabla461487182381690" displayName="Tabla461487182381690" ref="M12:M16" totalsRowShown="0" headerRowDxfId="3611" dataDxfId="3610" tableBorderDxfId="3609">
  <autoFilter ref="M12:M16" xr:uid="{88A50BD7-4699-4071-99F7-9D416E477AF4}"/>
  <tableColumns count="1">
    <tableColumn id="1" xr3:uid="{15EE043A-1359-4553-8231-CBF2FDF8CCF4}" name="Emplatado" dataDxfId="3608"/>
  </tableColumns>
  <tableStyleInfo showFirstColumn="0" showLastColumn="0" showRowStripes="1" showColumnStripes="0"/>
</table>
</file>

<file path=xl/tables/table5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0" xr:uid="{23231C7D-5EC5-4C18-BC36-FD520272F2FE}" name="Tabla461487182689691" displayName="Tabla461487182689691" ref="M25:M28" totalsRowShown="0" headerRowDxfId="3607" dataDxfId="3606" tableBorderDxfId="3605">
  <autoFilter ref="M25:M28" xr:uid="{23231C7D-5EC5-4C18-BC36-FD520272F2FE}"/>
  <tableColumns count="1">
    <tableColumn id="1" xr3:uid="{D8FE7F96-07B8-4398-8C31-EAF463251ABA}" name="Preparacion" dataDxfId="3604"/>
  </tableColumns>
  <tableStyleInfo showFirstColumn="0" showLastColumn="0" showRowStripes="1" showColumnStripes="0"/>
</table>
</file>

<file path=xl/tables/table5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1" xr:uid="{ABEEB465-E72F-491B-9470-821FD288A4EE}" name="Tabla461487182381690692" displayName="Tabla461487182381690692" ref="M30:M33" totalsRowShown="0" headerRowDxfId="3603" dataDxfId="3602" tableBorderDxfId="3601">
  <autoFilter ref="M30:M33" xr:uid="{ABEEB465-E72F-491B-9470-821FD288A4EE}"/>
  <tableColumns count="1">
    <tableColumn id="1" xr3:uid="{0777F421-73DC-445F-B05F-E0057AD0685D}" name="Emplatado" dataDxfId="3600"/>
  </tableColumns>
  <tableStyleInfo showFirstColumn="0" showLastColumn="0" showRowStripes="1" showColumnStripes="0"/>
</table>
</file>

<file path=xl/tables/table5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2" xr:uid="{8D6AD87B-4A67-4E6F-8190-C413319752D1}" name="Tabla461487182689693" displayName="Tabla461487182689693" ref="M46:M51" totalsRowShown="0" headerRowDxfId="3599" dataDxfId="3598" tableBorderDxfId="3597">
  <autoFilter ref="M46:M51" xr:uid="{8D6AD87B-4A67-4E6F-8190-C413319752D1}"/>
  <tableColumns count="1">
    <tableColumn id="1" xr3:uid="{D9F1D33B-C267-4A43-AB7B-0915FA1356C2}" name="Preparacion" dataDxfId="3596"/>
  </tableColumns>
  <tableStyleInfo showFirstColumn="0" showLastColumn="0" showRowStripes="1" showColumnStripes="0"/>
</table>
</file>

<file path=xl/tables/table5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3" xr:uid="{58A61038-7B45-41F0-A665-23C4FC4F2B9F}" name="Tabla461487182381690694" displayName="Tabla461487182381690694" ref="M53:M56" totalsRowShown="0" headerRowDxfId="3595" dataDxfId="3594" tableBorderDxfId="3593">
  <autoFilter ref="M53:M56" xr:uid="{58A61038-7B45-41F0-A665-23C4FC4F2B9F}"/>
  <tableColumns count="1">
    <tableColumn id="1" xr3:uid="{4F6675E8-1E07-4795-BE79-6CD03E4E49AC}" name="Emplatado" dataDxfId="3592"/>
  </tableColumns>
  <tableStyleInfo showFirstColumn="0" showLastColumn="0" showRowStripes="1" showColumnStripes="0"/>
</table>
</file>

<file path=xl/tables/table5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4" xr:uid="{447DAC9F-C154-4E51-9D52-4654276D1BF6}" name="Tabla461487182689695" displayName="Tabla461487182689695" ref="M63:M67" totalsRowShown="0" headerRowDxfId="3591" dataDxfId="3590" tableBorderDxfId="3589">
  <autoFilter ref="M63:M67" xr:uid="{447DAC9F-C154-4E51-9D52-4654276D1BF6}"/>
  <tableColumns count="1">
    <tableColumn id="1" xr3:uid="{BEE3420F-9311-42DE-9E0B-6D6BB4E52804}" name="Preparacion" dataDxfId="3588"/>
  </tableColumns>
  <tableStyleInfo showFirstColumn="0" showLastColumn="0" showRowStripes="1" showColumnStripes="0"/>
</table>
</file>

<file path=xl/tables/table5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5" xr:uid="{4E9B2564-49C7-4EFF-A185-1FB03C2EEEEE}" name="Tabla461487182381690696" displayName="Tabla461487182381690696" ref="M69:M72" totalsRowShown="0" headerRowDxfId="3587" dataDxfId="3586" tableBorderDxfId="3585">
  <autoFilter ref="M69:M72" xr:uid="{4E9B2564-49C7-4EFF-A185-1FB03C2EEEEE}"/>
  <tableColumns count="1">
    <tableColumn id="1" xr3:uid="{FF6B9966-B998-407B-BF9B-69039AC111EC}" name="Emplatado" dataDxfId="3584"/>
  </tableColumns>
  <tableStyleInfo showFirstColumn="0" showLastColumn="0" showRowStripes="1" showColumnStripes="0"/>
</table>
</file>

<file path=xl/tables/table5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6" xr:uid="{A1C506E2-3ED2-43B5-9450-4B59CA095E81}" name="Tabla461487182689697" displayName="Tabla461487182689697" ref="M81:M87" totalsRowShown="0" headerRowDxfId="3583" dataDxfId="3582" tableBorderDxfId="3581">
  <autoFilter ref="M81:M87" xr:uid="{A1C506E2-3ED2-43B5-9450-4B59CA095E81}"/>
  <tableColumns count="1">
    <tableColumn id="1" xr3:uid="{B0009DF2-5B71-4A0B-947F-AB2A86E70056}" name="Preparacion" dataDxfId="3580"/>
  </tableColumns>
  <tableStyleInfo showFirstColumn="0" showLastColumn="0" showRowStripes="1" showColumnStripes="0"/>
</table>
</file>

<file path=xl/tables/table5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7" xr:uid="{ADA567BF-7712-4FF9-9E49-FA12CC0A097E}" name="Tabla461487182381690698" displayName="Tabla461487182381690698" ref="M89:M92" totalsRowShown="0" headerRowDxfId="3579" dataDxfId="3578" tableBorderDxfId="3577">
  <autoFilter ref="M89:M92" xr:uid="{ADA567BF-7712-4FF9-9E49-FA12CC0A097E}"/>
  <tableColumns count="1">
    <tableColumn id="1" xr3:uid="{58DE4BD8-4BA3-4C36-A433-8A7AE99D8402}" name="Emplatado" dataDxfId="3576"/>
  </tableColumns>
  <tableStyleInfo showFirstColumn="0" showLastColumn="0" showRowStripes="1" showColumnStripes="0"/>
</table>
</file>

<file path=xl/tables/table5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8" xr:uid="{7A09F4D9-2694-4613-90F4-30B828DE6BFE}" name="Tabla461487182689699" displayName="Tabla461487182689699" ref="M98:M99" totalsRowShown="0" headerRowDxfId="3575" dataDxfId="3574" tableBorderDxfId="3573">
  <autoFilter ref="M98:M99" xr:uid="{7A09F4D9-2694-4613-90F4-30B828DE6BFE}"/>
  <tableColumns count="1">
    <tableColumn id="1" xr3:uid="{3B29771D-16FF-43E9-BACC-6CD53995082F}" name="Preparacion" dataDxfId="3572"/>
  </tableColumns>
  <tableStyleInfo showFirstColumn="0" showLastColumn="0" showRowStripes="1" showColumnStripes="0"/>
</table>
</file>

<file path=xl/tables/table5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9" xr:uid="{0DE18BD9-9164-4B16-B2EF-40C33B0287A5}" name="Tabla461487182381690700" displayName="Tabla461487182381690700" ref="M101:M103" totalsRowShown="0" headerRowDxfId="3571" dataDxfId="3570" tableBorderDxfId="3569">
  <autoFilter ref="M101:M103" xr:uid="{0DE18BD9-9164-4B16-B2EF-40C33B0287A5}"/>
  <tableColumns count="1">
    <tableColumn id="1" xr3:uid="{AAD5E33A-5CC5-4375-BB93-A5DB73156768}" name="Emplatado" dataDxfId="3568"/>
  </tableColumns>
  <tableStyleInfo showFirstColumn="0" showLastColumn="0" showRowStripes="1" showColumnStripes="0"/>
</table>
</file>

<file path=xl/tables/table5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0" xr:uid="{4B3E8CE0-BE62-4E41-8D43-D4AF9E498A70}" name="Tabla461487182689701" displayName="Tabla461487182689701" ref="M109:M114" totalsRowShown="0" headerRowDxfId="3567" dataDxfId="3566" tableBorderDxfId="3565">
  <autoFilter ref="M109:M114" xr:uid="{4B3E8CE0-BE62-4E41-8D43-D4AF9E498A70}"/>
  <tableColumns count="1">
    <tableColumn id="1" xr3:uid="{2AD1A795-DE64-4E15-93FC-55BB7B15DA54}" name="Preparacion" dataDxfId="3564"/>
  </tableColumns>
  <tableStyleInfo showFirstColumn="0" showLastColumn="0" showRowStripes="1" showColumnStripes="0"/>
</table>
</file>

<file path=xl/tables/table5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1" xr:uid="{56473864-0068-4666-9109-9B7905C5691B}" name="Tabla461487182381690702" displayName="Tabla461487182381690702" ref="M116:M119" totalsRowShown="0" headerRowDxfId="3563" dataDxfId="3562" tableBorderDxfId="3561">
  <autoFilter ref="M116:M119" xr:uid="{56473864-0068-4666-9109-9B7905C5691B}"/>
  <tableColumns count="1">
    <tableColumn id="1" xr3:uid="{9369C653-3DBB-4DA5-A4CB-1FA13AD15E05}" name="Emplatado" dataDxfId="3560"/>
  </tableColumns>
  <tableStyleInfo showFirstColumn="0" showLastColumn="0" showRowStripes="1" showColumnStripes="0"/>
</table>
</file>

<file path=xl/tables/table5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2" xr:uid="{1830AAA0-EA29-492D-B83D-CD2001099776}" name="Tabla461487182689703" displayName="Tabla461487182689703" ref="M126:M128" totalsRowShown="0" headerRowDxfId="3559" dataDxfId="3558" tableBorderDxfId="3557">
  <autoFilter ref="M126:M128" xr:uid="{1830AAA0-EA29-492D-B83D-CD2001099776}"/>
  <tableColumns count="1">
    <tableColumn id="1" xr3:uid="{28326595-E307-4CE6-811E-01FB821C8ED4}" name="Preparacion" dataDxfId="3556"/>
  </tableColumns>
  <tableStyleInfo showFirstColumn="0" showLastColumn="0" showRowStripes="1" showColumnStripes="0"/>
</table>
</file>

<file path=xl/tables/table5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3" xr:uid="{0854DC3A-C4BF-443D-94CB-AEE574616948}" name="Tabla461487182381690704" displayName="Tabla461487182381690704" ref="M132:M136" totalsRowShown="0" headerRowDxfId="3555" dataDxfId="3554" tableBorderDxfId="3553">
  <autoFilter ref="M132:M136" xr:uid="{0854DC3A-C4BF-443D-94CB-AEE574616948}"/>
  <tableColumns count="1">
    <tableColumn id="1" xr3:uid="{7200E616-0AA4-4E63-8DA6-D1CFF9A16B79}" name="Emplatado" dataDxfId="3552"/>
  </tableColumns>
  <tableStyleInfo showFirstColumn="0" showLastColumn="0" showRowStripes="1" showColumnStripes="0"/>
</table>
</file>

<file path=xl/tables/table5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6" xr:uid="{0590E64B-57E9-40E6-9EE5-641B7A1E68A5}" name="Tabla461487182689707" displayName="Tabla461487182689707" ref="M140:M144" totalsRowShown="0" headerRowDxfId="3551" dataDxfId="3550" tableBorderDxfId="3549">
  <autoFilter ref="M140:M144" xr:uid="{0590E64B-57E9-40E6-9EE5-641B7A1E68A5}"/>
  <tableColumns count="1">
    <tableColumn id="1" xr3:uid="{E3790400-DEB3-4119-BAC0-889DD12A238F}" name="Preparacion" dataDxfId="3548"/>
  </tableColumns>
  <tableStyleInfo showFirstColumn="0" showLastColumn="0" showRowStripes="1" showColumnStripes="0"/>
</table>
</file>

<file path=xl/tables/table5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7" xr:uid="{74BA108A-DFDB-4F00-880B-60D7EB680287}" name="Tabla461487182381690708" displayName="Tabla461487182381690708" ref="M146:M150" totalsRowShown="0" headerRowDxfId="3547" dataDxfId="3546" tableBorderDxfId="3545">
  <autoFilter ref="M146:M150" xr:uid="{74BA108A-DFDB-4F00-880B-60D7EB680287}"/>
  <tableColumns count="1">
    <tableColumn id="1" xr3:uid="{04E57633-8B01-4872-8887-BB981E58B9E5}" name="Emplatado" dataDxfId="3544"/>
  </tableColumns>
  <tableStyleInfo showFirstColumn="0" showLastColumn="0" showRowStripes="1" showColumnStripes="0"/>
</table>
</file>

<file path=xl/tables/table5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8" xr:uid="{4D483E2C-9808-470D-83B0-D520F2C1E824}" name="Tabla461487182689709" displayName="Tabla461487182689709" ref="M156:M159" totalsRowShown="0" headerRowDxfId="3543" dataDxfId="3542" tableBorderDxfId="3541">
  <autoFilter ref="M156:M159" xr:uid="{4D483E2C-9808-470D-83B0-D520F2C1E824}"/>
  <tableColumns count="1">
    <tableColumn id="1" xr3:uid="{D9A18CF7-91B9-4CDB-ACF8-67461C687DDC}" name="Preparacion" dataDxfId="3540"/>
  </tableColumns>
  <tableStyleInfo showFirstColumn="0" showLastColumn="0" showRowStripes="1" showColumnStripes="0"/>
</table>
</file>

<file path=xl/tables/table5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9" xr:uid="{7E632452-D471-47E8-B5A6-D5FCA424FFF6}" name="Tabla461487182381690710" displayName="Tabla461487182381690710" ref="M162:M165" totalsRowShown="0" headerRowDxfId="3539" dataDxfId="3538" tableBorderDxfId="3537">
  <autoFilter ref="M162:M165" xr:uid="{7E632452-D471-47E8-B5A6-D5FCA424FFF6}"/>
  <tableColumns count="1">
    <tableColumn id="1" xr3:uid="{9FBDD18A-8179-4FE2-B587-8A3C9E1526AA}" name="Emplatado" dataDxfId="3536"/>
  </tableColumns>
  <tableStyleInfo showFirstColumn="0" showLastColumn="0" showRowStripes="1" showColumnStripes="0"/>
</table>
</file>

<file path=xl/tables/table5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0" xr:uid="{8BFDA7F1-8DFF-4DB4-8143-F175D6D7A1B6}" name="Tabla461487182689711" displayName="Tabla461487182689711" ref="M171:M176" totalsRowShown="0" headerRowDxfId="3535" dataDxfId="3534" tableBorderDxfId="3533">
  <autoFilter ref="M171:M176" xr:uid="{8BFDA7F1-8DFF-4DB4-8143-F175D6D7A1B6}"/>
  <tableColumns count="1">
    <tableColumn id="1" xr3:uid="{EAA20CAE-411B-4910-8C6E-F4872AC90A8D}" name="Preparacion" dataDxfId="3532"/>
  </tableColumns>
  <tableStyleInfo showFirstColumn="0" showLastColumn="0" showRowStripes="1" showColumnStripes="0"/>
</table>
</file>

<file path=xl/tables/table5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1" xr:uid="{87951292-38E3-4008-B29F-31211AE7845C}" name="Tabla461487182381690712" displayName="Tabla461487182381690712" ref="M178:M182" totalsRowShown="0" headerRowDxfId="3531" dataDxfId="3530" tableBorderDxfId="3529">
  <autoFilter ref="M178:M182" xr:uid="{87951292-38E3-4008-B29F-31211AE7845C}"/>
  <tableColumns count="1">
    <tableColumn id="1" xr3:uid="{2CB18777-1855-43C7-B05F-E4B94ED42C49}" name="Emplatado" dataDxfId="3528"/>
  </tableColumns>
  <tableStyleInfo showFirstColumn="0" showLastColumn="0" showRowStripes="1" showColumnStripes="0"/>
</table>
</file>

<file path=xl/tables/table5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2" xr:uid="{026724BC-28CF-4E6F-8D55-7E498603AC02}" name="Tabla461487182689713" displayName="Tabla461487182689713" ref="M189:M193" totalsRowShown="0" headerRowDxfId="3527" dataDxfId="3526" tableBorderDxfId="3525">
  <autoFilter ref="M189:M193" xr:uid="{026724BC-28CF-4E6F-8D55-7E498603AC02}"/>
  <tableColumns count="1">
    <tableColumn id="1" xr3:uid="{C7903134-4CB3-4C78-AAEF-341B26B47F4D}" name="Preparacion" dataDxfId="3524"/>
  </tableColumns>
  <tableStyleInfo showFirstColumn="0" showLastColumn="0" showRowStripes="1" showColumnStripes="0"/>
</table>
</file>

<file path=xl/tables/table5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3" xr:uid="{6AD6ED28-7373-492C-852A-DEE053309E0D}" name="Tabla461487182381690714" displayName="Tabla461487182381690714" ref="M195:M199" totalsRowShown="0" headerRowDxfId="3523" dataDxfId="3522" tableBorderDxfId="3521">
  <autoFilter ref="M195:M199" xr:uid="{6AD6ED28-7373-492C-852A-DEE053309E0D}"/>
  <tableColumns count="1">
    <tableColumn id="1" xr3:uid="{C8E36D98-CB5C-4641-9C15-CDD92349ED4E}" name="Emplatado" dataDxfId="3520"/>
  </tableColumns>
  <tableStyleInfo showFirstColumn="0" showLastColumn="0" showRowStripes="1" showColumnStripes="0"/>
</table>
</file>

<file path=xl/tables/table5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4" xr:uid="{9BEB4B9C-0DAE-47C5-8B68-EE85EE42C260}" name="Tabla461487182689715" displayName="Tabla461487182689715" ref="M206:M210" totalsRowShown="0" headerRowDxfId="3519" dataDxfId="3518" tableBorderDxfId="3517">
  <autoFilter ref="M206:M210" xr:uid="{9BEB4B9C-0DAE-47C5-8B68-EE85EE42C260}"/>
  <tableColumns count="1">
    <tableColumn id="1" xr3:uid="{14114193-3EEB-47B2-8307-BA54330AA2F9}" name="Preparacion" dataDxfId="3516"/>
  </tableColumns>
  <tableStyleInfo showFirstColumn="0" showLastColumn="0" showRowStripes="1" showColumnStripes="0"/>
</table>
</file>

<file path=xl/tables/table5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5" xr:uid="{F1BE273F-6F33-4C40-A4CE-448626BD5F29}" name="Tabla461487182381690716" displayName="Tabla461487182381690716" ref="M212:M216" totalsRowShown="0" headerRowDxfId="3515" dataDxfId="3514" tableBorderDxfId="3513">
  <autoFilter ref="M212:M216" xr:uid="{F1BE273F-6F33-4C40-A4CE-448626BD5F29}"/>
  <tableColumns count="1">
    <tableColumn id="1" xr3:uid="{F8A052C1-CF79-44E8-A42B-132CF7ABF985}" name="Emplatado" dataDxfId="3512"/>
  </tableColumns>
  <tableStyleInfo showFirstColumn="0" showLastColumn="0" showRowStripes="1" showColumnStripes="0"/>
</table>
</file>

<file path=xl/tables/table5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6" xr:uid="{29D88CB0-F58E-49C6-9A9A-C62F9C8C2C76}" name="Tabla461487182689717" displayName="Tabla461487182689717" ref="M221:M225" totalsRowShown="0" headerRowDxfId="3511" dataDxfId="3510" tableBorderDxfId="3509">
  <autoFilter ref="M221:M225" xr:uid="{29D88CB0-F58E-49C6-9A9A-C62F9C8C2C76}"/>
  <tableColumns count="1">
    <tableColumn id="1" xr3:uid="{3FE67729-F8FD-4DC3-B32D-9DF2A9C6CB46}" name="Preparacion" dataDxfId="3508"/>
  </tableColumns>
  <tableStyleInfo showFirstColumn="0" showLastColumn="0" showRowStripes="1" showColumnStripes="0"/>
</table>
</file>

<file path=xl/tables/table5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7" xr:uid="{9A2465EE-4264-4499-B545-0EAED2FE1F35}" name="Tabla461487182381690718" displayName="Tabla461487182381690718" ref="M227:M231" totalsRowShown="0" headerRowDxfId="3507" dataDxfId="3506" tableBorderDxfId="3505">
  <autoFilter ref="M227:M231" xr:uid="{9A2465EE-4264-4499-B545-0EAED2FE1F35}"/>
  <tableColumns count="1">
    <tableColumn id="1" xr3:uid="{2F43691B-866B-4266-9FFE-7B546484FE00}" name="Emplatado" dataDxfId="3504"/>
  </tableColumns>
  <tableStyleInfo showFirstColumn="0" showLastColumn="0" showRowStripes="1" showColumnStripes="0"/>
</table>
</file>

<file path=xl/tables/table5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8" xr:uid="{59502A31-F4A5-4A3A-B08B-2947BF30452C}" name="Tabla461487182689719" displayName="Tabla461487182689719" ref="M233:M238" totalsRowShown="0" headerRowDxfId="3503" dataDxfId="3502" tableBorderDxfId="3501">
  <autoFilter ref="M233:M238" xr:uid="{59502A31-F4A5-4A3A-B08B-2947BF30452C}"/>
  <tableColumns count="1">
    <tableColumn id="1" xr3:uid="{D8FD6883-CD58-493B-9D7A-A07A5D9846FE}" name="Preparacion" dataDxfId="3500"/>
  </tableColumns>
  <tableStyleInfo showFirstColumn="0" showLastColumn="0" showRowStripes="1" showColumnStripes="0"/>
</table>
</file>

<file path=xl/tables/table5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9" xr:uid="{385522DE-A3A7-4060-AC9E-5BCDB9FBDCC6}" name="Tabla461487182381690720" displayName="Tabla461487182381690720" ref="M240:M243" totalsRowShown="0" headerRowDxfId="3499" dataDxfId="3498" tableBorderDxfId="3497">
  <autoFilter ref="M240:M243" xr:uid="{385522DE-A3A7-4060-AC9E-5BCDB9FBDCC6}"/>
  <tableColumns count="1">
    <tableColumn id="1" xr3:uid="{6A1029DB-3734-484A-98E6-93082E42FD5C}" name="Emplatado" dataDxfId="3496"/>
  </tableColumns>
  <tableStyleInfo showFirstColumn="0" showLastColumn="0" showRowStripes="1" showColumnStripes="0"/>
</table>
</file>

<file path=xl/tables/table5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0" xr:uid="{A86652AC-B356-47F5-AA3E-18264A2E3FD2}" name="Tabla461487182689721" displayName="Tabla461487182689721" ref="M252:M256" totalsRowShown="0" headerRowDxfId="3495" dataDxfId="3494" tableBorderDxfId="3493">
  <autoFilter ref="M252:M256" xr:uid="{A86652AC-B356-47F5-AA3E-18264A2E3FD2}"/>
  <tableColumns count="1">
    <tableColumn id="1" xr3:uid="{19563BF8-8B2C-4136-9678-EF915C276248}" name="Preparacion" dataDxfId="3492"/>
  </tableColumns>
  <tableStyleInfo showFirstColumn="0" showLastColumn="0" showRowStripes="1" showColumnStripes="0"/>
</table>
</file>

<file path=xl/tables/table5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1" xr:uid="{1C1E9462-08D0-4B49-92C2-F82CD9BAAB1F}" name="Tabla461487182381690722" displayName="Tabla461487182381690722" ref="M258:M261" totalsRowShown="0" headerRowDxfId="3491" dataDxfId="3490" tableBorderDxfId="3489">
  <autoFilter ref="M258:M261" xr:uid="{1C1E9462-08D0-4B49-92C2-F82CD9BAAB1F}"/>
  <tableColumns count="1">
    <tableColumn id="1" xr3:uid="{C0121600-B101-4D55-A164-C9AC33929C87}" name="Emplatado" dataDxfId="3488"/>
  </tableColumns>
  <tableStyleInfo showFirstColumn="0" showLastColumn="0" showRowStripes="1" showColumnStripes="0"/>
</table>
</file>

<file path=xl/tables/table5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2" xr:uid="{296483B5-FD40-4561-950F-7EF4F207F952}" name="Tabla461487182689721723" displayName="Tabla461487182689721723" ref="M263:M267" totalsRowShown="0" headerRowDxfId="3487" dataDxfId="3486" tableBorderDxfId="3485">
  <autoFilter ref="M263:M267" xr:uid="{296483B5-FD40-4561-950F-7EF4F207F952}"/>
  <tableColumns count="1">
    <tableColumn id="1" xr3:uid="{EC28F7EE-DFB2-4A37-9562-FB58C36CEDDD}" name="Preparacion" dataDxfId="3484"/>
  </tableColumns>
  <tableStyleInfo showFirstColumn="0" showLastColumn="0" showRowStripes="1" showColumnStripes="0"/>
</table>
</file>

<file path=xl/tables/table5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3" xr:uid="{08C1CCD5-B7CD-492C-AAFD-1E3F3A7C98D0}" name="Tabla461487182381690722724" displayName="Tabla461487182381690722724" ref="M269:M272" totalsRowShown="0" headerRowDxfId="3483" dataDxfId="3482" tableBorderDxfId="3481">
  <autoFilter ref="M269:M272" xr:uid="{08C1CCD5-B7CD-492C-AAFD-1E3F3A7C98D0}"/>
  <tableColumns count="1">
    <tableColumn id="1" xr3:uid="{0234595A-7A57-4AFB-9ECB-2B0EE80111E9}" name="Emplatado" dataDxfId="3480"/>
  </tableColumns>
  <tableStyleInfo showFirstColumn="0" showLastColumn="0" showRowStripes="1" showColumnStripes="0"/>
</table>
</file>

<file path=xl/tables/table5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4" xr:uid="{E3087D4F-5C89-40B9-B3DD-4DBA10E6177F}" name="Tabla461487182689721725" displayName="Tabla461487182689721725" ref="M274:M278" totalsRowShown="0" headerRowDxfId="3479" dataDxfId="3478" tableBorderDxfId="3477">
  <autoFilter ref="M274:M278" xr:uid="{E3087D4F-5C89-40B9-B3DD-4DBA10E6177F}"/>
  <tableColumns count="1">
    <tableColumn id="1" xr3:uid="{90507248-987E-445C-A6B4-E1347C0F9E2C}" name="Preparacion" dataDxfId="3476"/>
  </tableColumns>
  <tableStyleInfo showFirstColumn="0" showLastColumn="0" showRowStripes="1" showColumnStripes="0"/>
</table>
</file>

<file path=xl/tables/table5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5" xr:uid="{0EA0B08A-D8D5-4B69-8DC2-3EF98DD2F063}" name="Tabla461487182381690722726" displayName="Tabla461487182381690722726" ref="M280:M283" totalsRowShown="0" headerRowDxfId="3475" dataDxfId="3474" tableBorderDxfId="3473">
  <autoFilter ref="M280:M283" xr:uid="{0EA0B08A-D8D5-4B69-8DC2-3EF98DD2F063}"/>
  <tableColumns count="1">
    <tableColumn id="1" xr3:uid="{048790E3-4C2F-49D3-B266-54C28E84BF22}" name="Emplatado" dataDxfId="3472"/>
  </tableColumns>
  <tableStyleInfo showFirstColumn="0" showLastColumn="0" showRowStripes="1" showColumnStripes="0"/>
</table>
</file>

<file path=xl/tables/table5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6" xr:uid="{EC952E93-4781-483D-BBA6-1E8FBF802404}" name="Tabla461487182689721727" displayName="Tabla461487182689721727" ref="M287:M291" totalsRowShown="0" headerRowDxfId="3471" dataDxfId="3470" tableBorderDxfId="3469">
  <autoFilter ref="M287:M291" xr:uid="{EC952E93-4781-483D-BBA6-1E8FBF802404}"/>
  <tableColumns count="1">
    <tableColumn id="1" xr3:uid="{C1DB4541-B65B-4DC2-9A25-369239D91E7D}" name="Preparacion" dataDxfId="3468"/>
  </tableColumns>
  <tableStyleInfo showFirstColumn="0" showLastColumn="0" showRowStripes="1" showColumnStripes="0"/>
</table>
</file>

<file path=xl/tables/table5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7" xr:uid="{9CF9459C-28C5-4094-B0C6-2FAD84281B3B}" name="Tabla461487182381690722728" displayName="Tabla461487182381690722728" ref="M293:M296" totalsRowShown="0" headerRowDxfId="3467" dataDxfId="3466" tableBorderDxfId="3465">
  <autoFilter ref="M293:M296" xr:uid="{9CF9459C-28C5-4094-B0C6-2FAD84281B3B}"/>
  <tableColumns count="1">
    <tableColumn id="1" xr3:uid="{58473255-8B30-4262-9659-2B82F15E32F0}" name="Emplatado" dataDxfId="3464"/>
  </tableColumns>
  <tableStyleInfo showFirstColumn="0" showLastColumn="0" showRowStripes="1" showColumnStripes="0"/>
</table>
</file>

<file path=xl/tables/table5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8" xr:uid="{7F41EBDF-8A51-40EA-81B5-0E44A4968F21}" name="Tabla461487182689721729" displayName="Tabla461487182689721729" ref="M298:M302" totalsRowShown="0" headerRowDxfId="3463" dataDxfId="3462" tableBorderDxfId="3461">
  <autoFilter ref="M298:M302" xr:uid="{7F41EBDF-8A51-40EA-81B5-0E44A4968F21}"/>
  <tableColumns count="1">
    <tableColumn id="1" xr3:uid="{29290966-4E5D-4158-A3D2-13A4BBC0BE5F}" name="Preparacion" dataDxfId="3460"/>
  </tableColumns>
  <tableStyleInfo showFirstColumn="0" showLastColumn="0" showRowStripes="1" showColumnStripes="0"/>
</table>
</file>

<file path=xl/tables/table5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9" xr:uid="{3556E8C6-0387-48C9-B450-F06055AD1709}" name="Tabla461487182381690722730" displayName="Tabla461487182381690722730" ref="M304:M307" totalsRowShown="0" headerRowDxfId="3459" dataDxfId="3458" tableBorderDxfId="3457">
  <autoFilter ref="M304:M307" xr:uid="{3556E8C6-0387-48C9-B450-F06055AD1709}"/>
  <tableColumns count="1">
    <tableColumn id="1" xr3:uid="{A3F2A593-DCE3-4ADA-88DC-385B043575E8}" name="Emplatado" dataDxfId="3456"/>
  </tableColumns>
  <tableStyleInfo showFirstColumn="0" showLastColumn="0" showRowStripes="1" showColumnStripes="0"/>
</table>
</file>

<file path=xl/tables/table5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0" xr:uid="{FEA8700D-3C5F-480D-8E99-1BB6A7151341}" name="Tabla461487182689721731" displayName="Tabla461487182689721731" ref="M310:M314" totalsRowShown="0" headerRowDxfId="3455" dataDxfId="3454" tableBorderDxfId="3453">
  <autoFilter ref="M310:M314" xr:uid="{FEA8700D-3C5F-480D-8E99-1BB6A7151341}"/>
  <tableColumns count="1">
    <tableColumn id="1" xr3:uid="{D0F07C77-D194-4B7E-A0B8-315273A90819}" name="Preparacion" dataDxfId="3452"/>
  </tableColumns>
  <tableStyleInfo showFirstColumn="0" showLastColumn="0" showRowStripes="1" showColumnStripes="0"/>
</table>
</file>

<file path=xl/tables/table5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1" xr:uid="{5667E0AF-0709-4AE2-9F15-4D14CEF0EBCE}" name="Tabla461487182381690722732" displayName="Tabla461487182381690722732" ref="M316:M319" totalsRowShown="0" headerRowDxfId="3451" dataDxfId="3450" tableBorderDxfId="3449">
  <autoFilter ref="M316:M319" xr:uid="{5667E0AF-0709-4AE2-9F15-4D14CEF0EBCE}"/>
  <tableColumns count="1">
    <tableColumn id="1" xr3:uid="{33C2F061-7D4E-4DD7-8385-B1389ECA4203}" name="Emplatado" dataDxfId="3448"/>
  </tableColumns>
  <tableStyleInfo showFirstColumn="0" showLastColumn="0" showRowStripes="1" showColumnStripes="0"/>
</table>
</file>

<file path=xl/tables/table5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2" xr:uid="{05D791FB-0812-4E6A-9DCB-BBF45950DDC7}" name="Tabla461487182689721733" displayName="Tabla461487182689721733" ref="M322:M326" totalsRowShown="0" headerRowDxfId="3447" dataDxfId="3446" tableBorderDxfId="3445">
  <autoFilter ref="M322:M326" xr:uid="{05D791FB-0812-4E6A-9DCB-BBF45950DDC7}"/>
  <tableColumns count="1">
    <tableColumn id="1" xr3:uid="{F0353677-D625-457C-8E9F-BAA775AE0296}" name="Preparacion" dataDxfId="3444"/>
  </tableColumns>
  <tableStyleInfo showFirstColumn="0" showLastColumn="0" showRowStripes="1" showColumnStripes="0"/>
</table>
</file>

<file path=xl/tables/table5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3" xr:uid="{E975909F-790C-4C59-BD46-E38B2F949D6B}" name="Tabla461487182381690722734" displayName="Tabla461487182381690722734" ref="M328:M331" totalsRowShown="0" headerRowDxfId="3443" dataDxfId="3442" tableBorderDxfId="3441">
  <autoFilter ref="M328:M331" xr:uid="{E975909F-790C-4C59-BD46-E38B2F949D6B}"/>
  <tableColumns count="1">
    <tableColumn id="1" xr3:uid="{4AE97EF4-5689-46B5-B8C0-A922518AD8D5}" name="Emplatado" dataDxfId="3440"/>
  </tableColumns>
  <tableStyleInfo showFirstColumn="0" showLastColumn="0" showRowStripes="1" showColumnStripes="0"/>
</table>
</file>

<file path=xl/tables/table5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6" xr:uid="{08F82B87-C41F-41DA-90A6-F4CEA47D7FB0}" name="Tabla461487182689721737" displayName="Tabla461487182689721737" ref="M334:M338" totalsRowShown="0" headerRowDxfId="3439" dataDxfId="3438" tableBorderDxfId="3437">
  <autoFilter ref="M334:M338" xr:uid="{08F82B87-C41F-41DA-90A6-F4CEA47D7FB0}"/>
  <tableColumns count="1">
    <tableColumn id="1" xr3:uid="{60C1B796-094E-4536-AC3A-E66824822920}" name="Preparacion" dataDxfId="3436"/>
  </tableColumns>
  <tableStyleInfo showFirstColumn="0" showLastColumn="0" showRowStripes="1" showColumnStripes="0"/>
</table>
</file>

<file path=xl/tables/table5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7" xr:uid="{9A04582B-66FF-4D37-8FE1-3250A1B47478}" name="Tabla461487182381690722738" displayName="Tabla461487182381690722738" ref="M340:M343" totalsRowShown="0" headerRowDxfId="3435" dataDxfId="3434" tableBorderDxfId="3433">
  <autoFilter ref="M340:M343" xr:uid="{9A04582B-66FF-4D37-8FE1-3250A1B47478}"/>
  <tableColumns count="1">
    <tableColumn id="1" xr3:uid="{D265C8E1-A424-45FF-BC9E-9D9D748CF5D2}" name="Emplatado" dataDxfId="3432"/>
  </tableColumns>
  <tableStyleInfo showFirstColumn="0" showLastColumn="0" showRowStripes="1" showColumnStripes="0"/>
</table>
</file>

<file path=xl/tables/table5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8" xr:uid="{4088BAB3-A8C0-4B63-9B0B-FAE489EDDE73}" name="Tabla461487182689721739" displayName="Tabla461487182689721739" ref="M346:M350" totalsRowShown="0" headerRowDxfId="3431" dataDxfId="3430" tableBorderDxfId="3429">
  <autoFilter ref="M346:M350" xr:uid="{4088BAB3-A8C0-4B63-9B0B-FAE489EDDE73}"/>
  <tableColumns count="1">
    <tableColumn id="1" xr3:uid="{3ECEE1E0-CCB9-4946-B7C7-6CC87AADC8A5}" name="Preparacion" dataDxfId="3428"/>
  </tableColumns>
  <tableStyleInfo showFirstColumn="0" showLastColumn="0" showRowStripes="1" showColumnStripes="0"/>
</table>
</file>

<file path=xl/tables/table5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9" xr:uid="{193CC994-2AA9-4528-AEBA-4A16752E583F}" name="Tabla461487182381690722740" displayName="Tabla461487182381690722740" ref="M352:M355" totalsRowShown="0" headerRowDxfId="3427" dataDxfId="3426" tableBorderDxfId="3425">
  <autoFilter ref="M352:M355" xr:uid="{193CC994-2AA9-4528-AEBA-4A16752E583F}"/>
  <tableColumns count="1">
    <tableColumn id="1" xr3:uid="{41E12D5B-35E3-49D6-A5EB-AF5A3C3A1ED0}" name="Emplatado" dataDxfId="3424"/>
  </tableColumns>
  <tableStyleInfo showFirstColumn="0" showLastColumn="0" showRowStripes="1" showColumnStripes="0"/>
</table>
</file>

<file path=xl/tables/table5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0" xr:uid="{9D2EC386-4645-46FD-9605-41169753D1CA}" name="Tabla461487182689721741" displayName="Tabla461487182689721741" ref="M357:M361" totalsRowShown="0" headerRowDxfId="3423" dataDxfId="3422" tableBorderDxfId="3421">
  <autoFilter ref="M357:M361" xr:uid="{9D2EC386-4645-46FD-9605-41169753D1CA}"/>
  <tableColumns count="1">
    <tableColumn id="1" xr3:uid="{86785063-5852-4DD4-9617-D98FD93E0916}" name="Preparacion" dataDxfId="3420"/>
  </tableColumns>
  <tableStyleInfo showFirstColumn="0" showLastColumn="0" showRowStripes="1" showColumnStripes="0"/>
</table>
</file>

<file path=xl/tables/table5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1" xr:uid="{04CBB2DA-DBF5-4D39-B555-9DDF57B70E0D}" name="Tabla461487182381690722742" displayName="Tabla461487182381690722742" ref="M363:M366" totalsRowShown="0" headerRowDxfId="3419" dataDxfId="3418" tableBorderDxfId="3417">
  <autoFilter ref="M363:M366" xr:uid="{04CBB2DA-DBF5-4D39-B555-9DDF57B70E0D}"/>
  <tableColumns count="1">
    <tableColumn id="1" xr3:uid="{6AF02AA4-9AC6-440C-B649-92AF8ADA319D}" name="Emplatado" dataDxfId="3416"/>
  </tableColumns>
  <tableStyleInfo showFirstColumn="0" showLastColumn="0" showRowStripes="1" showColumnStripes="0"/>
</table>
</file>

<file path=xl/tables/table5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2" xr:uid="{D8C273AB-6D99-4FA5-A977-A74EE88D1124}" name="Tabla461487182689721743" displayName="Tabla461487182689721743" ref="M370:M374" totalsRowShown="0" headerRowDxfId="3415" dataDxfId="3414" tableBorderDxfId="3413">
  <autoFilter ref="M370:M374" xr:uid="{D8C273AB-6D99-4FA5-A977-A74EE88D1124}"/>
  <tableColumns count="1">
    <tableColumn id="1" xr3:uid="{A2B8E854-DE7D-460F-9B85-D4F799BD3A91}" name="Preparacion" dataDxfId="3412"/>
  </tableColumns>
  <tableStyleInfo showFirstColumn="0" showLastColumn="0" showRowStripes="1" showColumnStripes="0"/>
</table>
</file>

<file path=xl/tables/table5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3" xr:uid="{EE39AD39-D448-4599-ABDF-B5943E397973}" name="Tabla461487182381690722744" displayName="Tabla461487182381690722744" ref="M376:M379" totalsRowShown="0" headerRowDxfId="3411" dataDxfId="3410" tableBorderDxfId="3409">
  <autoFilter ref="M376:M379" xr:uid="{EE39AD39-D448-4599-ABDF-B5943E397973}"/>
  <tableColumns count="1">
    <tableColumn id="1" xr3:uid="{6EF1CB2C-88DE-4898-8403-6E70B4544A3D}" name="Emplatado" dataDxfId="3408"/>
  </tableColumns>
  <tableStyleInfo showFirstColumn="0" showLastColumn="0" showRowStripes="1" showColumnStripes="0"/>
</table>
</file>

<file path=xl/tables/table5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4" xr:uid="{7CEEB16A-363A-4276-A369-AF282A9312A7}" name="Tabla461487182689721745" displayName="Tabla461487182689721745" ref="M386:M389" totalsRowShown="0" headerRowDxfId="3407" dataDxfId="3406" tableBorderDxfId="3405">
  <autoFilter ref="M386:M389" xr:uid="{7CEEB16A-363A-4276-A369-AF282A9312A7}"/>
  <tableColumns count="1">
    <tableColumn id="1" xr3:uid="{4E8A06A5-3DBD-4BBF-BDBF-6EF0180EA90C}" name="Preparacion" dataDxfId="3404"/>
  </tableColumns>
  <tableStyleInfo showFirstColumn="0" showLastColumn="0" showRowStripes="1" showColumnStripes="0"/>
</table>
</file>

<file path=xl/tables/table5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5" xr:uid="{252030F3-936A-4480-B074-28FFBCA23932}" name="Tabla461487182381690722746" displayName="Tabla461487182381690722746" ref="M391:M394" totalsRowShown="0" headerRowDxfId="3403" dataDxfId="3402" tableBorderDxfId="3401">
  <autoFilter ref="M391:M394" xr:uid="{252030F3-936A-4480-B074-28FFBCA23932}"/>
  <tableColumns count="1">
    <tableColumn id="1" xr3:uid="{E4E742A0-4CF9-46C1-A46D-1E32E2762D52}" name="Emplatado" dataDxfId="3400"/>
  </tableColumns>
  <tableStyleInfo showFirstColumn="0" showLastColumn="0" showRowStripes="1" showColumnStripes="0"/>
</table>
</file>

<file path=xl/tables/table5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6" xr:uid="{BAE54EBD-FB4B-4A23-A38D-657FB6A04CB2}" name="Tabla461487182689721747" displayName="Tabla461487182689721747" ref="M407:M411" totalsRowShown="0" headerRowDxfId="3399" dataDxfId="3398" tableBorderDxfId="3397">
  <autoFilter ref="M407:M411" xr:uid="{BAE54EBD-FB4B-4A23-A38D-657FB6A04CB2}"/>
  <tableColumns count="1">
    <tableColumn id="1" xr3:uid="{DA633E76-46DD-4D0A-A8BE-6191512B1BC7}" name="Preparacion" dataDxfId="3396"/>
  </tableColumns>
  <tableStyleInfo showFirstColumn="0" showLastColumn="0" showRowStripes="1" showColumnStripes="0"/>
</table>
</file>

<file path=xl/tables/table5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7" xr:uid="{FD38C43C-FEF8-44C3-9DAE-82E728E8E00D}" name="Tabla461487182381690722748" displayName="Tabla461487182381690722748" ref="M413:M414" totalsRowShown="0" headerRowDxfId="3395" dataDxfId="3394" tableBorderDxfId="3393">
  <autoFilter ref="M413:M414" xr:uid="{FD38C43C-FEF8-44C3-9DAE-82E728E8E00D}"/>
  <tableColumns count="1">
    <tableColumn id="1" xr3:uid="{1BF9D487-9459-40E1-A3B2-145B5601091E}" name="Emplatado" dataDxfId="3392"/>
  </tableColumns>
  <tableStyleInfo showFirstColumn="0" showLastColumn="0" showRowStripes="1" showColumnStripes="0"/>
</table>
</file>

<file path=xl/tables/table5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8" xr:uid="{C80BC774-FA57-43B1-8631-7EB0D2B60A55}" name="Tabla461487182689721749" displayName="Tabla461487182689721749" ref="M423:M427" totalsRowShown="0" headerRowDxfId="3391" dataDxfId="3390" tableBorderDxfId="3389">
  <autoFilter ref="M423:M427" xr:uid="{C80BC774-FA57-43B1-8631-7EB0D2B60A55}"/>
  <tableColumns count="1">
    <tableColumn id="1" xr3:uid="{C87E8972-AE31-4EAB-923B-8C5759FBE779}" name="Preparacion" dataDxfId="3388"/>
  </tableColumns>
  <tableStyleInfo showFirstColumn="0" showLastColumn="0" showRowStripes="1" showColumnStripes="0"/>
</table>
</file>

<file path=xl/tables/table5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9" xr:uid="{E8181FBA-9D87-447C-8449-7F90F919D12F}" name="Tabla461487182381690722750" displayName="Tabla461487182381690722750" ref="M429:M431" totalsRowShown="0" headerRowDxfId="3387" dataDxfId="3386" tableBorderDxfId="3385">
  <autoFilter ref="M429:M431" xr:uid="{E8181FBA-9D87-447C-8449-7F90F919D12F}"/>
  <tableColumns count="1">
    <tableColumn id="1" xr3:uid="{EA2E251A-6B58-4CD1-A596-334A51CB229A}" name="Emplatado" dataDxfId="3384"/>
  </tableColumns>
  <tableStyleInfo showFirstColumn="0" showLastColumn="0" showRowStripes="1" showColumnStripes="0"/>
</table>
</file>

<file path=xl/tables/table5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0" xr:uid="{7819D71D-9558-4AAF-9749-D05989B11276}" name="Tabla461487182689721751" displayName="Tabla461487182689721751" ref="M438:M442" totalsRowShown="0" headerRowDxfId="3383" dataDxfId="3382" tableBorderDxfId="3381">
  <autoFilter ref="M438:M442" xr:uid="{7819D71D-9558-4AAF-9749-D05989B11276}"/>
  <tableColumns count="1">
    <tableColumn id="1" xr3:uid="{6BB2949C-27A7-4A2D-AAFE-860AEDF27B68}" name="Preparacion" dataDxfId="3380"/>
  </tableColumns>
  <tableStyleInfo showFirstColumn="0" showLastColumn="0" showRowStripes="1" showColumnStripes="0"/>
</table>
</file>

<file path=xl/tables/table5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1" xr:uid="{C39A5640-57DE-4B31-BBD0-A5354B9AA64D}" name="Tabla461487182381690722752" displayName="Tabla461487182381690722752" ref="M444:M447" totalsRowShown="0" headerRowDxfId="3379" dataDxfId="3378" tableBorderDxfId="3377">
  <autoFilter ref="M444:M447" xr:uid="{C39A5640-57DE-4B31-BBD0-A5354B9AA64D}"/>
  <tableColumns count="1">
    <tableColumn id="1" xr3:uid="{D128D6AE-9277-4706-A743-68E1E14E0DA5}" name="Emplatado" dataDxfId="3376"/>
  </tableColumns>
  <tableStyleInfo showFirstColumn="0" showLastColumn="0" showRowStripes="1" showColumnStripes="0"/>
</table>
</file>

<file path=xl/tables/table5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2" xr:uid="{A549C831-E20A-4620-820D-19EE31A5C90C}" name="Tabla461487182689721753" displayName="Tabla461487182689721753" ref="M454:M458" totalsRowShown="0" headerRowDxfId="3375" dataDxfId="3374" tableBorderDxfId="3373">
  <autoFilter ref="M454:M458" xr:uid="{A549C831-E20A-4620-820D-19EE31A5C90C}"/>
  <tableColumns count="1">
    <tableColumn id="1" xr3:uid="{521C4DED-17DE-40D3-8853-9004C728A6BF}" name="Preparacion" dataDxfId="3372"/>
  </tableColumns>
  <tableStyleInfo showFirstColumn="0" showLastColumn="0" showRowStripes="1" showColumnStripes="0"/>
</table>
</file>

<file path=xl/tables/table5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3" xr:uid="{CB3B7E19-7F40-4F38-B937-04D98A809722}" name="Tabla461487182381690722754" displayName="Tabla461487182381690722754" ref="M460:M463" totalsRowShown="0" headerRowDxfId="3371" dataDxfId="3370" tableBorderDxfId="3369">
  <autoFilter ref="M460:M463" xr:uid="{CB3B7E19-7F40-4F38-B937-04D98A809722}"/>
  <tableColumns count="1">
    <tableColumn id="1" xr3:uid="{BADADCCC-36D8-4DBF-9733-956CE103DAA4}" name="Emplatado" dataDxfId="3368"/>
  </tableColumns>
  <tableStyleInfo showFirstColumn="0" showLastColumn="0" showRowStripes="1" showColumnStripes="0"/>
</table>
</file>

<file path=xl/tables/table5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8" xr:uid="{CF2D3CA2-2297-4835-8825-9C3AD7ACF6EC}" name="Tabla1103453454455456479455868778695108117127136228237459" displayName="Tabla1103453454455456479455868778695108117127136228237459" ref="B7:H17" totalsRowCount="1" headerRowDxfId="10244" dataDxfId="10242" totalsRowDxfId="10240" headerRowBorderDxfId="10243" tableBorderDxfId="10241" totalsRowBorderDxfId="10239">
  <autoFilter ref="B7:H16" xr:uid="{25E24D6A-940D-4437-B263-679AE371D044}"/>
  <sortState xmlns:xlrd2="http://schemas.microsoft.com/office/spreadsheetml/2017/richdata2" ref="B8:H16">
    <sortCondition descending="1" ref="H10:H16"/>
  </sortState>
  <tableColumns count="7">
    <tableColumn id="2" xr3:uid="{E005AF1A-EA97-4FC8-8733-C94EF59A8D32}" name="ArtÃ­culo" dataDxfId="10238" totalsRowDxfId="10237"/>
    <tableColumn id="3" xr3:uid="{CC0D12D8-88FB-4086-8B4B-32F8231F0F98}" name="Unidad Medida" dataDxfId="10236" totalsRowDxfId="10235"/>
    <tableColumn id="4" xr3:uid="{C73414D2-B3E0-4C53-A5E8-C598BEE60F04}" name="Unidades Netas" dataDxfId="10234" totalsRowDxfId="10233"/>
    <tableColumn id="1" xr3:uid="{91293943-C640-44D8-B525-72D633DF52DB}" name="% Merma" dataDxfId="10232" totalsRowDxfId="10231"/>
    <tableColumn id="7" xr3:uid="{DC152097-3637-4A2C-886B-41371FB045EA}" name="Unidades" dataDxfId="10230" totalsRowDxfId="10229"/>
    <tableColumn id="5" xr3:uid="{D40F77E6-240F-4DCE-BB23-E9BF46A582A8}" name="Coste Componente" dataDxfId="10228" totalsRowDxfId="10227" dataCellStyle="Moneda">
      <calculatedColumnFormula>+VLOOKUP(Tabla1103453454455456479455868778695108117127136228237459[[#This Row],[ArtÃ­culo]],Tabla34[#All],3,0)</calculatedColumnFormula>
    </tableColumn>
    <tableColumn id="6" xr3:uid="{FF2D28A2-0BA7-4E7D-A769-D9EA2A9E53A6}" name="Coste LÃ­nea" totalsRowFunction="sum" dataDxfId="10226" totalsRowDxfId="10225" dataCellStyle="Moneda">
      <calculatedColumnFormula>+Tabla1103453454455456479455868778695108117127136228237459[[#This Row],[Coste Componente]]*Tabla1103453454455456479455868778695108117127136228237459[[#This Row],[Unidades]]</calculatedColumnFormula>
    </tableColumn>
  </tableColumns>
  <tableStyleInfo name="TableStyleLight8" showFirstColumn="0" showLastColumn="0" showRowStripes="1" showColumnStripes="0"/>
</table>
</file>

<file path=xl/tables/table5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6" xr:uid="{4650466B-42D3-4F54-B5DB-19FC21012914}" name="Tabla110345345445545647936445366768594103116125135144236245266467" displayName="Tabla110345345445545647936445366768594103116125135144236245266467" ref="B21:H29" totalsRowCount="1" headerRowDxfId="10224" dataDxfId="10222" totalsRowDxfId="10220" headerRowBorderDxfId="10223" tableBorderDxfId="10221" totalsRowBorderDxfId="10219">
  <autoFilter ref="B21:H28" xr:uid="{F3888AFE-864F-441D-AAC8-21F91AB9722A}"/>
  <sortState xmlns:xlrd2="http://schemas.microsoft.com/office/spreadsheetml/2017/richdata2" ref="B22:H28">
    <sortCondition descending="1" ref="H24:H28"/>
  </sortState>
  <tableColumns count="7">
    <tableColumn id="2" xr3:uid="{AA04A33D-6858-49F9-9D79-8B688C401DA3}" name="ArtÃ­culo" dataDxfId="10218" totalsRowDxfId="10217"/>
    <tableColumn id="3" xr3:uid="{D4282E29-3767-4CA7-9E60-0F8599E3FE4F}" name="Unidad Medida" dataDxfId="10216" totalsRowDxfId="10215"/>
    <tableColumn id="4" xr3:uid="{A1F89EE3-6712-4B40-9498-D3512C5D11A7}" name="Unidades Netas" dataDxfId="10214" totalsRowDxfId="10213"/>
    <tableColumn id="1" xr3:uid="{51D5C240-6FEE-4C17-87DF-6779123B8203}" name="% Merma" dataDxfId="10212" totalsRowDxfId="10211"/>
    <tableColumn id="7" xr3:uid="{5065F9E1-9D7F-490E-B4D8-6C6242C0EF6E}" name="Unidades" dataDxfId="10210" totalsRowDxfId="10209"/>
    <tableColumn id="5" xr3:uid="{891A694F-BB54-43C4-930F-0395E4DE0271}" name="Coste Componente" dataDxfId="10208" totalsRowDxfId="10207" dataCellStyle="Moneda">
      <calculatedColumnFormula>+VLOOKUP(Tabla110345345445545647936445366768594103116125135144236245266467[[#This Row],[ArtÃ­culo]],Tabla34[#All],3,0)</calculatedColumnFormula>
    </tableColumn>
    <tableColumn id="6" xr3:uid="{3AD07502-4DF6-4E3C-8480-204BA0AE47AB}" name="Coste LÃ­nea" totalsRowFunction="sum" dataDxfId="10206" totalsRowDxfId="10205" dataCellStyle="Moneda">
      <calculatedColumnFormula>+Tabla110345345445545647936445366768594103116125135144236245266467[[#This Row],[Coste Componente]]*Tabla110345345445545647936445366768594103116125135144236245266467[[#This Row],[Unidades]]</calculatedColumnFormula>
    </tableColumn>
  </tableColumns>
  <tableStyleInfo name="TableStyleLight8" showFirstColumn="0" showLastColumn="0" showRowStripes="1" showColumnStripes="0"/>
</table>
</file>

<file path=xl/tables/table6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8" xr:uid="{19AEA3F1-88D2-46CA-A789-9ED819E4EF38}" name="Tabla110345345445545647936445366768594103116125135144236245266267469" displayName="Tabla110345345445545647936445366768594103116125135144236245266267469" ref="B32:H39" totalsRowCount="1" headerRowDxfId="10204" dataDxfId="10202" totalsRowDxfId="10200" headerRowBorderDxfId="10203" tableBorderDxfId="10201" totalsRowBorderDxfId="10199">
  <autoFilter ref="B32:H38" xr:uid="{0C309117-D4D4-4EAD-B251-F8F03306CDD6}"/>
  <sortState xmlns:xlrd2="http://schemas.microsoft.com/office/spreadsheetml/2017/richdata2" ref="B33:H38">
    <sortCondition descending="1" ref="H34:H38"/>
  </sortState>
  <tableColumns count="7">
    <tableColumn id="2" xr3:uid="{2C80DAD7-BE49-45E7-9DC8-B37DA759082E}" name="ArtÃ­culo" dataDxfId="10198" totalsRowDxfId="10197"/>
    <tableColumn id="3" xr3:uid="{59AD0D8F-D6A4-4531-B777-4247669D4A0A}" name="Unidad Medida" dataDxfId="10196" totalsRowDxfId="10195"/>
    <tableColumn id="4" xr3:uid="{E324F7A7-366C-4F79-BCAC-1D03790C3A9E}" name="Unidades Netas" dataDxfId="10194" totalsRowDxfId="10193"/>
    <tableColumn id="1" xr3:uid="{60FAB627-6E19-4BED-8658-12CEBE55006E}" name="% Merma" dataDxfId="10192" totalsRowDxfId="10191"/>
    <tableColumn id="7" xr3:uid="{120264C5-36B0-4946-925C-0B5C5865B954}" name="Unidades" dataDxfId="10190" totalsRowDxfId="10189"/>
    <tableColumn id="5" xr3:uid="{57572AAF-03AC-4256-8290-A2A915922A36}" name="Coste Componente" dataDxfId="10188" totalsRowDxfId="10187" dataCellStyle="Moneda">
      <calculatedColumnFormula>+VLOOKUP(Tabla110345345445545647936445366768594103116125135144236245266267469[[#This Row],[ArtÃ­culo]],Tabla34[#All],3,0)</calculatedColumnFormula>
    </tableColumn>
    <tableColumn id="6" xr3:uid="{AE844C39-A838-4DAF-92A5-07D7BD53DA7C}" name="Coste LÃ­nea" totalsRowFunction="sum" dataDxfId="10186" totalsRowDxfId="10185" dataCellStyle="Moneda">
      <calculatedColumnFormula>+Tabla110345345445545647936445366768594103116125135144236245266267469[[#This Row],[Coste Componente]]*Tabla110345345445545647936445366768594103116125135144236245266267469[[#This Row],[Unidades]]</calculatedColumnFormula>
    </tableColumn>
  </tableColumns>
  <tableStyleInfo name="TableStyleLight8" showFirstColumn="0" showLastColumn="0" showRowStripes="1" showColumnStripes="0"/>
</table>
</file>

<file path=xl/tables/table6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9" xr:uid="{501D6C55-6FBF-4BB2-A8CF-DD9EFDBB058B}" name="Tabla110345345445545647936445366768594103116125135144236245266267351470" displayName="Tabla110345345445545647936445366768594103116125135144236245266267351470" ref="B43:H51" totalsRowCount="1" headerRowDxfId="10184" dataDxfId="10182" totalsRowDxfId="10180" headerRowBorderDxfId="10183" tableBorderDxfId="10181" totalsRowBorderDxfId="10179">
  <autoFilter ref="B43:H50" xr:uid="{A9E6C748-90B6-4A76-B131-46247CD22B5E}"/>
  <sortState xmlns:xlrd2="http://schemas.microsoft.com/office/spreadsheetml/2017/richdata2" ref="B44:H50">
    <sortCondition descending="1" ref="H48:H50"/>
  </sortState>
  <tableColumns count="7">
    <tableColumn id="2" xr3:uid="{39B923A0-A5FD-42C1-85F9-0072F53E0E21}" name="ArtÃ­culo" dataDxfId="10178" totalsRowDxfId="10177"/>
    <tableColumn id="3" xr3:uid="{B73FB497-30A7-4075-9589-A89CD5985173}" name="Unidad Medida" dataDxfId="10176" totalsRowDxfId="10175"/>
    <tableColumn id="4" xr3:uid="{73920CF2-5804-4163-AEE3-ADA7FABB2CB3}" name="Unidades Netas" dataDxfId="10174" totalsRowDxfId="10173"/>
    <tableColumn id="1" xr3:uid="{FB1D0E81-53A4-499A-825E-240C99A0CFDC}" name="% Merma" dataDxfId="10172" totalsRowDxfId="10171"/>
    <tableColumn id="7" xr3:uid="{13A6991B-4FE6-4716-A7FA-182C35F91605}" name="Unidades" dataDxfId="10170" totalsRowDxfId="10169"/>
    <tableColumn id="5" xr3:uid="{E16678C3-DC6E-4923-921B-06C0CFBFE916}" name="Coste Componente" dataDxfId="10168" totalsRowDxfId="10167" dataCellStyle="Moneda">
      <calculatedColumnFormula>+VLOOKUP(Tabla110345345445545647936445366768594103116125135144236245266267351470[[#This Row],[ArtÃ­culo]],Tabla34[#All],3,0)</calculatedColumnFormula>
    </tableColumn>
    <tableColumn id="6" xr3:uid="{B25A4B4B-D6A8-45C0-941E-AFBB5F24F9FC}" name="Coste LÃ­nea" totalsRowFunction="sum" dataDxfId="10166" totalsRowDxfId="10165" dataCellStyle="Moneda">
      <calculatedColumnFormula>+Tabla110345345445545647936445366768594103116125135144236245266267351470[[#This Row],[Coste Componente]]*Tabla110345345445545647936445366768594103116125135144236245266267351470[[#This Row],[Unidades]]</calculatedColumnFormula>
    </tableColumn>
  </tableColumns>
  <tableStyleInfo name="TableStyleLight8" showFirstColumn="0" showLastColumn="0" showRowStripes="1" showColumnStripes="0"/>
</table>
</file>

<file path=xl/tables/table6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0" xr:uid="{3D0E6B5E-C613-4EF5-A58E-CED1C5D584AD}" name="Tabla1103453454455456479455868778695108117127136228237352382406471" displayName="Tabla1103453454455456479455868778695108117127136228237352382406471" ref="B56:H62" totalsRowCount="1" headerRowDxfId="10164" dataDxfId="10162" totalsRowDxfId="10160" headerRowBorderDxfId="10163" tableBorderDxfId="10161" totalsRowBorderDxfId="10159">
  <autoFilter ref="B56:H61" xr:uid="{05D8EDE2-BA08-4F0C-BC16-9F21555FD088}"/>
  <sortState xmlns:xlrd2="http://schemas.microsoft.com/office/spreadsheetml/2017/richdata2" ref="B57:H61">
    <sortCondition descending="1" ref="H61"/>
  </sortState>
  <tableColumns count="7">
    <tableColumn id="2" xr3:uid="{52C06CFD-66F5-47F1-8F00-07B26288C7C7}" name="Ingrediente" dataDxfId="10158" totalsRowDxfId="10157"/>
    <tableColumn id="3" xr3:uid="{6CE6AA29-5260-44EA-9EDB-2BB73109407E}" name="Und" dataDxfId="10156" totalsRowDxfId="10155"/>
    <tableColumn id="4" xr3:uid="{76F73D83-B84F-452B-9548-05762DB6EE23}" name="Cant." dataDxfId="10154" totalsRowDxfId="10153"/>
    <tableColumn id="1" xr3:uid="{2CA23901-D050-4AFA-9178-8E1DCDE7543B}" name="Columna1" dataDxfId="10152" totalsRowDxfId="10151"/>
    <tableColumn id="7" xr3:uid="{E2ED9506-1627-4261-ADA8-7E595D6C628C}" name="Columna2" dataDxfId="10150" totalsRowDxfId="10149"/>
    <tableColumn id="5" xr3:uid="{7908A74C-89A6-4D70-A206-F49A49874C8A}" name="Costo" dataDxfId="10148" totalsRowDxfId="10147" dataCellStyle="Moneda">
      <calculatedColumnFormula>+VLOOKUP(Tabla1103453454455456479455868778695108117127136228237352382406471[[#This Row],[Ingrediente]],Tabla34[#All],3,0)</calculatedColumnFormula>
    </tableColumn>
    <tableColumn id="6" xr3:uid="{0906948C-635E-4DB1-9966-94DBC8BDF2AD}" name="Total costo" totalsRowFunction="sum" dataDxfId="10146" totalsRowDxfId="10145" dataCellStyle="Moneda">
      <calculatedColumnFormula>+Tabla1103453454455456479455868778695108117127136228237352382406471[[#This Row],[Costo]]*Tabla1103453454455456479455868778695108117127136228237352382406471[[#This Row],[Columna2]]</calculatedColumnFormula>
    </tableColumn>
  </tableColumns>
  <tableStyleInfo name="TableStyleLight8" showFirstColumn="0" showLastColumn="0" showRowStripes="1" showColumnStripes="0"/>
</table>
</file>

<file path=xl/tables/table6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4" xr:uid="{8ADB9DCA-3883-4AEA-B82A-B277ECA7D91F}" name="Tabla1103453454455456479455868778695108117127136228237352382406240359436475" displayName="Tabla1103453454455456479455868778695108117127136228237352382406240359436475" ref="B69:H77" totalsRowCount="1" headerRowDxfId="10144" dataDxfId="10142" totalsRowDxfId="10140" headerRowBorderDxfId="10143" tableBorderDxfId="10141" totalsRowBorderDxfId="10139">
  <autoFilter ref="B69:H76" xr:uid="{BE01366A-C5B8-4672-A2AD-B4199EA77278}"/>
  <sortState xmlns:xlrd2="http://schemas.microsoft.com/office/spreadsheetml/2017/richdata2" ref="B70:H76">
    <sortCondition descending="1" ref="H71:H76"/>
  </sortState>
  <tableColumns count="7">
    <tableColumn id="2" xr3:uid="{10103D6C-81F0-41AB-8019-5734E3361D7D}" name="Ingrediente" dataDxfId="10138" totalsRowDxfId="10137"/>
    <tableColumn id="3" xr3:uid="{AA291327-B363-46D9-B02B-1EB6445A26AF}" name="Und" dataDxfId="10136" totalsRowDxfId="10135"/>
    <tableColumn id="4" xr3:uid="{02D70498-FCCA-438E-B4E1-E63CB3D9F0EB}" name="Cant." dataDxfId="10134" totalsRowDxfId="10133"/>
    <tableColumn id="1" xr3:uid="{8B4C65A4-E50E-46A1-A184-3A11B583108B}" name="Columna1" dataDxfId="10132" totalsRowDxfId="10131"/>
    <tableColumn id="7" xr3:uid="{9642F79F-DEF5-4919-9EE3-6CC5C4082415}" name="Columna2" dataDxfId="10130" totalsRowDxfId="10129"/>
    <tableColumn id="5" xr3:uid="{B9923F8B-724C-449E-A7DF-2B2178A1A887}" name="Costo" dataDxfId="10128" totalsRowDxfId="10127" dataCellStyle="Moneda">
      <calculatedColumnFormula>+VLOOKUP(Tabla1103453454455456479455868778695108117127136228237352382406240359436475[[#This Row],[Ingrediente]],Tabla34[#All],3,0)</calculatedColumnFormula>
    </tableColumn>
    <tableColumn id="6" xr3:uid="{E2E2A4F9-6CDA-4106-9540-628BF382AD6E}" name="Total costo" totalsRowFunction="sum" dataDxfId="10126" totalsRowDxfId="10125" dataCellStyle="Moneda">
      <calculatedColumnFormula>+Tabla1103453454455456479455868778695108117127136228237352382406240359436475[[#This Row],[Costo]]*Tabla1103453454455456479455868778695108117127136228237352382406240359436475[[#This Row],[Columna2]]</calculatedColumnFormula>
    </tableColumn>
  </tableColumns>
  <tableStyleInfo name="TableStyleLight8" showFirstColumn="0" showLastColumn="0" showRowStripes="1" showColumnStripes="0"/>
</table>
</file>

<file path=xl/tables/table6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9" xr:uid="{326E28E1-AFE5-4F8A-A7D7-A55413D11646}" name="Tabla1103453454455456479455868778695108117127136228237352382406240359436475490" displayName="Tabla1103453454455456479455868778695108117127136228237352382406240359436475490" ref="B80:H91" totalsRowCount="1" headerRowDxfId="10124" dataDxfId="10122" totalsRowDxfId="10120" headerRowBorderDxfId="10123" tableBorderDxfId="10121" totalsRowBorderDxfId="10119">
  <autoFilter ref="B80:H90" xr:uid="{A29391A5-C5C1-4112-B840-B493E3C03E37}"/>
  <sortState xmlns:xlrd2="http://schemas.microsoft.com/office/spreadsheetml/2017/richdata2" ref="B81:H90">
    <sortCondition descending="1" ref="H84:H90"/>
  </sortState>
  <tableColumns count="7">
    <tableColumn id="2" xr3:uid="{6AD9DDCD-A3D2-4320-89EE-7490AC3D9980}" name="ArtÃ­culo" dataDxfId="10118" totalsRowDxfId="10117"/>
    <tableColumn id="3" xr3:uid="{09EDB361-CDBB-4ABC-94D9-F241186F5275}" name="Unidad Medida" dataDxfId="10116" totalsRowDxfId="10115"/>
    <tableColumn id="4" xr3:uid="{3124572F-5AD4-429B-A1F6-55A4561BBC12}" name="Unidades Netas" dataDxfId="10114" totalsRowDxfId="10113"/>
    <tableColumn id="1" xr3:uid="{A13ECF85-48C9-48F6-9028-711EC91BE30D}" name="% Merma" dataDxfId="10112" totalsRowDxfId="10111"/>
    <tableColumn id="7" xr3:uid="{44C4B53E-C5F3-4EE1-B3A3-83D59536E56D}" name="Unidades" dataDxfId="10110" totalsRowDxfId="10109"/>
    <tableColumn id="5" xr3:uid="{BC06C0E3-0A25-4355-989F-D6C354AB8E99}" name="Coste Componente" dataDxfId="10108" totalsRowDxfId="10107" dataCellStyle="Moneda">
      <calculatedColumnFormula>+VLOOKUP(Tabla1103453454455456479455868778695108117127136228237352382406240359436475490[[#This Row],[ArtÃ­culo]],Tabla34[#All],3,0)</calculatedColumnFormula>
    </tableColumn>
    <tableColumn id="6" xr3:uid="{DAB7DE8A-5508-48CA-B827-280BA76BBE8F}" name="Coste LÃ­nea" totalsRowFunction="sum" dataDxfId="10106" totalsRowDxfId="10105" dataCellStyle="Moneda">
      <calculatedColumnFormula>+Tabla1103453454455456479455868778695108117127136228237352382406240359436475490[[#This Row],[Coste Componente]]*Tabla1103453454455456479455868778695108117127136228237352382406240359436475490[[#This Row],[Unidades]]</calculatedColumnFormula>
    </tableColumn>
  </tableColumns>
  <tableStyleInfo name="TableStyleLight8" showFirstColumn="0" showLastColumn="0" showRowStripes="1" showColumnStripes="0"/>
</table>
</file>

<file path=xl/tables/table6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73FB6146-A022-4AB0-8A98-D13FC9B25DD9}" name="Tabla1103453454455456479455868778695108117127136228237352382406240359436476479237" displayName="Tabla1103453454455456479455868778695108117127136228237352382406240359436476479237" ref="B96:H104" totalsRowCount="1" headerRowDxfId="10104" dataDxfId="10102" totalsRowDxfId="10100" headerRowBorderDxfId="10103" tableBorderDxfId="10101" totalsRowBorderDxfId="10099">
  <autoFilter ref="B96:H103" xr:uid="{73FB6146-A022-4AB0-8A98-D13FC9B25DD9}"/>
  <sortState xmlns:xlrd2="http://schemas.microsoft.com/office/spreadsheetml/2017/richdata2" ref="B97:H103">
    <sortCondition descending="1" ref="H102:H103"/>
  </sortState>
  <tableColumns count="7">
    <tableColumn id="2" xr3:uid="{6A669D83-CE32-444F-8491-BD8119C0962C}" name="ArtÃ­culo" dataDxfId="10098" totalsRowDxfId="10097"/>
    <tableColumn id="3" xr3:uid="{A589A27F-9424-4F92-A8ED-68ACDA9B2821}" name="Unidad Medida" dataDxfId="10096" totalsRowDxfId="10095"/>
    <tableColumn id="4" xr3:uid="{452F13B4-D9B3-4F0D-ABDC-18E8D98AF3ED}" name="Unidades Netas" dataDxfId="10094" totalsRowDxfId="10093"/>
    <tableColumn id="1" xr3:uid="{F0AD2116-3EE2-484A-A9F8-E21909D942D3}" name="% Merma" dataDxfId="10092" totalsRowDxfId="10091"/>
    <tableColumn id="7" xr3:uid="{3CE63605-CE15-4903-86C1-9F967B9D17C1}" name="Unidades" dataDxfId="10090" totalsRowDxfId="10089"/>
    <tableColumn id="5" xr3:uid="{90866B1F-8C08-48BC-8B25-623B745A0586}" name="Coste Componente" dataDxfId="10088" totalsRowDxfId="10087" dataCellStyle="Moneda">
      <calculatedColumnFormula>+VLOOKUP(Tabla1103453454455456479455868778695108117127136228237352382406240359436476479237[[#This Row],[ArtÃ­culo]],Tabla34[#All],3,0)</calculatedColumnFormula>
    </tableColumn>
    <tableColumn id="6" xr3:uid="{70C13477-3CA6-4A7F-96BE-8C8D06CFAA20}" name="Coste LÃ­nea" totalsRowFunction="sum" dataDxfId="10086" totalsRowDxfId="10085" dataCellStyle="Moneda">
      <calculatedColumnFormula>+Tabla1103453454455456479455868778695108117127136228237352382406240359436476479237[[#This Row],[Coste Componente]]*Tabla1103453454455456479455868778695108117127136228237352382406240359436476479237[[#This Row],[Unidades]]</calculatedColumnFormula>
    </tableColumn>
  </tableColumns>
  <tableStyleInfo name="TableStyleLight8" showFirstColumn="0" showLastColumn="0" showRowStripes="1" showColumnStripes="0"/>
</table>
</file>

<file path=xl/tables/table6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EF13772-A8D3-4539-9D81-25131DC7C442}" name="Tabla110345345445545647945586877869510811712713622823735238240624035943647647923763" displayName="Tabla110345345445545647945586877869510811712713622823735238240624035943647647923763" ref="B110:H118" totalsRowCount="1" headerRowDxfId="10084" dataDxfId="10082" totalsRowDxfId="10080" headerRowBorderDxfId="10083" tableBorderDxfId="10081" totalsRowBorderDxfId="10079">
  <autoFilter ref="B110:H117" xr:uid="{9EF13772-A8D3-4539-9D81-25131DC7C442}"/>
  <sortState xmlns:xlrd2="http://schemas.microsoft.com/office/spreadsheetml/2017/richdata2" ref="B111:H117">
    <sortCondition descending="1" ref="H102:H103"/>
  </sortState>
  <tableColumns count="7">
    <tableColumn id="2" xr3:uid="{6BECCDD0-4433-4AC1-9FC6-D7DBCA8EFFCC}" name="ArtÃ­culo" dataDxfId="10078" totalsRowDxfId="10077"/>
    <tableColumn id="3" xr3:uid="{67CA5BA8-BEDC-4C41-86B0-9BE5797D65E8}" name="Unidad Medida" dataDxfId="10076" totalsRowDxfId="10075"/>
    <tableColumn id="4" xr3:uid="{5C3BDC5E-4442-4196-9E1D-54F554D2B3C3}" name="Unidades Netas" dataDxfId="10074" totalsRowDxfId="10073"/>
    <tableColumn id="1" xr3:uid="{A4BDFCB6-0C6E-4F7D-BA48-5F00720086D2}" name="% Merma" dataDxfId="10072" totalsRowDxfId="10071"/>
    <tableColumn id="7" xr3:uid="{065FAC9E-3802-4DC8-B71D-DC9F1D6FA6BF}" name="Unidades" dataDxfId="10070" totalsRowDxfId="10069"/>
    <tableColumn id="5" xr3:uid="{C8492829-7D91-49B9-9034-9F9441A9E80D}" name="Coste Componente" dataDxfId="10068" totalsRowDxfId="10067" dataCellStyle="Moneda">
      <calculatedColumnFormula>+VLOOKUP(Tabla110345345445545647945586877869510811712713622823735238240624035943647647923763[[#This Row],[ArtÃ­culo]],Tabla34[#All],3,0)</calculatedColumnFormula>
    </tableColumn>
    <tableColumn id="6" xr3:uid="{B8DA58E3-4587-4DF5-AFAD-999B6D28E519}" name="Coste LÃ­nea" totalsRowFunction="sum" dataDxfId="10066" totalsRowDxfId="10065" dataCellStyle="Moneda">
      <calculatedColumnFormula>+Tabla110345345445545647945586877869510811712713622823735238240624035943647647923763[[#This Row],[Coste Componente]]*Tabla110345345445545647945586877869510811712713622823735238240624035943647647923763[[#This Row],[Unidades]]</calculatedColumnFormula>
    </tableColumn>
  </tableColumns>
  <tableStyleInfo name="TableStyleLight8" showFirstColumn="0" showLastColumn="0" showRowStripes="1" showColumnStripes="0"/>
</table>
</file>

<file path=xl/tables/table6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56771FD-C774-4942-9DE0-A8090B791314}" name="Tabla11034534544554564794558687786951081171271362282373523824062403594364764792376364" displayName="Tabla11034534544554564794558687786951081171271362282373523824062403594364764792376364" ref="B123:H132" totalsRowCount="1" headerRowDxfId="10064" dataDxfId="10062" totalsRowDxfId="10060" headerRowBorderDxfId="10063" tableBorderDxfId="10061" totalsRowBorderDxfId="10059">
  <autoFilter ref="B123:H131" xr:uid="{C56771FD-C774-4942-9DE0-A8090B791314}"/>
  <sortState xmlns:xlrd2="http://schemas.microsoft.com/office/spreadsheetml/2017/richdata2" ref="B124:H129">
    <sortCondition descending="1" ref="H102:H103"/>
  </sortState>
  <tableColumns count="7">
    <tableColumn id="2" xr3:uid="{94B92E40-DDDE-4261-BCDB-4439FFA5F358}" name="ArtÃ­culo" dataDxfId="10058" totalsRowDxfId="10057"/>
    <tableColumn id="3" xr3:uid="{61972393-727C-4E12-BAA4-D029C1E5EB28}" name="Unidad Medida" dataDxfId="10056" totalsRowDxfId="10055"/>
    <tableColumn id="4" xr3:uid="{30F8D424-C91A-43C3-BFBB-F9282BFE160B}" name="Unidades Netas" dataDxfId="10054" totalsRowDxfId="10053"/>
    <tableColumn id="1" xr3:uid="{81D9C7A0-6198-4EF4-AF75-3FEAA300B91F}" name="% Merma" dataDxfId="10052" totalsRowDxfId="10051"/>
    <tableColumn id="7" xr3:uid="{EA3C5E0A-4FBE-4B5C-B028-11EFDEC7AFDA}" name="Unidades" dataDxfId="10050" totalsRowDxfId="10049"/>
    <tableColumn id="5" xr3:uid="{897295EE-E5DB-414C-B89A-C975604B623D}" name="Coste Componente" dataDxfId="10048" totalsRowDxfId="10047" dataCellStyle="Moneda">
      <calculatedColumnFormula>+VLOOKUP(Tabla11034534544554564794558687786951081171271362282373523824062403594364764792376364[[#This Row],[ArtÃ­culo]],Tabla34[#All],3,0)</calculatedColumnFormula>
    </tableColumn>
    <tableColumn id="6" xr3:uid="{25F35C7D-7CC6-4237-9935-39FD6C092BE8}" name="Coste LÃ­nea" totalsRowFunction="sum" dataDxfId="10046" totalsRowDxfId="10045" dataCellStyle="Moneda">
      <calculatedColumnFormula>+Tabla11034534544554564794558687786951081171271362282373523824062403594364764792376364[[#This Row],[Coste Componente]]*Tabla11034534544554564794558687786951081171271362282373523824062403594364764792376364[[#This Row],[Unidades]]</calculatedColumnFormula>
    </tableColumn>
  </tableColumns>
  <tableStyleInfo name="TableStyleLight8" showFirstColumn="0" showLastColumn="0" showRowStripes="1" showColumnStripes="0"/>
</table>
</file>

<file path=xl/tables/table6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F4F65B5-FFEF-4426-9609-7BBFCD147B15}" name="Tabla11034534544554564794558687786951081171271362282373523824062403594364764792376365" displayName="Tabla11034534544554564794558687786951081171271362282373523824062403594364764792376365" ref="B136:H144" totalsRowCount="1" headerRowDxfId="10044" dataDxfId="10042" totalsRowDxfId="10040" headerRowBorderDxfId="10043" tableBorderDxfId="10041" totalsRowBorderDxfId="10039">
  <autoFilter ref="B136:H143" xr:uid="{DF4F65B5-FFEF-4426-9609-7BBFCD147B15}"/>
  <sortState xmlns:xlrd2="http://schemas.microsoft.com/office/spreadsheetml/2017/richdata2" ref="B137:H143">
    <sortCondition descending="1" ref="H102:H103"/>
  </sortState>
  <tableColumns count="7">
    <tableColumn id="2" xr3:uid="{99092DE7-F6B7-426B-8996-C80659F24AFA}" name="ArtÃ­culo" dataDxfId="10038" totalsRowDxfId="10037"/>
    <tableColumn id="3" xr3:uid="{F5E235EB-EA99-49A0-943A-FB05461BEB93}" name="Unidad Medida" dataDxfId="10036" totalsRowDxfId="10035"/>
    <tableColumn id="4" xr3:uid="{6537D2A4-B793-4219-BB01-CBABE89FDAAA}" name="Unidades Netas" dataDxfId="10034" totalsRowDxfId="10033"/>
    <tableColumn id="1" xr3:uid="{EE42E2AA-1771-4E0C-91C7-BBB8525AD61D}" name="% Merma" dataDxfId="10032" totalsRowDxfId="10031"/>
    <tableColumn id="7" xr3:uid="{248ADDF9-342A-4723-BDCB-7B871B6CF55F}" name="Unidades" dataDxfId="10030" totalsRowDxfId="10029"/>
    <tableColumn id="5" xr3:uid="{7157242D-54C2-4FBC-B539-93173DDA061A}" name="Coste Componente" dataDxfId="10028" totalsRowDxfId="10027" dataCellStyle="Moneda">
      <calculatedColumnFormula>+VLOOKUP(Tabla11034534544554564794558687786951081171271362282373523824062403594364764792376365[[#This Row],[ArtÃ­culo]],Tabla34[#All],3,0)</calculatedColumnFormula>
    </tableColumn>
    <tableColumn id="6" xr3:uid="{90834BE5-9850-4C19-9E62-17E302559956}" name="Coste LÃ­nea" totalsRowFunction="sum" dataDxfId="10026" totalsRowDxfId="10025" dataCellStyle="Moneda">
      <calculatedColumnFormula>+Tabla11034534544554564794558687786951081171271362282373523824062403594364764792376365[[#This Row],[Coste Componente]]*Tabla11034534544554564794558687786951081171271362282373523824062403594364764792376365[[#This Row],[Unidades]]</calculatedColumnFormula>
    </tableColumn>
  </tableColumns>
  <tableStyleInfo name="TableStyleLight8" showFirstColumn="0" showLastColumn="0" showRowStripes="1" showColumnStripes="0"/>
</table>
</file>

<file path=xl/tables/table6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1ED63C6C-4BBF-477D-8E19-50026FE0F73B}" name="Tabla11034534544554564794558687786951081171271362282373523824062403594364764792376366" displayName="Tabla11034534544554564794558687786951081171271362282373523824062403594364764792376366" ref="B149:H156" totalsRowCount="1" headerRowDxfId="10024" dataDxfId="10022" totalsRowDxfId="10020" headerRowBorderDxfId="10023" tableBorderDxfId="10021" totalsRowBorderDxfId="10019">
  <autoFilter ref="B149:H155" xr:uid="{1ED63C6C-4BBF-477D-8E19-50026FE0F73B}"/>
  <sortState xmlns:xlrd2="http://schemas.microsoft.com/office/spreadsheetml/2017/richdata2" ref="B150:H155">
    <sortCondition descending="1" ref="H102:H103"/>
  </sortState>
  <tableColumns count="7">
    <tableColumn id="2" xr3:uid="{592E92E8-43C0-4DFA-9D95-A66435515C6A}" name="ArtÃ­culo" dataDxfId="10018" totalsRowDxfId="10017"/>
    <tableColumn id="3" xr3:uid="{BACDA4E4-7F54-413B-BA29-F8A611CC8A89}" name="Unidad Medida" dataDxfId="10016" totalsRowDxfId="10015"/>
    <tableColumn id="4" xr3:uid="{C39FBA65-A8BE-482B-A7A3-25EC00BA4D5E}" name="Unidades Netas" dataDxfId="10014" totalsRowDxfId="10013"/>
    <tableColumn id="1" xr3:uid="{A6880245-810B-486D-B537-D3500F18A1A7}" name="% Merma" dataDxfId="10012" totalsRowDxfId="10011"/>
    <tableColumn id="7" xr3:uid="{2F6ACB67-49C4-4DDA-BFF1-5BB1D04C0823}" name="Unidades" dataDxfId="10010" totalsRowDxfId="10009"/>
    <tableColumn id="5" xr3:uid="{EEA23FD1-0666-4E1A-BF64-80B6F0A098D8}" name="Coste Componente" dataDxfId="10008" totalsRowDxfId="10007" dataCellStyle="Moneda">
      <calculatedColumnFormula>+VLOOKUP(Tabla11034534544554564794558687786951081171271362282373523824062403594364764792376366[[#This Row],[ArtÃ­culo]],Tabla34[#All],3,0)</calculatedColumnFormula>
    </tableColumn>
    <tableColumn id="6" xr3:uid="{424766AD-5E56-43CF-AD9C-8714BE10834A}" name="Coste LÃ­nea" totalsRowFunction="sum" dataDxfId="10006" totalsRowDxfId="10005" dataCellStyle="Moneda">
      <calculatedColumnFormula>+Tabla11034534544554564794558687786951081171271362282373523824062403594364764792376366[[#This Row],[Coste Componente]]*Tabla11034534544554564794558687786951081171271362282373523824062403594364764792376366[[#This Row],[Unidades]]</calculatedColumnFormula>
    </tableColumn>
  </tableColumns>
  <tableStyleInfo name="TableStyleLight8" showFirstColumn="0" showLastColumn="0" showRowStripes="1" showColumnStripes="0"/>
</table>
</file>

<file path=xl/tables/table6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736A440-2EF3-47D5-A833-7E01C36139B2}" name="Tabla11034534544554564794558687786951081171271362282373523824062403594364764792376366103" displayName="Tabla11034534544554564794558687786951081171271362282373523824062403594364764792376366103" ref="B161:H167" totalsRowCount="1" headerRowDxfId="10004" dataDxfId="10002" totalsRowDxfId="10000" headerRowBorderDxfId="10003" tableBorderDxfId="10001" totalsRowBorderDxfId="9999">
  <autoFilter ref="B161:H166" xr:uid="{5736A440-2EF3-47D5-A833-7E01C36139B2}"/>
  <sortState xmlns:xlrd2="http://schemas.microsoft.com/office/spreadsheetml/2017/richdata2" ref="B159:H166">
    <sortCondition descending="1" ref="H102:H103"/>
  </sortState>
  <tableColumns count="7">
    <tableColumn id="2" xr3:uid="{DE2FCAFB-BBB7-4680-B306-66A7FB477760}" name="ArtÃ­culo" dataDxfId="9998" totalsRowDxfId="9997"/>
    <tableColumn id="3" xr3:uid="{9DB10D98-2125-4999-82E9-53C3A64389AE}" name="Unidad Medida" dataDxfId="9996" totalsRowDxfId="9995"/>
    <tableColumn id="4" xr3:uid="{983CA1F9-AE88-41BB-B0AD-E028B1A26791}" name="Unidades Netas" dataDxfId="9994" totalsRowDxfId="9993"/>
    <tableColumn id="1" xr3:uid="{180A9860-6A51-4F23-8F42-EA6EC318EB4E}" name="% Merma" dataDxfId="9992" totalsRowDxfId="9991"/>
    <tableColumn id="7" xr3:uid="{C42C17F8-9174-43B4-A0EB-8306529135BD}" name="Unidades" dataDxfId="9990" totalsRowDxfId="9989"/>
    <tableColumn id="5" xr3:uid="{EBC73500-64B2-47C5-B770-44D33DB13CBC}" name="Coste Componente" dataDxfId="9988" totalsRowDxfId="9987" dataCellStyle="Moneda">
      <calculatedColumnFormula>+VLOOKUP(Tabla11034534544554564794558687786951081171271362282373523824062403594364764792376366103[[#This Row],[ArtÃ­culo]],Tabla34[#All],3,0)</calculatedColumnFormula>
    </tableColumn>
    <tableColumn id="6" xr3:uid="{4EA735EE-5B47-46A4-9297-5EB16A5AD7E6}" name="Coste LÃ­nea" totalsRowFunction="sum" dataDxfId="9986" totalsRowDxfId="9985" dataCellStyle="Moneda">
      <calculatedColumnFormula>+Tabla11034534544554564794558687786951081171271362282373523824062403594364764792376366103[[#This Row],[Coste Componente]]*Tabla11034534544554564794558687786951081171271362282373523824062403594364764792376366103[[#This Row],[Unidades]]</calculatedColumnFormula>
    </tableColumn>
  </tableColumns>
  <tableStyleInfo name="TableStyleLight8" showFirstColumn="0" showLastColumn="0" showRowStripes="1" showColumnStripes="0"/>
</table>
</file>

<file path=xl/tables/table6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B9F23CB8-ED75-46D9-B7CB-7F32B31456B7}" name="Tabla11034534544554564794558687786951081171271362282373523824062403594364764792376366144" displayName="Tabla11034534544554564794558687786951081171271362282373523824062403594364764792376366144" ref="B172:H179" totalsRowCount="1" headerRowDxfId="9984" dataDxfId="9982" totalsRowDxfId="9980" headerRowBorderDxfId="9983" tableBorderDxfId="9981" totalsRowBorderDxfId="9979">
  <autoFilter ref="B172:H178" xr:uid="{B9F23CB8-ED75-46D9-B7CB-7F32B31456B7}"/>
  <sortState xmlns:xlrd2="http://schemas.microsoft.com/office/spreadsheetml/2017/richdata2" ref="B173:H178">
    <sortCondition descending="1" ref="H102:H103"/>
  </sortState>
  <tableColumns count="7">
    <tableColumn id="2" xr3:uid="{4B26995A-9DDB-4244-862E-0FBEBD8B6801}" name="ArtÃ­culo" dataDxfId="9978" totalsRowDxfId="9977"/>
    <tableColumn id="3" xr3:uid="{6736DC23-DBF5-4009-A2DF-F36B74815A76}" name="Unidad Medida" dataDxfId="9976" totalsRowDxfId="9975"/>
    <tableColumn id="4" xr3:uid="{883B3E1C-AD4B-4C9A-B6FD-A36FB0AD44EC}" name="Unidades Netas" dataDxfId="9974" totalsRowDxfId="9973"/>
    <tableColumn id="1" xr3:uid="{34E37494-1796-4933-BB47-08ED5448C047}" name="% Merma" dataDxfId="9972" totalsRowDxfId="9971"/>
    <tableColumn id="7" xr3:uid="{B54EFD97-44B7-49E0-ACF6-4B5D272C36FF}" name="Unidades" dataDxfId="9970" totalsRowDxfId="9969"/>
    <tableColumn id="5" xr3:uid="{07EEE17C-9DEF-42B5-B591-E6415F769994}" name="Coste Componente" dataDxfId="9968" totalsRowDxfId="9967" dataCellStyle="Moneda">
      <calculatedColumnFormula>+VLOOKUP(Tabla11034534544554564794558687786951081171271362282373523824062403594364764792376366144[[#This Row],[ArtÃ­culo]],Tabla34[#All],3,0)</calculatedColumnFormula>
    </tableColumn>
    <tableColumn id="6" xr3:uid="{AB7442C9-0EDD-44EF-95BE-3067465698F4}" name="Coste LÃ­nea" totalsRowFunction="sum" dataDxfId="9966" totalsRowDxfId="9965" dataCellStyle="Moneda">
      <calculatedColumnFormula>+Tabla11034534544554564794558687786951081171271362282373523824062403594364764792376366144[[#This Row],[Coste Componente]]*Tabla11034534544554564794558687786951081171271362282373523824062403594364764792376366144[[#This Row],[Unidades]]</calculatedColumnFormula>
    </tableColumn>
  </tableColumns>
  <tableStyleInfo name="TableStyleLight8" showFirstColumn="0" showLastColumn="0" showRowStripes="1" showColumnStripes="0"/>
</table>
</file>

<file path=xl/tables/table6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1C47A7BB-3D71-4FC8-AFCA-00AC80E4FFD2}" name="Tabla11034534544554564794558687786951081171271362282373523824062403594364764792376366103171" displayName="Tabla11034534544554564794558687786951081171271362282373523824062403594364764792376366103171" ref="B188:H194" totalsRowCount="1" headerRowDxfId="9964" dataDxfId="9962" totalsRowDxfId="9960" headerRowBorderDxfId="9963" tableBorderDxfId="9961" totalsRowBorderDxfId="9959">
  <autoFilter ref="B188:H193" xr:uid="{1C47A7BB-3D71-4FC8-AFCA-00AC80E4FFD2}"/>
  <sortState xmlns:xlrd2="http://schemas.microsoft.com/office/spreadsheetml/2017/richdata2" ref="B189:H196">
    <sortCondition descending="1" ref="H102:H103"/>
  </sortState>
  <tableColumns count="7">
    <tableColumn id="2" xr3:uid="{88708257-3E49-4249-BC9E-2CECB3130272}" name="ArtÃ­culo" dataDxfId="9958" totalsRowDxfId="9957"/>
    <tableColumn id="3" xr3:uid="{8E890576-4A82-471E-A836-BD241E422F8A}" name="Unidad Medida" dataDxfId="9956" totalsRowDxfId="9955"/>
    <tableColumn id="4" xr3:uid="{A5982BA1-62AC-4DCE-BA2B-DA5B9356923F}" name="Unidades Netas" dataDxfId="9954" totalsRowDxfId="9953"/>
    <tableColumn id="1" xr3:uid="{9FD0CCB4-A1D5-4B77-B245-62ED56E807A7}" name="% Merma" dataDxfId="9952" totalsRowDxfId="9951"/>
    <tableColumn id="7" xr3:uid="{47A9CCAA-BCCC-467A-A637-A69B697F8197}" name="Unidades" dataDxfId="9950" totalsRowDxfId="9949"/>
    <tableColumn id="5" xr3:uid="{4FC32E78-9C85-496F-B545-A203B479A99F}" name="Coste Componente" dataDxfId="9948" totalsRowDxfId="9947" dataCellStyle="Moneda">
      <calculatedColumnFormula>+VLOOKUP(Tabla11034534544554564794558687786951081171271362282373523824062403594364764792376366103171[[#This Row],[ArtÃ­culo]],Tabla34[#All],3,0)</calculatedColumnFormula>
    </tableColumn>
    <tableColumn id="6" xr3:uid="{ACBAF550-0033-44BB-A216-8CF3998DA06A}" name="Coste LÃ­nea" totalsRowFunction="sum" dataDxfId="9946" totalsRowDxfId="9945" dataCellStyle="Moneda">
      <calculatedColumnFormula>+Tabla11034534544554564794558687786951081171271362282373523824062403594364764792376366103171[[#This Row],[Coste Componente]]*Tabla11034534544554564794558687786951081171271362282373523824062403594364764792376366103171[[#This Row],[Unidades]]</calculatedColumnFormula>
    </tableColumn>
  </tableColumns>
  <tableStyleInfo name="TableStyleLight8" showFirstColumn="0" showLastColumn="0" showRowStripes="1" showColumnStripes="0"/>
</table>
</file>

<file path=xl/tables/table6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25BD0717-4100-4A24-BBAA-DA0F7A1652AF}" name="Tabla11034534544554564794558687786951081171271362282373523824062403594364764792376366103171175" displayName="Tabla11034534544554564794558687786951081171271362282373523824062403594364764792376366103171175" ref="B200:H208" totalsRowCount="1" headerRowDxfId="9944" dataDxfId="9942" totalsRowDxfId="9940" headerRowBorderDxfId="9943" tableBorderDxfId="9941" totalsRowBorderDxfId="9939">
  <autoFilter ref="B200:H207" xr:uid="{25BD0717-4100-4A24-BBAA-DA0F7A1652AF}"/>
  <sortState xmlns:xlrd2="http://schemas.microsoft.com/office/spreadsheetml/2017/richdata2" ref="B201:H207">
    <sortCondition descending="1" ref="H102:H103"/>
  </sortState>
  <tableColumns count="7">
    <tableColumn id="2" xr3:uid="{96AD0763-927A-4610-8D27-2B78A88CE53D}" name="ArtÃ­culo" dataDxfId="9938" totalsRowDxfId="9937"/>
    <tableColumn id="3" xr3:uid="{541266FE-58A0-4486-A6D4-E7E91D1A7CEA}" name="Unidad Medida" dataDxfId="9936" totalsRowDxfId="9935"/>
    <tableColumn id="4" xr3:uid="{B2F66008-38F7-47EF-A84B-FB0DDA2C6176}" name="Unidades Netas" dataDxfId="9934" totalsRowDxfId="9933"/>
    <tableColumn id="1" xr3:uid="{E721F1B0-F8FC-4BEC-B97A-4DB09FAFDBE3}" name="% Merma" dataDxfId="9932" totalsRowDxfId="9931"/>
    <tableColumn id="7" xr3:uid="{5AB8229E-9BEB-421F-95EC-96BD7C9E1EB2}" name="Unidades" dataDxfId="9930" totalsRowDxfId="9929"/>
    <tableColumn id="5" xr3:uid="{8A006E4A-CDF1-415F-ADCA-0F750136B699}" name="Coste Componente" dataDxfId="9928" totalsRowDxfId="9927" dataCellStyle="Moneda">
      <calculatedColumnFormula>+VLOOKUP(Tabla11034534544554564794558687786951081171271362282373523824062403594364764792376366103171175[[#This Row],[ArtÃ­culo]],Tabla34[#All],3,0)</calculatedColumnFormula>
    </tableColumn>
    <tableColumn id="6" xr3:uid="{E7BBD283-3924-40D7-B193-3F50A239FD60}" name="Coste LÃ­nea" totalsRowFunction="sum" dataDxfId="9926" totalsRowDxfId="9925" dataCellStyle="Moneda">
      <calculatedColumnFormula>+Tabla11034534544554564794558687786951081171271362282373523824062403594364764792376366103171175[[#This Row],[Coste Componente]]*Tabla11034534544554564794558687786951081171271362282373523824062403594364764792376366103171175[[#This Row],[Unidades]]</calculatedColumnFormula>
    </tableColumn>
  </tableColumns>
  <tableStyleInfo name="TableStyleLight8" showFirstColumn="0" showLastColumn="0" showRowStripes="1" showColumnStripes="0"/>
</table>
</file>

<file path=xl/tables/table6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2" xr:uid="{3B6B18DB-76C0-4CA6-991C-E61B9713C5D7}" name="Tabla11034534544554564794558687786951081171271362282373523824062403594364764792376366103171175463" displayName="Tabla11034534544554564794558687786951081171271362282373523824062403594364764792376366103171175463" ref="B213:H219" totalsRowCount="1" headerRowDxfId="9924" dataDxfId="9922" totalsRowDxfId="9920" headerRowBorderDxfId="9923" tableBorderDxfId="9921" totalsRowBorderDxfId="9919">
  <autoFilter ref="B213:H218" xr:uid="{3B6B18DB-76C0-4CA6-991C-E61B9713C5D7}"/>
  <sortState xmlns:xlrd2="http://schemas.microsoft.com/office/spreadsheetml/2017/richdata2" ref="B214:H218">
    <sortCondition descending="1" ref="H102:H103"/>
  </sortState>
  <tableColumns count="7">
    <tableColumn id="2" xr3:uid="{D6204D0C-90AA-4169-B3F4-14398935B825}" name="ArtÃ­culo" dataDxfId="9918" totalsRowDxfId="9917"/>
    <tableColumn id="3" xr3:uid="{1DE8AFD9-81B5-4258-9166-56B6DDD73A43}" name="Unidad Medida" dataDxfId="9916" totalsRowDxfId="9915"/>
    <tableColumn id="4" xr3:uid="{FBE5BC31-20AB-45A7-8061-82206426786A}" name="Unidades Netas" dataDxfId="9914" totalsRowDxfId="9913"/>
    <tableColumn id="1" xr3:uid="{19D60F4B-D65D-4711-92C3-6CB681338CCC}" name="% Merma" dataDxfId="9912" totalsRowDxfId="9911"/>
    <tableColumn id="7" xr3:uid="{DFA1E8E2-3640-4F7F-926B-B655D77CE700}" name="Unidades" dataDxfId="9910" totalsRowDxfId="9909"/>
    <tableColumn id="5" xr3:uid="{6B536C1C-5D68-4D69-BEF3-DF0CFB556A86}" name="Coste Componente" dataDxfId="9908" totalsRowDxfId="9907" dataCellStyle="Moneda">
      <calculatedColumnFormula>+VLOOKUP(Tabla11034534544554564794558687786951081171271362282373523824062403594364764792376366103171175463[[#This Row],[ArtÃ­culo]],Tabla34[#All],3,0)</calculatedColumnFormula>
    </tableColumn>
    <tableColumn id="6" xr3:uid="{7EF7A03A-736A-45FF-97AF-3675428F1E43}" name="Coste LÃ­nea" totalsRowFunction="sum" dataDxfId="9906" totalsRowDxfId="9905" dataCellStyle="Moneda">
      <calculatedColumnFormula>+Tabla11034534544554564794558687786951081171271362282373523824062403594364764792376366103171175463[[#This Row],[Coste Componente]]*Tabla11034534544554564794558687786951081171271362282373523824062403594364764792376366103171175463[[#This Row],[Unidades]]</calculatedColumnFormula>
    </tableColumn>
  </tableColumns>
  <tableStyleInfo name="TableStyleLight8" showFirstColumn="0" showLastColumn="0" showRowStripes="1" showColumnStripes="0"/>
</table>
</file>

<file path=xl/tables/table6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4" xr:uid="{DE41E22E-3BFA-4114-A62B-FD1A950F0893}" name="Tabla461487182755" displayName="Tabla461487182755" ref="M6:M10" totalsRowShown="0" headerRowDxfId="3367" dataDxfId="3366" tableBorderDxfId="3365">
  <autoFilter ref="M6:M10" xr:uid="{DE41E22E-3BFA-4114-A62B-FD1A950F0893}"/>
  <tableColumns count="1">
    <tableColumn id="1" xr3:uid="{8E666711-FFAA-4818-9876-76BA60048E17}" name="Preparacion" dataDxfId="3364"/>
  </tableColumns>
  <tableStyleInfo showFirstColumn="0" showLastColumn="0" showRowStripes="1" showColumnStripes="0"/>
</table>
</file>

<file path=xl/tables/table6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5" xr:uid="{D8F13A64-B649-4B04-8E54-0A98AF4DAA88}" name="Tabla461487182381756" displayName="Tabla461487182381756" ref="M12:M16" totalsRowShown="0" headerRowDxfId="3363" dataDxfId="3362" tableBorderDxfId="3361">
  <autoFilter ref="M12:M16" xr:uid="{D8F13A64-B649-4B04-8E54-0A98AF4DAA88}"/>
  <tableColumns count="1">
    <tableColumn id="1" xr3:uid="{D72C3EB6-567E-4301-9BAA-FB9AD448C36F}" name="Emplatado" dataDxfId="3360"/>
  </tableColumns>
  <tableStyleInfo showFirstColumn="0" showLastColumn="0" showRowStripes="1" showColumnStripes="0"/>
</table>
</file>

<file path=xl/tables/table6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6" xr:uid="{7F2EA957-8AD0-45CF-A98C-6355F7DDAF3F}" name="Tabla461487182755757" displayName="Tabla461487182755757" ref="M20:M24" totalsRowShown="0" headerRowDxfId="3359" dataDxfId="3358" tableBorderDxfId="3357">
  <autoFilter ref="M20:M24" xr:uid="{7F2EA957-8AD0-45CF-A98C-6355F7DDAF3F}"/>
  <tableColumns count="1">
    <tableColumn id="1" xr3:uid="{3AEAD02C-E60E-4424-B3FD-69688B85D2CF}" name="Preparacion" dataDxfId="3356"/>
  </tableColumns>
  <tableStyleInfo showFirstColumn="0" showLastColumn="0" showRowStripes="1" showColumnStripes="0"/>
</table>
</file>

<file path=xl/tables/table6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7" xr:uid="{3EC21A03-E5FF-4A8D-8F4D-21EBDFA322F1}" name="Tabla461487182381756758" displayName="Tabla461487182381756758" ref="M26:M28" totalsRowShown="0" headerRowDxfId="3355" dataDxfId="3354" tableBorderDxfId="3353">
  <autoFilter ref="M26:M28" xr:uid="{3EC21A03-E5FF-4A8D-8F4D-21EBDFA322F1}"/>
  <tableColumns count="1">
    <tableColumn id="1" xr3:uid="{3F72E59A-0FB7-4E21-B03E-6DD94907F638}" name="Emplatado" dataDxfId="3352"/>
  </tableColumns>
  <tableStyleInfo showFirstColumn="0" showLastColumn="0" showRowStripes="1" showColumnStripes="0"/>
</table>
</file>

<file path=xl/tables/table6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8" xr:uid="{F2A11491-391F-48CB-96E8-A8459FD3F28C}" name="Tabla461487182755759" displayName="Tabla461487182755759" ref="M31:M35" totalsRowShown="0" headerRowDxfId="3351" dataDxfId="3350" tableBorderDxfId="3349">
  <autoFilter ref="M31:M35" xr:uid="{F2A11491-391F-48CB-96E8-A8459FD3F28C}"/>
  <tableColumns count="1">
    <tableColumn id="1" xr3:uid="{41B32535-D5B8-4D30-BD5B-54AC54E27099}" name="Preparacion" dataDxfId="3348"/>
  </tableColumns>
  <tableStyleInfo showFirstColumn="0" showLastColumn="0" showRowStripes="1" showColumnStripes="0"/>
</table>
</file>

<file path=xl/tables/table6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9" xr:uid="{6BD8749A-B8AC-4C3E-A98D-E6A4E96C76C1}" name="Tabla461487182381756760" displayName="Tabla461487182381756760" ref="M37:M40" totalsRowShown="0" headerRowDxfId="3347" dataDxfId="3346" tableBorderDxfId="3345">
  <autoFilter ref="M37:M40" xr:uid="{6BD8749A-B8AC-4C3E-A98D-E6A4E96C76C1}"/>
  <tableColumns count="1">
    <tableColumn id="1" xr3:uid="{90465778-7C07-49B3-BA15-393533384F15}" name="Emplatado" dataDxfId="3344"/>
  </tableColumns>
  <tableStyleInfo showFirstColumn="0" showLastColumn="0" showRowStripes="1" showColumnStripes="0"/>
</table>
</file>

<file path=xl/tables/table6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0" xr:uid="{72189047-38EF-4121-B38D-EDFB5B6A82E0}" name="Tabla461487182755759761" displayName="Tabla461487182755759761" ref="M42:M46" totalsRowShown="0" headerRowDxfId="3343" dataDxfId="3342" tableBorderDxfId="3341">
  <autoFilter ref="M42:M46" xr:uid="{72189047-38EF-4121-B38D-EDFB5B6A82E0}"/>
  <tableColumns count="1">
    <tableColumn id="1" xr3:uid="{3BE75CBE-67F3-4B20-8640-2D05133160D9}" name="Preparacion" dataDxfId="3340"/>
  </tableColumns>
  <tableStyleInfo showFirstColumn="0" showLastColumn="0" showRowStripes="1" showColumnStripes="0"/>
</table>
</file>

<file path=xl/tables/table6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1" xr:uid="{F4CEDAB5-1134-4F89-A29F-0BAD32E72AEE}" name="Tabla461487182381756760762" displayName="Tabla461487182381756760762" ref="M48:M49" insertRow="1" totalsRowShown="0" headerRowDxfId="3339" dataDxfId="3338" tableBorderDxfId="3337">
  <autoFilter ref="M48:M49" xr:uid="{F4CEDAB5-1134-4F89-A29F-0BAD32E72AEE}"/>
  <tableColumns count="1">
    <tableColumn id="1" xr3:uid="{B8C3DB08-40D5-49AF-8BC5-1E0AF6C9AE8F}" name="Emplatado" dataDxfId="3336"/>
  </tableColumns>
  <tableStyleInfo showFirstColumn="0" showLastColumn="0" showRowStripes="1" showColumnStripes="0"/>
</table>
</file>

<file path=xl/tables/table6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2" xr:uid="{C5E0AE46-80E3-48EE-897C-F170EED97AB3}" name="Tabla461487182755759763" displayName="Tabla461487182755759763" ref="M55:M59" totalsRowShown="0" headerRowDxfId="3335" dataDxfId="3334" tableBorderDxfId="3333">
  <autoFilter ref="M55:M59" xr:uid="{C5E0AE46-80E3-48EE-897C-F170EED97AB3}"/>
  <tableColumns count="1">
    <tableColumn id="1" xr3:uid="{51FF2465-CA77-4C01-BADF-3512F80EFA26}" name="Preparacion" dataDxfId="3332"/>
  </tableColumns>
  <tableStyleInfo showFirstColumn="0" showLastColumn="0" showRowStripes="1" showColumnStripes="0"/>
</table>
</file>

<file path=xl/tables/table6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3" xr:uid="{7596D9A3-20C3-4759-9A5B-F19BC707772B}" name="Tabla461487182381756760764" displayName="Tabla461487182381756760764" ref="M61:M63" totalsRowShown="0" headerRowDxfId="3331" dataDxfId="3330" tableBorderDxfId="3329">
  <autoFilter ref="M61:M63" xr:uid="{7596D9A3-20C3-4759-9A5B-F19BC707772B}"/>
  <tableColumns count="1">
    <tableColumn id="1" xr3:uid="{7959697F-F27E-4FE7-8AE3-A4490F53621B}" name="Emplatado" dataDxfId="3328"/>
  </tableColumns>
  <tableStyleInfo showFirstColumn="0" showLastColumn="0" showRowStripes="1" showColumnStripes="0"/>
</table>
</file>

<file path=xl/tables/table6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4" xr:uid="{B02CEA0D-6EC2-4266-987B-BC450057A382}" name="Tabla461487182755759765" displayName="Tabla461487182755759765" ref="M68:M72" totalsRowShown="0" headerRowDxfId="3327" dataDxfId="3326" tableBorderDxfId="3325">
  <autoFilter ref="M68:M72" xr:uid="{B02CEA0D-6EC2-4266-987B-BC450057A382}"/>
  <tableColumns count="1">
    <tableColumn id="1" xr3:uid="{6206875C-13FB-4457-BB6F-E68A7288329E}" name="Preparacion" dataDxfId="3324"/>
  </tableColumns>
  <tableStyleInfo showFirstColumn="0" showLastColumn="0" showRowStripes="1" showColumnStripes="0"/>
</table>
</file>

<file path=xl/tables/table6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5" xr:uid="{113AAE4B-07F5-4A26-B03B-78C3330BB743}" name="Tabla461487182381756760766" displayName="Tabla461487182381756760766" ref="M74:M75" insertRow="1" totalsRowShown="0" headerRowDxfId="3323" dataDxfId="3322" tableBorderDxfId="3321">
  <autoFilter ref="M74:M75" xr:uid="{113AAE4B-07F5-4A26-B03B-78C3330BB743}"/>
  <tableColumns count="1">
    <tableColumn id="1" xr3:uid="{AE7836D1-E3AD-4E5C-9DED-2AD78A08652D}" name="Emplatado" dataDxfId="3320"/>
  </tableColumns>
  <tableStyleInfo showFirstColumn="0" showLastColumn="0" showRowStripes="1" showColumnStripes="0"/>
</table>
</file>

<file path=xl/tables/table6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6" xr:uid="{171C75D1-A27E-4AA7-92BA-2BAA2689685C}" name="Tabla461487182755759765767" displayName="Tabla461487182755759765767" ref="M79:M83" totalsRowShown="0" headerRowDxfId="3319" dataDxfId="3318" tableBorderDxfId="3317">
  <autoFilter ref="M79:M83" xr:uid="{171C75D1-A27E-4AA7-92BA-2BAA2689685C}"/>
  <tableColumns count="1">
    <tableColumn id="1" xr3:uid="{B07F21DB-FC55-4AAC-A2D5-D7722DD0E9AA}" name="Preparacion" dataDxfId="3316"/>
  </tableColumns>
  <tableStyleInfo showFirstColumn="0" showLastColumn="0" showRowStripes="1" showColumnStripes="0"/>
</table>
</file>

<file path=xl/tables/table6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7" xr:uid="{C37964C6-778D-4F55-BB19-0CAAFA87F3C9}" name="Tabla461487182381756760766768" displayName="Tabla461487182381756760766768" ref="M85:M86" insertRow="1" totalsRowShown="0" headerRowDxfId="3315" dataDxfId="3314" tableBorderDxfId="3313">
  <autoFilter ref="M85:M86" xr:uid="{C37964C6-778D-4F55-BB19-0CAAFA87F3C9}"/>
  <tableColumns count="1">
    <tableColumn id="1" xr3:uid="{3168D6BE-8067-49A6-A62E-2F2E1244E939}" name="Emplatado" dataDxfId="3312"/>
  </tableColumns>
  <tableStyleInfo showFirstColumn="0" showLastColumn="0" showRowStripes="1" showColumnStripes="0"/>
</table>
</file>

<file path=xl/tables/table6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8" xr:uid="{15BF1991-466D-4AF7-8C2E-F3610B73099D}" name="Tabla461487182755759765769" displayName="Tabla461487182755759765769" ref="M95:M99" totalsRowShown="0" headerRowDxfId="3311" dataDxfId="3310" tableBorderDxfId="3309">
  <autoFilter ref="M95:M99" xr:uid="{15BF1991-466D-4AF7-8C2E-F3610B73099D}"/>
  <tableColumns count="1">
    <tableColumn id="1" xr3:uid="{1F8B7345-7C5B-406A-879B-1E2574656B74}" name="Preparacion" dataDxfId="3308"/>
  </tableColumns>
  <tableStyleInfo showFirstColumn="0" showLastColumn="0" showRowStripes="1" showColumnStripes="0"/>
</table>
</file>

<file path=xl/tables/table6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9" xr:uid="{3A14EC6C-3382-4D73-B7DD-B4E81209AF6B}" name="Tabla461487182381756760766770" displayName="Tabla461487182381756760766770" ref="M101:M102" insertRow="1" totalsRowShown="0" headerRowDxfId="3307" dataDxfId="3306" tableBorderDxfId="3305">
  <autoFilter ref="M101:M102" xr:uid="{3A14EC6C-3382-4D73-B7DD-B4E81209AF6B}"/>
  <tableColumns count="1">
    <tableColumn id="1" xr3:uid="{9BC2CC77-3633-4F33-98AA-B13AD1EE1519}" name="Emplatado" dataDxfId="3304"/>
  </tableColumns>
  <tableStyleInfo showFirstColumn="0" showLastColumn="0" showRowStripes="1" showColumnStripes="0"/>
</table>
</file>

<file path=xl/tables/table6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0" xr:uid="{E2595824-EE81-4299-82AC-C10C268AE30C}" name="Tabla461487182755759765771" displayName="Tabla461487182755759765771" ref="M109:M113" totalsRowShown="0" headerRowDxfId="3303" dataDxfId="3302" tableBorderDxfId="3301">
  <autoFilter ref="M109:M113" xr:uid="{E2595824-EE81-4299-82AC-C10C268AE30C}"/>
  <tableColumns count="1">
    <tableColumn id="1" xr3:uid="{DF33EA4C-0BE4-4A94-89E1-4A0FF3F99648}" name="Preparacion" dataDxfId="3300"/>
  </tableColumns>
  <tableStyleInfo showFirstColumn="0" showLastColumn="0" showRowStripes="1" showColumnStripes="0"/>
</table>
</file>

<file path=xl/tables/table6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1" xr:uid="{1CC99C3F-9583-43E5-AB36-D47D5C7AF461}" name="Tabla461487182381756760766772" displayName="Tabla461487182381756760766772" ref="M115:M116" insertRow="1" totalsRowShown="0" headerRowDxfId="3299" dataDxfId="3298" tableBorderDxfId="3297">
  <autoFilter ref="M115:M116" xr:uid="{1CC99C3F-9583-43E5-AB36-D47D5C7AF461}"/>
  <tableColumns count="1">
    <tableColumn id="1" xr3:uid="{71F11D21-9C60-4E87-AC19-1C123AFF5AB7}" name="Emplatado" dataDxfId="3296"/>
  </tableColumns>
  <tableStyleInfo showFirstColumn="0" showLastColumn="0" showRowStripes="1" showColumnStripes="0"/>
</table>
</file>

<file path=xl/tables/table6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2" xr:uid="{B0A96EB7-AA28-4719-99FE-24A0E72F6550}" name="Tabla461487182755759765773" displayName="Tabla461487182755759765773" ref="M122:M126" totalsRowShown="0" headerRowDxfId="3295" dataDxfId="3294" tableBorderDxfId="3293">
  <autoFilter ref="M122:M126" xr:uid="{B0A96EB7-AA28-4719-99FE-24A0E72F6550}"/>
  <tableColumns count="1">
    <tableColumn id="1" xr3:uid="{17EB3B7E-C7F5-4A39-AA7A-E7F5DE81116D}" name="Preparacion" dataDxfId="3292"/>
  </tableColumns>
  <tableStyleInfo showFirstColumn="0" showLastColumn="0" showRowStripes="1" showColumnStripes="0"/>
</table>
</file>

<file path=xl/tables/table6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3" xr:uid="{5B3CBCC2-C5DD-4B9D-A9B8-A7BFEC3BB267}" name="Tabla461487182381756760766774" displayName="Tabla461487182381756760766774" ref="M128:M129" insertRow="1" totalsRowShown="0" headerRowDxfId="3291" dataDxfId="3290" tableBorderDxfId="3289">
  <autoFilter ref="M128:M129" xr:uid="{5B3CBCC2-C5DD-4B9D-A9B8-A7BFEC3BB267}"/>
  <tableColumns count="1">
    <tableColumn id="1" xr3:uid="{B0067A6A-B5A2-4657-AE89-8985A74F8262}" name="Emplatado" dataDxfId="3288"/>
  </tableColumns>
  <tableStyleInfo showFirstColumn="0" showLastColumn="0" showRowStripes="1" showColumnStripes="0"/>
</table>
</file>

<file path=xl/tables/table6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4" xr:uid="{5EFC4FC8-4714-490C-AED9-2E66DB4DCCCB}" name="Tabla461487182755759765775" displayName="Tabla461487182755759765775" ref="M135:M139" totalsRowShown="0" headerRowDxfId="3287" dataDxfId="3286" tableBorderDxfId="3285">
  <autoFilter ref="M135:M139" xr:uid="{5EFC4FC8-4714-490C-AED9-2E66DB4DCCCB}"/>
  <tableColumns count="1">
    <tableColumn id="1" xr3:uid="{77410437-D2F7-4BC1-967C-DC519EA8B08F}" name="Preparacion" dataDxfId="3284"/>
  </tableColumns>
  <tableStyleInfo showFirstColumn="0" showLastColumn="0" showRowStripes="1" showColumnStripes="0"/>
</table>
</file>

<file path=xl/tables/table6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5" xr:uid="{04E779D1-7AFF-416A-8BA2-1B58A181E5F6}" name="Tabla461487182381756760766776" displayName="Tabla461487182381756760766776" ref="M141:M142" insertRow="1" totalsRowShown="0" headerRowDxfId="3283" dataDxfId="3282" tableBorderDxfId="3281">
  <autoFilter ref="M141:M142" xr:uid="{04E779D1-7AFF-416A-8BA2-1B58A181E5F6}"/>
  <tableColumns count="1">
    <tableColumn id="1" xr3:uid="{1A943009-8E2C-4878-888A-270180ADFD25}" name="Emplatado" dataDxfId="3280"/>
  </tableColumns>
  <tableStyleInfo showFirstColumn="0" showLastColumn="0" showRowStripes="1" showColumnStripes="0"/>
</table>
</file>

<file path=xl/tables/table6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8" xr:uid="{AD895F49-2DAC-4408-8E0E-777DEFC79581}" name="Tabla461487182755759765779" displayName="Tabla461487182755759765779" ref="M148:M152" totalsRowShown="0" headerRowDxfId="3279" dataDxfId="3278" tableBorderDxfId="3277">
  <autoFilter ref="M148:M152" xr:uid="{AD895F49-2DAC-4408-8E0E-777DEFC79581}"/>
  <tableColumns count="1">
    <tableColumn id="1" xr3:uid="{DD018337-62E1-47B9-B2A9-7B771133608A}" name="Preparacion" dataDxfId="3276"/>
  </tableColumns>
  <tableStyleInfo showFirstColumn="0" showLastColumn="0" showRowStripes="1" showColumnStripes="0"/>
</table>
</file>

<file path=xl/tables/table6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9" xr:uid="{BF3691FC-E931-4B39-8032-5AB7E56CF2F1}" name="Tabla461487182381756760766780" displayName="Tabla461487182381756760766780" ref="M154:M155" insertRow="1" totalsRowShown="0" headerRowDxfId="3275" dataDxfId="3274" tableBorderDxfId="3273">
  <autoFilter ref="M154:M155" xr:uid="{BF3691FC-E931-4B39-8032-5AB7E56CF2F1}"/>
  <tableColumns count="1">
    <tableColumn id="1" xr3:uid="{B4CFE95F-F367-49B8-A4A3-A2E82A56D411}" name="Emplatado" dataDxfId="3272"/>
  </tableColumns>
  <tableStyleInfo showFirstColumn="0" showLastColumn="0" showRowStripes="1" showColumnStripes="0"/>
</table>
</file>

<file path=xl/tables/table6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0" xr:uid="{5740F145-7F2A-45B8-BC0D-DBCA0A4245E0}" name="Tabla461487182755759765781" displayName="Tabla461487182755759765781" ref="M160:M164" totalsRowShown="0" headerRowDxfId="3271" dataDxfId="3270" tableBorderDxfId="3269">
  <autoFilter ref="M160:M164" xr:uid="{5740F145-7F2A-45B8-BC0D-DBCA0A4245E0}"/>
  <tableColumns count="1">
    <tableColumn id="1" xr3:uid="{EBC3BD91-6920-4C9C-A452-E063118360D4}" name="Preparacion" dataDxfId="3268"/>
  </tableColumns>
  <tableStyleInfo showFirstColumn="0" showLastColumn="0" showRowStripes="1" showColumnStripes="0"/>
</table>
</file>

<file path=xl/tables/table6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1" xr:uid="{0C87C2B7-FC94-4617-BD9F-A761C8F0828B}" name="Tabla461487182381756760766782" displayName="Tabla461487182381756760766782" ref="M166:M167" insertRow="1" totalsRowShown="0" headerRowDxfId="3267" dataDxfId="3266" tableBorderDxfId="3265">
  <autoFilter ref="M166:M167" xr:uid="{0C87C2B7-FC94-4617-BD9F-A761C8F0828B}"/>
  <tableColumns count="1">
    <tableColumn id="1" xr3:uid="{FB772CE0-2F74-4566-84B8-2217D5118D00}" name="Emplatado" dataDxfId="3264"/>
  </tableColumns>
  <tableStyleInfo showFirstColumn="0" showLastColumn="0" showRowStripes="1" showColumnStripes="0"/>
</table>
</file>

<file path=xl/tables/table6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2" xr:uid="{C3E3AD92-D4DA-442C-A6BF-1C01419EC2C2}" name="Tabla461487182755759765783" displayName="Tabla461487182755759765783" ref="M171:M175" totalsRowShown="0" headerRowDxfId="3263" dataDxfId="3262" tableBorderDxfId="3261">
  <autoFilter ref="M171:M175" xr:uid="{C3E3AD92-D4DA-442C-A6BF-1C01419EC2C2}"/>
  <tableColumns count="1">
    <tableColumn id="1" xr3:uid="{F6CD8B47-B3D6-4B9E-AF99-E40C391D879B}" name="Preparacion" dataDxfId="3260"/>
  </tableColumns>
  <tableStyleInfo showFirstColumn="0" showLastColumn="0" showRowStripes="1" showColumnStripes="0"/>
</table>
</file>

<file path=xl/tables/table6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3" xr:uid="{11828B7A-FF18-4F0D-B23F-89358F365467}" name="Tabla461487182381756760766784" displayName="Tabla461487182381756760766784" ref="M177:M178" insertRow="1" totalsRowShown="0" headerRowDxfId="3259" dataDxfId="3258" tableBorderDxfId="3257">
  <autoFilter ref="M177:M178" xr:uid="{11828B7A-FF18-4F0D-B23F-89358F365467}"/>
  <tableColumns count="1">
    <tableColumn id="1" xr3:uid="{647BFE6B-6358-4163-8A83-6B1DA9876444}" name="Emplatado" dataDxfId="3256"/>
  </tableColumns>
  <tableStyleInfo showFirstColumn="0" showLastColumn="0" showRowStripes="1" showColumnStripes="0"/>
</table>
</file>

<file path=xl/tables/table6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4" xr:uid="{95572B1E-EF89-4130-88F5-25670058A665}" name="Tabla461487182755759765785" displayName="Tabla461487182755759765785" ref="M187:M191" totalsRowShown="0" headerRowDxfId="3255" dataDxfId="3254" tableBorderDxfId="3253">
  <autoFilter ref="M187:M191" xr:uid="{95572B1E-EF89-4130-88F5-25670058A665}"/>
  <tableColumns count="1">
    <tableColumn id="1" xr3:uid="{388FF232-6A88-498D-956D-B4569681EC8D}" name="Preparacion" dataDxfId="3252"/>
  </tableColumns>
  <tableStyleInfo showFirstColumn="0" showLastColumn="0" showRowStripes="1" showColumnStripes="0"/>
</table>
</file>

<file path=xl/tables/table6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5" xr:uid="{17EFD01F-1923-4A80-8448-07BA0EBBEC43}" name="Tabla461487182381756760766786" displayName="Tabla461487182381756760766786" ref="M193:M194" insertRow="1" totalsRowShown="0" headerRowDxfId="3251" dataDxfId="3250" tableBorderDxfId="3249">
  <autoFilter ref="M193:M194" xr:uid="{17EFD01F-1923-4A80-8448-07BA0EBBEC43}"/>
  <tableColumns count="1">
    <tableColumn id="1" xr3:uid="{133542B4-7779-490D-B409-769D6C5C9762}" name="Emplatado" dataDxfId="3248"/>
  </tableColumns>
  <tableStyleInfo showFirstColumn="0" showLastColumn="0" showRowStripes="1" showColumnStripes="0"/>
</table>
</file>

<file path=xl/tables/table6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6" xr:uid="{791A0A18-2572-4B07-9EAE-96B502B3D504}" name="Tabla461487182755759765787" displayName="Tabla461487182755759765787" ref="M199:M203" totalsRowShown="0" headerRowDxfId="3247" dataDxfId="3246" tableBorderDxfId="3245">
  <autoFilter ref="M199:M203" xr:uid="{791A0A18-2572-4B07-9EAE-96B502B3D504}"/>
  <tableColumns count="1">
    <tableColumn id="1" xr3:uid="{ADEF67F1-30E5-48A3-884C-E974DB4D3B31}" name="Preparacion" dataDxfId="3244"/>
  </tableColumns>
  <tableStyleInfo showFirstColumn="0" showLastColumn="0" showRowStripes="1" showColumnStripes="0"/>
</table>
</file>

<file path=xl/tables/table6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7" xr:uid="{7DB9A80F-7126-4102-B8C6-901BD7F603D4}" name="Tabla461487182381756760766788" displayName="Tabla461487182381756760766788" ref="M205:M206" insertRow="1" totalsRowShown="0" headerRowDxfId="3243" dataDxfId="3242" tableBorderDxfId="3241">
  <autoFilter ref="M205:M206" xr:uid="{7DB9A80F-7126-4102-B8C6-901BD7F603D4}"/>
  <tableColumns count="1">
    <tableColumn id="1" xr3:uid="{699AFD33-58E1-43C1-B900-2F4E7E4D80A9}" name="Emplatado" dataDxfId="3240"/>
  </tableColumns>
  <tableStyleInfo showFirstColumn="0" showLastColumn="0" showRowStripes="1" showColumnStripes="0"/>
</table>
</file>

<file path=xl/tables/table6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8" xr:uid="{AC632C91-FC37-485B-8FD4-DEDF76150C0C}" name="Tabla461487182755759765789" displayName="Tabla461487182755759765789" ref="M212:M216" totalsRowShown="0" headerRowDxfId="3239" dataDxfId="3238" tableBorderDxfId="3237">
  <autoFilter ref="M212:M216" xr:uid="{AC632C91-FC37-485B-8FD4-DEDF76150C0C}"/>
  <tableColumns count="1">
    <tableColumn id="1" xr3:uid="{12D3C0A1-BADC-4E60-A232-4120F19DA211}" name="Preparacion" dataDxfId="3236"/>
  </tableColumns>
  <tableStyleInfo showFirstColumn="0" showLastColumn="0" showRowStripes="1" showColumnStripes="0"/>
</table>
</file>

<file path=xl/tables/table6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9" xr:uid="{AB85D3F2-FB6B-4121-ADE7-CAA99B866055}" name="Tabla461487182381756760766790" displayName="Tabla461487182381756760766790" ref="M218:M219" insertRow="1" totalsRowShown="0" headerRowDxfId="3235" dataDxfId="3234" tableBorderDxfId="3233">
  <autoFilter ref="M218:M219" xr:uid="{AB85D3F2-FB6B-4121-ADE7-CAA99B866055}"/>
  <tableColumns count="1">
    <tableColumn id="1" xr3:uid="{CF46A912-D707-4B7C-9CB0-1DFD2E27FB32}" name="Emplatado" dataDxfId="3232"/>
  </tableColumns>
  <tableStyleInfo showFirstColumn="0" showLastColumn="0" showRowStripes="1" showColumnStripes="0"/>
</table>
</file>

<file path=xl/tables/table6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32C78571-779F-4FB8-95F8-0786E90A8496}" name="Tabla1103453454455456479455868778695108117127136228" displayName="Tabla1103453454455456479455868778695108117127136228" ref="B7:H15" totalsRowCount="1" headerRowDxfId="6670" dataDxfId="6668" totalsRowDxfId="6666" headerRowBorderDxfId="6669" tableBorderDxfId="6667" totalsRowBorderDxfId="6665">
  <autoFilter ref="B7:H14" xr:uid="{25E24D6A-940D-4437-B263-679AE371D044}"/>
  <sortState xmlns:xlrd2="http://schemas.microsoft.com/office/spreadsheetml/2017/richdata2" ref="B8:H13">
    <sortCondition ref="B9:B13"/>
  </sortState>
  <tableColumns count="7">
    <tableColumn id="2" xr3:uid="{CF2EAC19-A5E6-40C4-8FF1-33AA7A51C221}" name="Ingrediente" dataDxfId="6664" totalsRowDxfId="6663"/>
    <tableColumn id="3" xr3:uid="{4DCCAB47-C0AF-4819-A476-6CE3C18C6979}" name="Und" dataDxfId="6662" totalsRowDxfId="6661"/>
    <tableColumn id="4" xr3:uid="{65D23AAD-C51E-4D5C-82AF-F9B33AE3AB5D}" name="Cant." dataDxfId="6660" totalsRowDxfId="6659"/>
    <tableColumn id="1" xr3:uid="{5E07C7D9-D1AA-48C7-A458-99B5FBC8331B}" name="Columna1" dataDxfId="6658" totalsRowDxfId="6657"/>
    <tableColumn id="7" xr3:uid="{7547D3AF-33CE-4E8B-B079-AE033425B006}" name="Columna2" dataDxfId="6656" totalsRowDxfId="6655"/>
    <tableColumn id="5" xr3:uid="{06C7A540-66D6-4B90-84B1-6463ADAA219D}" name="Costo" dataDxfId="6654" totalsRowDxfId="6653" dataCellStyle="Moneda">
      <calculatedColumnFormula>+VLOOKUP(Tabla1103453454455456479455868778695108117127136228[[#This Row],[Ingrediente]],Tabla34[#All],3,0)</calculatedColumnFormula>
    </tableColumn>
    <tableColumn id="6" xr3:uid="{36BA17CA-EC63-4F41-B416-651284F367A9}" name="Total costo" totalsRowFunction="sum" dataDxfId="6652" totalsRowDxfId="6651" dataCellStyle="Moneda">
      <calculatedColumnFormula>+Tabla1103453454455456479455868778695108117127136228[[#This Row],[Costo]]*Tabla1103453454455456479455868778695108117127136228[[#This Row],[Columna2]]</calculatedColumnFormula>
    </tableColumn>
  </tableColumns>
  <tableStyleInfo name="TableStyleLight8" showFirstColumn="0" showLastColumn="0" showRowStripes="1" showColumnStripes="0"/>
</table>
</file>

<file path=xl/tables/table6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B9DAE5B0-0B5B-4182-BA6E-9418C54365CD}" name="Tabla110345345445545647936465969788796109118128137229" displayName="Tabla110345345445545647936465969788796109118128137229" ref="B19:H26" totalsRowCount="1" headerRowDxfId="6650" dataDxfId="6648" totalsRowDxfId="6646" headerRowBorderDxfId="6649" tableBorderDxfId="6647" totalsRowBorderDxfId="6645">
  <autoFilter ref="B19:H25" xr:uid="{465BE583-B429-4C2B-93EC-227E72041455}"/>
  <sortState xmlns:xlrd2="http://schemas.microsoft.com/office/spreadsheetml/2017/richdata2" ref="B20:H23">
    <sortCondition descending="1" ref="H21:H23"/>
  </sortState>
  <tableColumns count="7">
    <tableColumn id="2" xr3:uid="{1D44C3CF-7CCF-4725-BB6C-DB46E17CA2BA}" name="ArtÃ­culo" dataDxfId="6644" totalsRowDxfId="6643"/>
    <tableColumn id="3" xr3:uid="{8D76786E-840F-47B8-BC33-216CD5B4D340}" name="Unidad Medida" dataDxfId="6642" totalsRowDxfId="6641"/>
    <tableColumn id="4" xr3:uid="{F1A72D96-A8D2-4984-ACED-EDAEE848CCF4}" name="Unidades Netas" dataDxfId="6640" totalsRowDxfId="6639"/>
    <tableColumn id="1" xr3:uid="{2554326A-F1A3-4DC6-A0C0-8A46F55F6630}" name="% Merma" dataDxfId="6638" totalsRowDxfId="6637"/>
    <tableColumn id="7" xr3:uid="{63E3D1E8-C419-40A8-9A0F-0BCB9BA376BB}" name="Unidades" dataDxfId="6636" totalsRowDxfId="6635"/>
    <tableColumn id="5" xr3:uid="{49832756-C4DE-48B7-843E-5CE03EBF21E5}" name="Coste Componente" dataDxfId="6634" totalsRowDxfId="6633" dataCellStyle="Moneda">
      <calculatedColumnFormula>+VLOOKUP(Tabla110345345445545647936465969788796109118128137229[[#This Row],[ArtÃ­culo]],Tabla34[#All],3,0)</calculatedColumnFormula>
    </tableColumn>
    <tableColumn id="6" xr3:uid="{4E27F53B-9834-4D91-8596-E89041BD04CD}" name="Coste LÃ­nea" totalsRowFunction="sum" dataDxfId="6632" totalsRowDxfId="6631" dataCellStyle="Moneda">
      <calculatedColumnFormula>+Tabla110345345445545647936465969788796109118128137229[[#This Row],[Coste Componente]]*Tabla110345345445545647936465969788796109118128137229[[#This Row],[Unidades]]</calculatedColumnFormula>
    </tableColumn>
  </tableColumns>
  <tableStyleInfo name="TableStyleLight8" showFirstColumn="0" showLastColumn="0" showRowStripes="1" showColumnStripes="0"/>
</table>
</file>

<file path=xl/tables/table6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D609A543-B728-4145-9843-4804E650844E}" name="Tabla11034534544554564793637476070798897110119129138230" displayName="Tabla11034534544554564793637476070798897110119129138230" ref="B30:H37" totalsRowCount="1" headerRowDxfId="6630" dataDxfId="6628" totalsRowDxfId="6626" headerRowBorderDxfId="6629" tableBorderDxfId="6627" totalsRowBorderDxfId="6625">
  <autoFilter ref="B30:H36" xr:uid="{D046284E-C2C1-4680-A383-F9B742CBF79C}"/>
  <sortState xmlns:xlrd2="http://schemas.microsoft.com/office/spreadsheetml/2017/richdata2" ref="B31:H36">
    <sortCondition descending="1" ref="H191:H207"/>
  </sortState>
  <tableColumns count="7">
    <tableColumn id="2" xr3:uid="{49017324-AFB4-472E-A503-EE6A5B820E0E}" name="ArtÃ­culo" dataDxfId="6624" totalsRowDxfId="6623"/>
    <tableColumn id="3" xr3:uid="{D6F1A59E-2720-4D1E-ADF0-6A8E84E120EC}" name="Unidad Medida" dataDxfId="6622" totalsRowDxfId="6621"/>
    <tableColumn id="4" xr3:uid="{67A32F0D-E155-4F0B-8EC5-1B7CF07917A6}" name="Unidades Netas" dataDxfId="6620" totalsRowDxfId="6619"/>
    <tableColumn id="1" xr3:uid="{9CF3E6AA-6A53-4AE0-8643-EA7155AE43EE}" name="% Merma" dataDxfId="6618" totalsRowDxfId="6617"/>
    <tableColumn id="7" xr3:uid="{9FC8330E-3E77-4944-8E4B-BCC371BB1D47}" name="Unidades" dataDxfId="6616" totalsRowDxfId="6615"/>
    <tableColumn id="5" xr3:uid="{B65EAC24-D13B-43F9-B06F-3A2B8856655E}" name="Coste Componente" dataDxfId="6614" totalsRowDxfId="6613" dataCellStyle="Moneda">
      <calculatedColumnFormula>+VLOOKUP(Tabla11034534544554564793637476070798897110119129138230[[#This Row],[ArtÃ­culo]],Tabla34[#All],3,0)</calculatedColumnFormula>
    </tableColumn>
    <tableColumn id="6" xr3:uid="{5140E116-C716-433F-9F40-4EA1DCFE0304}" name="Coste LÃ­nea" totalsRowFunction="sum" dataDxfId="6612" totalsRowDxfId="6611" dataCellStyle="Moneda">
      <calculatedColumnFormula>+Tabla11034534544554564793637476070798897110119129138230[[#This Row],[Coste Componente]]*Tabla11034534544554564793637476070798897110119129138230[[#This Row],[Unidades]]</calculatedColumnFormula>
    </tableColumn>
  </tableColumns>
  <tableStyleInfo name="TableStyleLight8" showFirstColumn="0" showLastColumn="0" showRowStripes="1" showColumnStripes="0"/>
</table>
</file>

<file path=xl/tables/table6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A2D9A7EA-52BB-4D72-A53D-C00A28653F02}" name="Tabla11034534544554564793637476070798897110119129138230271" displayName="Tabla11034534544554564793637476070798897110119129138230271" ref="B42:H47" totalsRowCount="1" headerRowDxfId="6610" dataDxfId="6608" totalsRowDxfId="6606" headerRowBorderDxfId="6609" tableBorderDxfId="6607" totalsRowBorderDxfId="6605">
  <autoFilter ref="B42:H46" xr:uid="{1F09B9A3-9F30-4238-BBC8-AEF4AD1E7EF6}"/>
  <sortState xmlns:xlrd2="http://schemas.microsoft.com/office/spreadsheetml/2017/richdata2" ref="B43:H46">
    <sortCondition descending="1" ref="H189:H205"/>
  </sortState>
  <tableColumns count="7">
    <tableColumn id="2" xr3:uid="{ED6DE8C0-FFEE-4C2A-9A44-F222FA03EBB6}" name="Ingrediente" dataDxfId="6604" totalsRowDxfId="6603"/>
    <tableColumn id="3" xr3:uid="{30CD6426-F6D6-4BE8-A31C-D221E85CBBBD}" name="Und" dataDxfId="6602" totalsRowDxfId="6601"/>
    <tableColumn id="4" xr3:uid="{91BA36FC-33B4-4638-B336-96E3D42339A4}" name="Cant." dataDxfId="6600" totalsRowDxfId="6599"/>
    <tableColumn id="1" xr3:uid="{6E5428CB-C0AD-4BE9-8F8D-BD4CD01507A8}" name="Columna1" dataDxfId="6598" totalsRowDxfId="6597"/>
    <tableColumn id="7" xr3:uid="{B5D021CA-19A5-4BA0-8A01-0DCF78E5301C}" name="Columna2" dataDxfId="6596" totalsRowDxfId="6595"/>
    <tableColumn id="5" xr3:uid="{82FB2E4A-800F-4541-90DF-4DE0CA579447}" name="Costo" dataDxfId="6594" totalsRowDxfId="6593" dataCellStyle="Moneda">
      <calculatedColumnFormula>+VLOOKUP(Tabla11034534544554564793637476070798897110119129138230271[[#This Row],[Ingrediente]],Tabla34[#All],3,0)</calculatedColumnFormula>
    </tableColumn>
    <tableColumn id="6" xr3:uid="{75B3423F-E53B-4754-B97F-5F59A9603CD4}" name="Total costo" totalsRowFunction="sum" dataDxfId="6592" totalsRowDxfId="6591" dataCellStyle="Moneda">
      <calculatedColumnFormula>+Tabla11034534544554564793637476070798897110119129138230271[[#This Row],[Costo]]*Tabla11034534544554564793637476070798897110119129138230271[[#This Row],[Columna2]]</calculatedColumnFormula>
    </tableColumn>
  </tableColumns>
  <tableStyleInfo name="TableStyleLight8" showFirstColumn="0" showLastColumn="0" showRowStripes="1" showColumnStripes="0"/>
</table>
</file>

<file path=xl/tables/table6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8C71CCCB-6441-46D5-83A6-62ED7B9016CE}" name="Tabla11034534544554564793637476070798897110119129138230271161" displayName="Tabla11034534544554564793637476070798897110119129138230271161" ref="B55:H62" totalsRowCount="1" headerRowDxfId="6590" dataDxfId="6588" totalsRowDxfId="6586" headerRowBorderDxfId="6589" tableBorderDxfId="6587" totalsRowBorderDxfId="6585">
  <autoFilter ref="B55:H61" xr:uid="{8C71CCCB-6441-46D5-83A6-62ED7B9016CE}"/>
  <sortState xmlns:xlrd2="http://schemas.microsoft.com/office/spreadsheetml/2017/richdata2" ref="B56:H59">
    <sortCondition descending="1" ref="H189:H205"/>
  </sortState>
  <tableColumns count="7">
    <tableColumn id="2" xr3:uid="{DD3D7739-26BB-4E8D-A63D-93FC3C718AEE}" name="Ingrediente" dataDxfId="6584" totalsRowDxfId="6583"/>
    <tableColumn id="3" xr3:uid="{6693E18A-2DCA-404F-AE4A-C44BE9E34E97}" name="Und" dataDxfId="6582" totalsRowDxfId="6581"/>
    <tableColumn id="4" xr3:uid="{18406FCA-7FBF-4A40-9FED-0F18DCAE2A39}" name="Cant." dataDxfId="6580" totalsRowDxfId="6579"/>
    <tableColumn id="1" xr3:uid="{FECB4765-951C-47BE-95BD-32412AE53DFF}" name="Columna1" dataDxfId="6578" totalsRowDxfId="6577"/>
    <tableColumn id="7" xr3:uid="{9A12B6D2-B753-4368-BE4C-8576361F6940}" name="Columna2" dataDxfId="6576" totalsRowDxfId="6575"/>
    <tableColumn id="5" xr3:uid="{7A35D771-D20D-483F-B344-D90EFFD04E8B}" name="Costo" dataDxfId="6574" totalsRowDxfId="6573" dataCellStyle="Moneda">
      <calculatedColumnFormula>+VLOOKUP(Tabla11034534544554564793637476070798897110119129138230271161[[#This Row],[Ingrediente]],Tabla34[#All],3,0)</calculatedColumnFormula>
    </tableColumn>
    <tableColumn id="6" xr3:uid="{75C2A1D2-189C-4A2C-BF28-6446019B0AB8}" name="Total costo" totalsRowFunction="sum" dataDxfId="6572" totalsRowDxfId="6571" dataCellStyle="Moneda">
      <calculatedColumnFormula>+Tabla11034534544554564793637476070798897110119129138230271161[[#This Row],[Costo]]*Tabla11034534544554564793637476070798897110119129138230271161[[#This Row],[Columna2]]</calculatedColumnFormula>
    </tableColumn>
  </tableColumns>
  <tableStyleInfo name="TableStyleLight8" showFirstColumn="0" showLastColumn="0" showRowStripes="1" showColumnStripes="0"/>
</table>
</file>

<file path=xl/tables/table6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6" xr:uid="{EE975B38-58DD-4187-BE74-0DB978074438}" name="Tabla46148718279179782986188389290593010011007" displayName="Tabla46148718279179782986188389290593010011007" ref="M6:M7" insertRow="1" totalsRowShown="0" headerRowDxfId="2800" dataDxfId="2799" tableBorderDxfId="2798">
  <autoFilter ref="M6:M7" xr:uid="{EE975B38-58DD-4187-BE74-0DB978074438}"/>
  <tableColumns count="1">
    <tableColumn id="1" xr3:uid="{A348DCDA-91F8-46CB-93ED-1392329932AD}" name="Preparacion" dataDxfId="2797"/>
  </tableColumns>
  <tableStyleInfo showFirstColumn="0" showLastColumn="0" showRowStripes="1" showColumnStripes="0"/>
</table>
</file>

<file path=xl/tables/table6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7" xr:uid="{C0F4196D-4981-4580-B9AF-0E6AEB9FB6B1}" name="Tabla46148718279179782986188389290593010011008" displayName="Tabla46148718279179782986188389290593010011008" ref="M18:M19" insertRow="1" totalsRowShown="0" headerRowDxfId="2796" dataDxfId="2795" tableBorderDxfId="2794">
  <autoFilter ref="M18:M19" xr:uid="{C0F4196D-4981-4580-B9AF-0E6AEB9FB6B1}"/>
  <tableColumns count="1">
    <tableColumn id="1" xr3:uid="{CCE94DE7-6D90-4E37-B75E-75AA7EB92A6B}" name="Preparacion" dataDxfId="2793"/>
  </tableColumns>
  <tableStyleInfo showFirstColumn="0" showLastColumn="0" showRowStripes="1" showColumnStripes="0"/>
</table>
</file>

<file path=xl/tables/table6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8" xr:uid="{C32023D5-A82D-4130-A5C8-51760C0B7C83}" name="Tabla46148718279179782986188389290593010011009" displayName="Tabla46148718279179782986188389290593010011009" ref="M29:M30" insertRow="1" totalsRowShown="0" headerRowDxfId="2792" dataDxfId="2791" tableBorderDxfId="2790">
  <autoFilter ref="M29:M30" xr:uid="{C32023D5-A82D-4130-A5C8-51760C0B7C83}"/>
  <tableColumns count="1">
    <tableColumn id="1" xr3:uid="{AC5F2614-7BE2-4E9D-9CC5-E03EE4D29BFE}" name="Preparacion" dataDxfId="2789"/>
  </tableColumns>
  <tableStyleInfo showFirstColumn="0" showLastColumn="0" showRowStripes="1" showColumnStripes="0"/>
</table>
</file>

<file path=xl/tables/table6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9" xr:uid="{0413E078-9F93-4781-A5B7-B365DD46FB73}" name="Tabla46148718279179782986188389290593010011010" displayName="Tabla46148718279179782986188389290593010011010" ref="M41:M42" insertRow="1" totalsRowShown="0" headerRowDxfId="2788" dataDxfId="2787" tableBorderDxfId="2786">
  <autoFilter ref="M41:M42" xr:uid="{0413E078-9F93-4781-A5B7-B365DD46FB73}"/>
  <tableColumns count="1">
    <tableColumn id="1" xr3:uid="{1BE0217A-82B0-4EA9-B057-E512D1CAC28D}" name="Preparacion" dataDxfId="2785"/>
  </tableColumns>
  <tableStyleInfo showFirstColumn="0" showLastColumn="0" showRowStripes="1" showColumnStripes="0"/>
</table>
</file>

<file path=xl/tables/table6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0" xr:uid="{C92C85CE-E191-44B7-A628-C63FCBB11C94}" name="Tabla46148718279179782986188389290593010011011" displayName="Tabla46148718279179782986188389290593010011011" ref="M54:M55" insertRow="1" totalsRowShown="0" headerRowDxfId="2784" dataDxfId="2783" tableBorderDxfId="2782">
  <autoFilter ref="M54:M55" xr:uid="{C92C85CE-E191-44B7-A628-C63FCBB11C94}"/>
  <tableColumns count="1">
    <tableColumn id="1" xr3:uid="{F780672F-9163-4130-8E63-AC6882E1D1FD}" name="Preparacion" dataDxfId="2781"/>
  </tableColumns>
  <tableStyleInfo showFirstColumn="0" showLastColumn="0" showRowStripes="1" showColumnStripes="0"/>
</table>
</file>

<file path=xl/tables/table6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34BC144B-5386-4457-AD24-4D08B29D1FEF}" name="Tabla110345345445545647945586877869510811712713622823724627233260269297315316384392394396416418302" displayName="Tabla110345345445545647945586877869510811712713622823724627233260269297315316384392394396416418302" ref="B7:H16" totalsRowCount="1" headerRowDxfId="6298" dataDxfId="6296" totalsRowDxfId="6294" headerRowBorderDxfId="6297" tableBorderDxfId="6295" totalsRowBorderDxfId="6293">
  <autoFilter ref="B7:H15" xr:uid="{25E24D6A-940D-4437-B263-679AE371D044}"/>
  <sortState xmlns:xlrd2="http://schemas.microsoft.com/office/spreadsheetml/2017/richdata2" ref="B8:H15">
    <sortCondition descending="1" ref="H10"/>
  </sortState>
  <tableColumns count="7">
    <tableColumn id="2" xr3:uid="{26B6BE6C-FA47-4B64-B39D-4F7C86393863}" name="ArtÃ­culo" dataDxfId="6292" totalsRowDxfId="6291"/>
    <tableColumn id="3" xr3:uid="{77840727-7FD8-496D-BAF3-15BE3C4B3B60}" name="Unidad Medida" dataDxfId="6290" totalsRowDxfId="6289"/>
    <tableColumn id="4" xr3:uid="{BDC75C1F-2122-4335-88E2-36E46A7891D1}" name="Unidades Netas" dataDxfId="6288" totalsRowDxfId="6287"/>
    <tableColumn id="1" xr3:uid="{E9499ECC-5026-43F6-9DF6-B5D3BE956F6A}" name="% Merma" dataDxfId="6286" totalsRowDxfId="6285"/>
    <tableColumn id="7" xr3:uid="{C23DE974-7C54-4484-9C09-FBA1BB95E871}" name="Unidades" dataDxfId="6284" totalsRowDxfId="6283"/>
    <tableColumn id="5" xr3:uid="{525888A2-C476-4F3B-88AC-369661FACD3A}" name="Coste Componente" dataDxfId="6282" totalsRowDxfId="6281" dataCellStyle="Moneda">
      <calculatedColumnFormula>+VLOOKUP(Tabla110345345445545647945586877869510811712713622823724627233260269297315316384392394396416418302[[#This Row],[ArtÃ­culo]],Tabla34[#All],3,0)</calculatedColumnFormula>
    </tableColumn>
    <tableColumn id="6" xr3:uid="{0D2FDCC7-A6B7-4D14-A77E-7AFB0690C8A7}" name="Coste LÃ­nea" totalsRowFunction="sum" dataDxfId="6280" totalsRowDxfId="6279" dataCellStyle="Moneda">
      <calculatedColumnFormula>+Tabla110345345445545647945586877869510811712713622823724627233260269297315316384392394396416418302[[#This Row],[Coste Componente]]*Tabla110345345445545647945586877869510811712713622823724627233260269297315316384392394396416418302[[#This Row],[Unidades]]</calculatedColumnFormula>
    </tableColumn>
  </tableColumns>
  <tableStyleInfo name="TableStyleLight8" showFirstColumn="0" showLastColumn="0" showRowStripes="1" showColumnStripes="0"/>
</table>
</file>

<file path=xl/tables/table6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0" xr:uid="{F1CFE823-0490-4607-B742-FA2B13592D09}" name="Tabla4614871827917978298618838929059301001" displayName="Tabla4614871827917978298618838929059301001" ref="M6:M7" insertRow="1" totalsRowShown="0" headerRowDxfId="2824" dataDxfId="2823" tableBorderDxfId="2822">
  <autoFilter ref="M6:M7" xr:uid="{F1CFE823-0490-4607-B742-FA2B13592D09}"/>
  <tableColumns count="1">
    <tableColumn id="1" xr3:uid="{7BAC5EA4-C9C6-4AF7-AA0F-45991E7C0B3D}" name="Preparacion" dataDxfId="2821"/>
  </tableColumns>
  <tableStyleInfo showFirstColumn="0" showLastColumn="0" showRowStripes="1" showColumnStripes="0"/>
</table>
</file>

<file path=xl/tables/table6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3318189-1800-4555-A5AF-015B164682E4}" name="Tabla1103453454455456479116117118120740126148156" displayName="Tabla1103453454455456479116117118120740126148156" ref="B7:H14" totalsRowCount="1" headerRowDxfId="9531" dataDxfId="9529" totalsRowDxfId="9527" headerRowBorderDxfId="9530" tableBorderDxfId="9528" totalsRowBorderDxfId="9526">
  <autoFilter ref="B7:H13" xr:uid="{73318189-1800-4555-A5AF-015B164682E4}"/>
  <sortState xmlns:xlrd2="http://schemas.microsoft.com/office/spreadsheetml/2017/richdata2" ref="B8:H8">
    <sortCondition descending="1" ref="H107:H123"/>
  </sortState>
  <tableColumns count="7">
    <tableColumn id="2" xr3:uid="{299C52CC-9F07-4740-89A4-180FBB41323E}" name="ArtÃ­culo" dataDxfId="9525" totalsRowDxfId="9524"/>
    <tableColumn id="3" xr3:uid="{8ED31CEC-A8D6-45FB-878F-0E76440242D3}" name="Unidad Medida" dataDxfId="9523" totalsRowDxfId="9522"/>
    <tableColumn id="4" xr3:uid="{30F5FAAA-7036-421A-A093-3EA604C9730F}" name="Unidades Netas" dataDxfId="9521" totalsRowDxfId="9520"/>
    <tableColumn id="1" xr3:uid="{75912D4B-603A-4371-B550-89C1BFC9EC4C}" name="% Merma" dataDxfId="9519" totalsRowDxfId="9518"/>
    <tableColumn id="7" xr3:uid="{7A234A9D-E76E-41DB-9CB6-04C68A23A0DF}" name="Unidades" dataDxfId="9517" totalsRowDxfId="9516"/>
    <tableColumn id="5" xr3:uid="{AEA808CB-F41B-4A81-B25B-2B2767A54A6E}" name="Coste Componente" dataDxfId="9515" totalsRowDxfId="9514" dataCellStyle="Moneda">
      <calculatedColumnFormula>+VLOOKUP(Tabla1103453454455456479116117118120740126148156[[#This Row],[ArtÃ­culo]],Tabla34[#All],3,0)</calculatedColumnFormula>
    </tableColumn>
    <tableColumn id="6" xr3:uid="{E44B8026-B02B-4F43-80F4-6B3B1612C6B6}" name="Coste LÃ­nea" totalsRowFunction="sum" dataDxfId="9513" totalsRowDxfId="9512" dataCellStyle="Moneda">
      <calculatedColumnFormula>+Tabla1103453454455456479116117118120740126148156[[#This Row],[Coste Componente]]*Tabla1103453454455456479116117118120740126148156[[#This Row],[Unidades]]</calculatedColumnFormula>
    </tableColumn>
  </tableColumns>
  <tableStyleInfo name="TableStyleLight8" showFirstColumn="0" showLastColumn="0" showRowStripes="1" showColumnStripes="0"/>
</table>
</file>

<file path=xl/tables/table6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A893D5-4A85-4FC1-988B-017316729625}" name="Tabla11034534544554564791161171181207401261481564" displayName="Tabla11034534544554564791161171181207401261481564" ref="B18:H24" totalsRowCount="1" headerRowDxfId="9511" dataDxfId="9509" totalsRowDxfId="9507" headerRowBorderDxfId="9510" tableBorderDxfId="9508" totalsRowBorderDxfId="9506">
  <autoFilter ref="B18:H23" xr:uid="{E3A893D5-4A85-4FC1-988B-017316729625}"/>
  <sortState xmlns:xlrd2="http://schemas.microsoft.com/office/spreadsheetml/2017/richdata2" ref="B19:H19">
    <sortCondition descending="1" ref="H85:H101"/>
  </sortState>
  <tableColumns count="7">
    <tableColumn id="2" xr3:uid="{40D04478-0B57-4B0C-974B-7A31F2D5A805}" name="ArtÃ­culo" dataDxfId="9505" totalsRowDxfId="9504"/>
    <tableColumn id="3" xr3:uid="{2A47F000-8050-422D-B758-847F440891E8}" name="Unidad Medida" dataDxfId="9503" totalsRowDxfId="9502"/>
    <tableColumn id="4" xr3:uid="{F755D95D-AD08-4890-BFCF-2D1B8F0518B9}" name="Unidades Netas" dataDxfId="9501" totalsRowDxfId="9500"/>
    <tableColumn id="1" xr3:uid="{1ECDC3ED-040B-4F38-B86C-25D2E25AF77C}" name="% Merma" dataDxfId="9499" totalsRowDxfId="9498"/>
    <tableColumn id="7" xr3:uid="{56449B1E-081E-485C-B996-762C2CB8EEBC}" name="Unidades" dataDxfId="9497" totalsRowDxfId="9496"/>
    <tableColumn id="5" xr3:uid="{EE6831D1-C9D6-4A86-861C-AE24A8A31064}" name="Coste Componente" dataDxfId="9495" totalsRowDxfId="9494" dataCellStyle="Moneda">
      <calculatedColumnFormula>+VLOOKUP(Tabla11034534544554564791161171181207401261481564[[#This Row],[ArtÃ­culo]],Tabla34[#All],3,0)</calculatedColumnFormula>
    </tableColumn>
    <tableColumn id="6" xr3:uid="{498A3795-7492-4057-B4EF-1928E047377F}" name="Coste LÃ­nea" totalsRowFunction="sum" dataDxfId="9493" totalsRowDxfId="9492" dataCellStyle="Moneda">
      <calculatedColumnFormula>+Tabla11034534544554564791161171181207401261481564[[#This Row],[Coste Componente]]*Tabla11034534544554564791161171181207401261481564[[#This Row],[Unidades]]</calculatedColumnFormula>
    </tableColumn>
  </tableColumns>
  <tableStyleInfo name="TableStyleLight8" showFirstColumn="0" showLastColumn="0" showRowStripes="1" showColumnStripes="0"/>
</table>
</file>

<file path=xl/tables/table6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D654A5-8079-4938-A553-4A387733718D}" name="Tabla110345345445545647911611711812074012614815645" displayName="Tabla110345345445545647911611711812074012614815645" ref="B27:H39" totalsRowCount="1" headerRowDxfId="9491" dataDxfId="9489" totalsRowDxfId="9487" headerRowBorderDxfId="9490" tableBorderDxfId="9488" totalsRowBorderDxfId="9486">
  <autoFilter ref="B27:H38" xr:uid="{97D654A5-8079-4938-A553-4A387733718D}"/>
  <sortState xmlns:xlrd2="http://schemas.microsoft.com/office/spreadsheetml/2017/richdata2" ref="B28:H28">
    <sortCondition descending="1" ref="H85:H101"/>
  </sortState>
  <tableColumns count="7">
    <tableColumn id="2" xr3:uid="{9C63FCC1-7289-4611-8D27-7F6EF117D539}" name="ArtÃ­culo" dataDxfId="9485" totalsRowDxfId="9484"/>
    <tableColumn id="3" xr3:uid="{14612B1E-9147-4A29-B32B-35021C17A2B3}" name="Unidad Medida" dataDxfId="9483" totalsRowDxfId="9482"/>
    <tableColumn id="4" xr3:uid="{C52FCF41-6410-495E-9166-0CF1A041152B}" name="Unidades Netas" dataDxfId="9481" totalsRowDxfId="9480"/>
    <tableColumn id="1" xr3:uid="{C06ECF8B-94BC-42B7-9FE4-63C1E68BD837}" name="% Merma" dataDxfId="9479" totalsRowDxfId="9478"/>
    <tableColumn id="7" xr3:uid="{3561809A-8483-49A3-9C20-57DEF2B3DBAB}" name="Unidades" dataDxfId="9477" totalsRowDxfId="9476"/>
    <tableColumn id="5" xr3:uid="{F48A30FA-5E8B-4CDB-9758-409C9C910295}" name="Coste Componente" dataDxfId="9475" totalsRowDxfId="9474" dataCellStyle="Moneda">
      <calculatedColumnFormula>+VLOOKUP(Tabla110345345445545647911611711812074012614815645[[#This Row],[ArtÃ­culo]],Tabla34[#All],3,0)</calculatedColumnFormula>
    </tableColumn>
    <tableColumn id="6" xr3:uid="{7B5E6888-9091-42F5-91B9-63BE85F80B5B}" name="Coste LÃ­nea" totalsRowFunction="sum" dataDxfId="9473" totalsRowDxfId="9472" dataCellStyle="Moneda">
      <calculatedColumnFormula>+Tabla110345345445545647911611711812074012614815645[[#This Row],[Coste Componente]]*Tabla110345345445545647911611711812074012614815645[[#This Row],[Unidades]]</calculatedColumnFormula>
    </tableColumn>
  </tableColumns>
  <tableStyleInfo name="TableStyleLight8" showFirstColumn="0" showLastColumn="0" showRowStripes="1" showColumnStripes="0"/>
</table>
</file>

<file path=xl/tables/table6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0B3A94-1444-44CB-A52F-802CB6FF428F}" name="Tabla11034534544554564791161171181207401261481564511" displayName="Tabla11034534544554564791161171181207401261481564511" ref="B43:H49" totalsRowCount="1" headerRowDxfId="9471" dataDxfId="9469" totalsRowDxfId="9467" headerRowBorderDxfId="9470" tableBorderDxfId="9468" totalsRowBorderDxfId="9466">
  <autoFilter ref="B43:H48" xr:uid="{200B3A94-1444-44CB-A52F-802CB6FF428F}"/>
  <sortState xmlns:xlrd2="http://schemas.microsoft.com/office/spreadsheetml/2017/richdata2" ref="B44:H44">
    <sortCondition descending="1" ref="H79:H95"/>
  </sortState>
  <tableColumns count="7">
    <tableColumn id="2" xr3:uid="{ED059855-0181-4531-AB03-0435CB30E0FB}" name="ArtÃ­culo" dataDxfId="9465" totalsRowDxfId="9464"/>
    <tableColumn id="3" xr3:uid="{34713F61-E9CC-48EF-BCA2-6D7B00C1AAC4}" name="Unidad Medida" dataDxfId="9463" totalsRowDxfId="9462"/>
    <tableColumn id="4" xr3:uid="{FC8D465E-79CF-4ADD-B0B4-BF6C56BB60A3}" name="Unidades Netas" dataDxfId="9461" totalsRowDxfId="9460"/>
    <tableColumn id="1" xr3:uid="{8821B181-15A8-487E-8A11-F5670C13888E}" name="% Merma" dataDxfId="9459" totalsRowDxfId="9458"/>
    <tableColumn id="7" xr3:uid="{7D55F021-C71A-46A0-8DEC-7E934AB4C2EC}" name="Unidades" dataDxfId="9457" totalsRowDxfId="9456"/>
    <tableColumn id="5" xr3:uid="{EC78000E-C0A5-4C54-A45F-A4C90CD79818}" name="Coste Componente" dataDxfId="9455" totalsRowDxfId="9454" dataCellStyle="Moneda">
      <calculatedColumnFormula>+VLOOKUP(Tabla11034534544554564791161171181207401261481564511[[#This Row],[ArtÃ­culo]],Tabla34[#All],3,0)</calculatedColumnFormula>
    </tableColumn>
    <tableColumn id="6" xr3:uid="{05AD9215-B191-4EC7-81C4-848577F1C44E}" name="Coste LÃ­nea" totalsRowFunction="sum" dataDxfId="9453" totalsRowDxfId="9452" dataCellStyle="Moneda">
      <calculatedColumnFormula>+Tabla11034534544554564791161171181207401261481564511[[#This Row],[Coste Componente]]*Tabla11034534544554564791161171181207401261481564511[[#This Row],[Unidades]]</calculatedColumnFormula>
    </tableColumn>
  </tableColumns>
  <tableStyleInfo name="TableStyleLight8" showFirstColumn="0" showLastColumn="0" showRowStripes="1" showColumnStripes="0"/>
</table>
</file>

<file path=xl/tables/table6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536E2A9-9C76-47DB-B0C7-432995FFC568}" name="Tabla1103453454455456479116117118120740126148156451112" displayName="Tabla1103453454455456479116117118120740126148156451112" ref="B53:H60" totalsRowCount="1" headerRowDxfId="9451" dataDxfId="9449" totalsRowDxfId="9447" headerRowBorderDxfId="9450" tableBorderDxfId="9448" totalsRowBorderDxfId="9446">
  <autoFilter ref="B53:H59" xr:uid="{4536E2A9-9C76-47DB-B0C7-432995FFC568}"/>
  <sortState xmlns:xlrd2="http://schemas.microsoft.com/office/spreadsheetml/2017/richdata2" ref="B54:H54">
    <sortCondition descending="1" ref="H79:H95"/>
  </sortState>
  <tableColumns count="7">
    <tableColumn id="2" xr3:uid="{8683E734-EC57-453D-9923-24EEAC69A226}" name="ArtÃ­culo" dataDxfId="9445" totalsRowDxfId="9444"/>
    <tableColumn id="3" xr3:uid="{31AA6BE1-816B-4E72-8414-DBDE444FD73B}" name="Unidad Medida" dataDxfId="9443" totalsRowDxfId="9442"/>
    <tableColumn id="4" xr3:uid="{AA4A056D-27C1-444B-8143-BF0B2066AFDE}" name="Unidades Netas" dataDxfId="9441" totalsRowDxfId="9440"/>
    <tableColumn id="1" xr3:uid="{AD961106-FA02-4246-B500-2B4A364785D6}" name="% Merma" dataDxfId="9439" totalsRowDxfId="9438"/>
    <tableColumn id="7" xr3:uid="{7CDA0B49-BB18-4093-8BE2-5ADC48284988}" name="Unidades" dataDxfId="9437" totalsRowDxfId="9436"/>
    <tableColumn id="5" xr3:uid="{4730F9D0-6F48-4BC5-8875-9E20AFAAFA3B}" name="Coste Componente" dataDxfId="9435" totalsRowDxfId="9434" dataCellStyle="Moneda">
      <calculatedColumnFormula>+VLOOKUP(Tabla1103453454455456479116117118120740126148156451112[[#This Row],[ArtÃ­culo]],Tabla34[#All],3,0)</calculatedColumnFormula>
    </tableColumn>
    <tableColumn id="6" xr3:uid="{A2F04BDF-89A9-41C7-BC00-EEC8D7E6925E}" name="Coste LÃ­nea" totalsRowFunction="sum" dataDxfId="9433" totalsRowDxfId="9432" dataCellStyle="Moneda">
      <calculatedColumnFormula>+Tabla1103453454455456479116117118120740126148156451112[[#This Row],[Coste Componente]]*Tabla1103453454455456479116117118120740126148156451112[[#This Row],[Unidades]]</calculatedColumnFormula>
    </tableColumn>
  </tableColumns>
  <tableStyleInfo name="TableStyleLight8" showFirstColumn="0" showLastColumn="0" showRowStripes="1" showColumnStripes="0"/>
</table>
</file>

<file path=xl/tables/table6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D85875-958F-40AC-B784-24BC67FFCE88}" name="Tabla110345345445545647911611711812074012614815645111213" displayName="Tabla110345345445545647911611711812074012614815645111213" ref="B64:H71" totalsRowCount="1" headerRowDxfId="9431" dataDxfId="9429" totalsRowDxfId="9427" headerRowBorderDxfId="9430" tableBorderDxfId="9428" totalsRowBorderDxfId="9426">
  <autoFilter ref="B64:H70" xr:uid="{35D85875-958F-40AC-B784-24BC67FFCE88}"/>
  <sortState xmlns:xlrd2="http://schemas.microsoft.com/office/spreadsheetml/2017/richdata2" ref="B65:H65">
    <sortCondition descending="1" ref="H79:H95"/>
  </sortState>
  <tableColumns count="7">
    <tableColumn id="2" xr3:uid="{683610D6-EF0C-43CD-8611-48C9839B3ADA}" name="ArtÃ­culo" dataDxfId="9425" totalsRowDxfId="9424"/>
    <tableColumn id="3" xr3:uid="{43A44180-8860-4A6B-A28B-5CA6BCFEB36D}" name="Unidad Medida" dataDxfId="9423" totalsRowDxfId="9422"/>
    <tableColumn id="4" xr3:uid="{27E7DC23-6C7A-4D6E-8790-E632F8AAAC74}" name="Unidades Netas" dataDxfId="9421" totalsRowDxfId="9420"/>
    <tableColumn id="1" xr3:uid="{5A346EB9-7295-4F3B-8E29-5C884072C5CC}" name="% Merma" dataDxfId="9419" totalsRowDxfId="9418"/>
    <tableColumn id="7" xr3:uid="{8B3951CE-0D71-4865-9633-30CC321FE66D}" name="Unidades" dataDxfId="9417" totalsRowDxfId="9416"/>
    <tableColumn id="5" xr3:uid="{1851CD11-C351-4490-91DE-4E17393EFABD}" name="Coste Componente" dataDxfId="9415" totalsRowDxfId="9414" dataCellStyle="Moneda">
      <calculatedColumnFormula>+VLOOKUP(Tabla110345345445545647911611711812074012614815645111213[[#This Row],[ArtÃ­culo]],Tabla34[#All],3,0)</calculatedColumnFormula>
    </tableColumn>
    <tableColumn id="6" xr3:uid="{E26F076D-9C45-4211-B0A2-AFA464E60975}" name="Coste LÃ­nea" totalsRowFunction="sum" dataDxfId="9413" totalsRowDxfId="9412" dataCellStyle="Moneda">
      <calculatedColumnFormula>+Tabla110345345445545647911611711812074012614815645111213[[#This Row],[Coste Componente]]*Tabla110345345445545647911611711812074012614815645111213[[#This Row],[Unidades]]</calculatedColumnFormula>
    </tableColumn>
  </tableColumns>
  <tableStyleInfo name="TableStyleLight8" showFirstColumn="0" showLastColumn="0" showRowStripes="1" showColumnStripes="0"/>
</table>
</file>

<file path=xl/tables/table6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EFD8BB1-1B43-4E9D-839C-2D196F5F876C}" name="Tabla11034534544554564791161171181207401261481564511121316" displayName="Tabla11034534544554564791161171181207401261481564511121316" ref="B75:H83" totalsRowCount="1" headerRowDxfId="9411" dataDxfId="9409" totalsRowDxfId="9407" headerRowBorderDxfId="9410" tableBorderDxfId="9408" totalsRowBorderDxfId="9406">
  <autoFilter ref="B75:H82" xr:uid="{AEFD8BB1-1B43-4E9D-839C-2D196F5F876C}"/>
  <sortState xmlns:xlrd2="http://schemas.microsoft.com/office/spreadsheetml/2017/richdata2" ref="B76:H76">
    <sortCondition descending="1" ref="H79:H95"/>
  </sortState>
  <tableColumns count="7">
    <tableColumn id="2" xr3:uid="{B1EE2348-4B02-436F-A6FD-27C83E47CD37}" name="ArtÃ­culo" dataDxfId="9405" totalsRowDxfId="9404"/>
    <tableColumn id="3" xr3:uid="{89FA194C-3D8D-4C84-B64F-2EE8B6068009}" name="Unidad Medida" dataDxfId="9403" totalsRowDxfId="9402"/>
    <tableColumn id="4" xr3:uid="{D48688C2-B852-4DAC-A233-2BBE832987CD}" name="Unidades Netas" dataDxfId="9401" totalsRowDxfId="9400"/>
    <tableColumn id="1" xr3:uid="{60209D21-9DAE-466A-AAA7-334E51E2116D}" name="% Merma" dataDxfId="9399" totalsRowDxfId="9398"/>
    <tableColumn id="7" xr3:uid="{251FBB3C-FECA-4075-B00C-5109358CDB7E}" name="Unidades" dataDxfId="9397" totalsRowDxfId="9396"/>
    <tableColumn id="5" xr3:uid="{A67F9096-04F5-456D-921E-F45F8035B191}" name="Coste Componente" dataDxfId="9395" totalsRowDxfId="9394" dataCellStyle="Moneda">
      <calculatedColumnFormula>+VLOOKUP(Tabla11034534544554564791161171181207401261481564511121316[[#This Row],[ArtÃ­culo]],Tabla34[#All],3,0)</calculatedColumnFormula>
    </tableColumn>
    <tableColumn id="6" xr3:uid="{5EBF86AD-1329-4302-891B-CCB004E200CE}" name="Coste LÃ­nea" totalsRowFunction="sum" dataDxfId="9393" totalsRowDxfId="9392" dataCellStyle="Moneda">
      <calculatedColumnFormula>+Tabla11034534544554564791161171181207401261481564511121316[[#This Row],[Coste Componente]]*Tabla11034534544554564791161171181207401261481564511121316[[#This Row],[Unidades]]</calculatedColumnFormula>
    </tableColumn>
  </tableColumns>
  <tableStyleInfo name="TableStyleLight8" showFirstColumn="0" showLastColumn="0" showRowStripes="1" showColumnStripes="0"/>
</table>
</file>

<file path=xl/tables/table6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9E344444-3072-4852-BB8F-FC04692BE728}" name="Tabla11034534544554564791161171181207401261481564511121316115" displayName="Tabla11034534544554564791161171181207401261481564511121316115" ref="B87:H95" totalsRowCount="1" headerRowDxfId="9391" dataDxfId="9389" totalsRowDxfId="9387" headerRowBorderDxfId="9390" tableBorderDxfId="9388" totalsRowBorderDxfId="9386">
  <autoFilter ref="B87:H94" xr:uid="{9E344444-3072-4852-BB8F-FC04692BE728}"/>
  <sortState xmlns:xlrd2="http://schemas.microsoft.com/office/spreadsheetml/2017/richdata2" ref="B88:H88">
    <sortCondition descending="1" ref="H79:H95"/>
  </sortState>
  <tableColumns count="7">
    <tableColumn id="2" xr3:uid="{0F945D48-FF8F-4E09-BFBF-F289FDB5E9E0}" name="ArtÃ­culo" dataDxfId="9385" totalsRowDxfId="9384"/>
    <tableColumn id="3" xr3:uid="{07372EE2-CFA1-44BC-BDC7-E4B9BEDFFABB}" name="Unidad Medida" dataDxfId="9383" totalsRowDxfId="9382"/>
    <tableColumn id="4" xr3:uid="{EAA55E34-9121-4014-90EB-2946D7F963D3}" name="Unidades Netas" dataDxfId="9381" totalsRowDxfId="9380"/>
    <tableColumn id="1" xr3:uid="{E687CC97-B977-4BE8-B05C-F507BB922EBB}" name="% Merma" dataDxfId="9379" totalsRowDxfId="9378"/>
    <tableColumn id="7" xr3:uid="{C9C1016B-592A-4BC4-BA4B-69B814864BC0}" name="Unidades" dataDxfId="9377" totalsRowDxfId="9376"/>
    <tableColumn id="5" xr3:uid="{BBEF04F8-7F4F-4C03-8A91-AAFFEF5DD81E}" name="Coste Componente" dataDxfId="9375" totalsRowDxfId="9374" dataCellStyle="Moneda">
      <calculatedColumnFormula>+VLOOKUP(Tabla11034534544554564791161171181207401261481564511121316115[[#This Row],[ArtÃ­culo]],Tabla34[#All],3,0)</calculatedColumnFormula>
    </tableColumn>
    <tableColumn id="6" xr3:uid="{787AB884-B139-4BB5-97FD-54C95439818D}" name="Coste LÃ­nea" totalsRowFunction="sum" dataDxfId="9373" totalsRowDxfId="9372" dataCellStyle="Moneda">
      <calculatedColumnFormula>+Tabla11034534544554564791161171181207401261481564511121316115[[#This Row],[Coste Componente]]*Tabla11034534544554564791161171181207401261481564511121316115[[#This Row],[Unidades]]</calculatedColumnFormula>
    </tableColumn>
  </tableColumns>
  <tableStyleInfo name="TableStyleLight8" showFirstColumn="0" showLastColumn="0" showRowStripes="1" showColumnStripes="0"/>
</table>
</file>

<file path=xl/tables/table6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F6208EE-5DAD-4472-B69A-087F648E03DC}" name="Tabla11034534544554564791161171181207401261481564511121316115126" displayName="Tabla11034534544554564791161171181207401261481564511121316115126" ref="B99:H107" totalsRowCount="1" headerRowDxfId="9371" dataDxfId="9369" totalsRowDxfId="9367" headerRowBorderDxfId="9370" tableBorderDxfId="9368" totalsRowBorderDxfId="9366">
  <autoFilter ref="B99:H106" xr:uid="{5F6208EE-5DAD-4472-B69A-087F648E03DC}"/>
  <sortState xmlns:xlrd2="http://schemas.microsoft.com/office/spreadsheetml/2017/richdata2" ref="B100:H100">
    <sortCondition descending="1" ref="H79:H95"/>
  </sortState>
  <tableColumns count="7">
    <tableColumn id="2" xr3:uid="{0A4DB59A-1225-4A74-91C6-DDD2B1F2B909}" name="ArtÃ­culo" dataDxfId="9365" totalsRowDxfId="9364"/>
    <tableColumn id="3" xr3:uid="{5B62606A-7F61-4C0F-B7BC-E55633C158EE}" name="Unidad Medida" dataDxfId="9363" totalsRowDxfId="9362"/>
    <tableColumn id="4" xr3:uid="{45FB74BC-98BD-4215-93AA-08859B0C4CD6}" name="Unidades Netas" dataDxfId="9361" totalsRowDxfId="9360"/>
    <tableColumn id="1" xr3:uid="{79CE258D-D0FD-4D8C-A5FE-79992D8ADC78}" name="% Merma" dataDxfId="9359" totalsRowDxfId="9358"/>
    <tableColumn id="7" xr3:uid="{9AAF5972-1F35-4775-B3A1-BD89E5ED4256}" name="Unidades" dataDxfId="9357" totalsRowDxfId="9356"/>
    <tableColumn id="5" xr3:uid="{8A19FC75-4BFA-4CB0-AA36-F204B2291A3B}" name="Coste Componente" dataDxfId="9355" totalsRowDxfId="9354" dataCellStyle="Moneda">
      <calculatedColumnFormula>+VLOOKUP(Tabla11034534544554564791161171181207401261481564511121316115126[[#This Row],[ArtÃ­culo]],Tabla34[#All],3,0)</calculatedColumnFormula>
    </tableColumn>
    <tableColumn id="6" xr3:uid="{F86C484B-3B33-4AB1-9D7B-40CB21ACA4CE}" name="Coste LÃ­nea" totalsRowFunction="sum" dataDxfId="9353" totalsRowDxfId="9352" dataCellStyle="Moneda">
      <calculatedColumnFormula>+Tabla11034534544554564791161171181207401261481564511121316115126[[#This Row],[Coste Componente]]*Tabla11034534544554564791161171181207401261481564511121316115126[[#This Row],[Unidades]]</calculatedColumnFormula>
    </tableColumn>
  </tableColumns>
  <tableStyleInfo name="TableStyleLight8" showFirstColumn="0" showLastColumn="0" showRowStripes="1" showColumnStripes="0"/>
</table>
</file>

<file path=xl/tables/table6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6F5258A4-611D-45E6-A2D3-5FFEBD539412}" name="Tabla11034534544554564791161171181207401261481564511121316115126143" displayName="Tabla11034534544554564791161171181207401261481564511121316115126143" ref="B110:H120" totalsRowCount="1" headerRowDxfId="9351" dataDxfId="9349" totalsRowDxfId="9347" headerRowBorderDxfId="9350" tableBorderDxfId="9348" totalsRowBorderDxfId="9346">
  <autoFilter ref="B110:H119" xr:uid="{6F5258A4-611D-45E6-A2D3-5FFEBD539412}"/>
  <sortState xmlns:xlrd2="http://schemas.microsoft.com/office/spreadsheetml/2017/richdata2" ref="B111:H111">
    <sortCondition descending="1" ref="H79:H95"/>
  </sortState>
  <tableColumns count="7">
    <tableColumn id="2" xr3:uid="{8FFF49F7-423C-40C3-97F3-E2168E190D23}" name="ArtÃ­culo" dataDxfId="9345" totalsRowDxfId="9344"/>
    <tableColumn id="3" xr3:uid="{2E5D645E-1D59-49AC-BC81-06FCC4CD6961}" name="Unidad Medida" dataDxfId="9343" totalsRowDxfId="9342"/>
    <tableColumn id="4" xr3:uid="{87FABB6B-E807-4D02-87A4-CE619F1BF6DD}" name="Unidades Netas" dataDxfId="9341" totalsRowDxfId="9340"/>
    <tableColumn id="1" xr3:uid="{9D3B0C75-8C46-4C2A-A9AD-5A6A75115B2B}" name="% Merma" dataDxfId="9339" totalsRowDxfId="9338"/>
    <tableColumn id="7" xr3:uid="{8F565643-52AB-4738-BCB4-FDDF2D046474}" name="Unidades" dataDxfId="9337" totalsRowDxfId="9336"/>
    <tableColumn id="5" xr3:uid="{21B2457B-8880-49E2-94AA-BACBCB8C5C83}" name="Coste Componente" dataDxfId="9335" totalsRowDxfId="9334" dataCellStyle="Moneda">
      <calculatedColumnFormula>+VLOOKUP(Tabla11034534544554564791161171181207401261481564511121316115126143[[#This Row],[ArtÃ­culo]],Tabla34[#All],3,0)</calculatedColumnFormula>
    </tableColumn>
    <tableColumn id="6" xr3:uid="{98978965-A07B-45BD-8833-C0BB2E983F3D}" name="Coste LÃ­nea" totalsRowFunction="sum" dataDxfId="9333" totalsRowDxfId="9332" dataCellStyle="Moneda">
      <calculatedColumnFormula>+Tabla11034534544554564791161171181207401261481564511121316115126143[[#This Row],[Coste Componente]]*Tabla11034534544554564791161171181207401261481564511121316115126143[[#This Row],[Unidades]]</calculatedColumnFormula>
    </tableColumn>
  </tableColumns>
  <tableStyleInfo name="TableStyleLight8" showFirstColumn="0" showLastColumn="0" showRowStripes="1" showColumnStripes="0"/>
</table>
</file>

<file path=xl/tables/table6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A0CE2323-600C-4A53-B0D7-A595D2B6C0B7}" name="Tabla11034534544554564791161171181207401261481564511121316115126143145" displayName="Tabla11034534544554564791161171181207401261481564511121316115126143145" ref="B124:H132" totalsRowCount="1" headerRowDxfId="9331" dataDxfId="9329" totalsRowDxfId="9327" headerRowBorderDxfId="9330" tableBorderDxfId="9328" totalsRowBorderDxfId="9326">
  <autoFilter ref="B124:H131" xr:uid="{A0CE2323-600C-4A53-B0D7-A595D2B6C0B7}"/>
  <sortState xmlns:xlrd2="http://schemas.microsoft.com/office/spreadsheetml/2017/richdata2" ref="B125:H125">
    <sortCondition descending="1" ref="H79:H95"/>
  </sortState>
  <tableColumns count="7">
    <tableColumn id="2" xr3:uid="{9FB24782-0C4A-4E80-8A7D-D091ECA8EA70}" name="ArtÃ­culo" dataDxfId="9325" totalsRowDxfId="9324"/>
    <tableColumn id="3" xr3:uid="{3852CD4B-07AF-42B4-8D99-5952435A167F}" name="Unidad Medida" dataDxfId="9323" totalsRowDxfId="9322"/>
    <tableColumn id="4" xr3:uid="{8A8BC33D-F312-4BF5-A05E-F4EE59726AE3}" name="Unidades Netas" dataDxfId="9321" totalsRowDxfId="9320"/>
    <tableColumn id="1" xr3:uid="{6328D530-4D12-4268-8BE3-BFE30F9F4DC3}" name="% Merma" dataDxfId="9319" totalsRowDxfId="9318"/>
    <tableColumn id="7" xr3:uid="{3171E1F5-1BE1-4374-B06C-8C2A22B7B7E6}" name="Unidades" dataDxfId="9317" totalsRowDxfId="9316"/>
    <tableColumn id="5" xr3:uid="{84F738A3-30FC-4104-9D3E-CEF473C8B005}" name="Coste Componente" dataDxfId="9315" totalsRowDxfId="9314" dataCellStyle="Moneda">
      <calculatedColumnFormula>+VLOOKUP(Tabla11034534544554564791161171181207401261481564511121316115126143145[[#This Row],[ArtÃ­culo]],Tabla34[#All],3,0)</calculatedColumnFormula>
    </tableColumn>
    <tableColumn id="6" xr3:uid="{A02BA772-5AAF-484A-8C04-781E27181502}" name="Coste LÃ­nea" totalsRowFunction="sum" dataDxfId="9313" totalsRowDxfId="9312" dataCellStyle="Moneda">
      <calculatedColumnFormula>+Tabla11034534544554564791161171181207401261481564511121316115126143145[[#This Row],[Coste Componente]]*Tabla11034534544554564791161171181207401261481564511121316115126143145[[#This Row],[Unidades]]</calculatedColumnFormula>
    </tableColumn>
  </tableColumns>
  <tableStyleInfo name="TableStyleLight8" showFirstColumn="0" showLastColumn="0" showRowStripes="1" showColumnStripes="0"/>
</table>
</file>

<file path=xl/tables/table6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8B9B6A79-3519-4600-8D76-8B1676DF3433}" name="Tabla11034534544554564791161171181207401261481564511121316115126143145147" displayName="Tabla11034534544554564791161171181207401261481564511121316115126143145147" ref="B136:H140" totalsRowCount="1" headerRowDxfId="9311" dataDxfId="9309" totalsRowDxfId="9307" headerRowBorderDxfId="9310" tableBorderDxfId="9308" totalsRowBorderDxfId="9306">
  <autoFilter ref="B136:H139" xr:uid="{8B9B6A79-3519-4600-8D76-8B1676DF3433}"/>
  <sortState xmlns:xlrd2="http://schemas.microsoft.com/office/spreadsheetml/2017/richdata2" ref="B137:H137">
    <sortCondition descending="1" ref="H79:H95"/>
  </sortState>
  <tableColumns count="7">
    <tableColumn id="2" xr3:uid="{7D550866-7F86-49F4-8852-E38013D45398}" name="ArtÃ­culo" dataDxfId="9305" totalsRowDxfId="9304"/>
    <tableColumn id="3" xr3:uid="{79CB86E6-6017-4D6A-B5FB-07B7040C5254}" name="Unidad Medida" dataDxfId="9303" totalsRowDxfId="9302"/>
    <tableColumn id="4" xr3:uid="{FB1FB2CF-9DD8-485D-A504-1DC660990F33}" name="Unidades Netas" dataDxfId="9301" totalsRowDxfId="9300"/>
    <tableColumn id="1" xr3:uid="{175B3A6D-E56E-4351-93B5-63B55D6BC8F2}" name="% Merma" dataDxfId="9299" totalsRowDxfId="9298"/>
    <tableColumn id="7" xr3:uid="{1DBC28B6-7149-488D-A463-7D5AE8CFAB24}" name="Unidades" dataDxfId="9297" totalsRowDxfId="9296"/>
    <tableColumn id="5" xr3:uid="{A370B205-890D-4870-9C87-830E89222C44}" name="Coste Componente" dataDxfId="9295" totalsRowDxfId="9294" dataCellStyle="Moneda">
      <calculatedColumnFormula>+VLOOKUP(Tabla11034534544554564791161171181207401261481564511121316115126143145147[[#This Row],[ArtÃ­culo]],Tabla34[#All],3,0)</calculatedColumnFormula>
    </tableColumn>
    <tableColumn id="6" xr3:uid="{C00C1BC0-A186-47E6-B43C-428C08A3A470}" name="Coste LÃ­nea" totalsRowFunction="sum" dataDxfId="9293" totalsRowDxfId="9292" dataCellStyle="Moneda">
      <calculatedColumnFormula>+Tabla11034534544554564791161171181207401261481564511121316115126143145147[[#This Row],[Coste Componente]]*Tabla11034534544554564791161171181207401261481564511121316115126143145147[[#This Row],[Unidades]]</calculatedColumnFormula>
    </tableColumn>
  </tableColumns>
  <tableStyleInfo name="TableStyleLight8" showFirstColumn="0" showLastColumn="0" showRowStripes="1" showColumnStripes="0"/>
</table>
</file>

<file path=xl/tables/table6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64EFA430-394B-4123-8B73-31836999E546}" name="Tabla11034534544554564791161171181207401261481564511121316115126143145147151" displayName="Tabla11034534544554564791161171181207401261481564511121316115126143145147151" ref="B144:H149" totalsRowCount="1" headerRowDxfId="9291" dataDxfId="9289" totalsRowDxfId="9287" headerRowBorderDxfId="9290" tableBorderDxfId="9288" totalsRowBorderDxfId="9286">
  <autoFilter ref="B144:H148" xr:uid="{64EFA430-394B-4123-8B73-31836999E546}"/>
  <sortState xmlns:xlrd2="http://schemas.microsoft.com/office/spreadsheetml/2017/richdata2" ref="B145:H145">
    <sortCondition descending="1" ref="H79:H95"/>
  </sortState>
  <tableColumns count="7">
    <tableColumn id="2" xr3:uid="{844A76EE-7DA1-47CD-B4B8-4C8B022CAD97}" name="ArtÃ­culo" dataDxfId="9285" totalsRowDxfId="9284"/>
    <tableColumn id="3" xr3:uid="{1160F172-214A-4842-BFF0-AF5EB3B797F6}" name="Unidad Medida" dataDxfId="9283" totalsRowDxfId="9282"/>
    <tableColumn id="4" xr3:uid="{EA6E8234-7B26-41AA-A52D-E373C669341D}" name="Unidades Netas" dataDxfId="9281" totalsRowDxfId="9280"/>
    <tableColumn id="1" xr3:uid="{7B4CD474-FF2B-49C2-9AF0-9B1D498546DE}" name="% Merma" dataDxfId="9279" totalsRowDxfId="9278"/>
    <tableColumn id="7" xr3:uid="{AEFBC280-BC96-4843-8980-1D72E7883EEA}" name="Unidades" dataDxfId="9277" totalsRowDxfId="9276"/>
    <tableColumn id="5" xr3:uid="{A585BB4E-3907-4BD0-89EC-A1CAE2F3CAC8}" name="Coste Componente" dataDxfId="9275" totalsRowDxfId="9274" dataCellStyle="Moneda">
      <calculatedColumnFormula>+VLOOKUP(Tabla11034534544554564791161171181207401261481564511121316115126143145147151[[#This Row],[ArtÃ­culo]],Tabla34[#All],3,0)</calculatedColumnFormula>
    </tableColumn>
    <tableColumn id="6" xr3:uid="{31EF6001-4375-4A9E-9948-83E5A2DD8212}" name="Coste LÃ­nea" totalsRowFunction="sum" dataDxfId="9273" totalsRowDxfId="9272" dataCellStyle="Moneda">
      <calculatedColumnFormula>+Tabla11034534544554564791161171181207401261481564511121316115126143145147151[[#This Row],[Coste Componente]]*Tabla11034534544554564791161171181207401261481564511121316115126143145147151[[#This Row],[Unidades]]</calculatedColumnFormula>
    </tableColumn>
  </tableColumns>
  <tableStyleInfo name="TableStyleLight8" showFirstColumn="0" showLastColumn="0" showRowStripes="1" showColumnStripes="0"/>
</table>
</file>

<file path=xl/tables/table6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FBFCF487-726F-4399-9F08-ED764DE5FD3D}" name="Tabla11034534544554564791161171181207401261481564511121316115126143145147151157" displayName="Tabla11034534544554564791161171181207401261481564511121316115126143145147151157" ref="B152:H156" totalsRowCount="1" headerRowDxfId="9271" dataDxfId="9269" totalsRowDxfId="9267" headerRowBorderDxfId="9270" tableBorderDxfId="9268" totalsRowBorderDxfId="9266">
  <autoFilter ref="B152:H155" xr:uid="{FBFCF487-726F-4399-9F08-ED764DE5FD3D}"/>
  <sortState xmlns:xlrd2="http://schemas.microsoft.com/office/spreadsheetml/2017/richdata2" ref="B153:H153">
    <sortCondition descending="1" ref="H79:H95"/>
  </sortState>
  <tableColumns count="7">
    <tableColumn id="2" xr3:uid="{0C23C337-EB30-451E-A546-00EA339AE308}" name="ArtÃ­culo" dataDxfId="9265" totalsRowDxfId="9264"/>
    <tableColumn id="3" xr3:uid="{18B08BE5-95E2-4C76-AE6E-248FD6E4005C}" name="Unidad Medida" dataDxfId="9263" totalsRowDxfId="9262"/>
    <tableColumn id="4" xr3:uid="{1AFFCA5B-C479-4BF1-9394-9BF08A7D6DA1}" name="Unidades Netas" dataDxfId="9261" totalsRowDxfId="9260"/>
    <tableColumn id="1" xr3:uid="{8AE0B6FF-E851-4881-A3F2-A2B3B49F9E4C}" name="% Merma" dataDxfId="9259" totalsRowDxfId="9258"/>
    <tableColumn id="7" xr3:uid="{45A226AF-F62E-45BE-B5B9-C6E26B6A9413}" name="Unidades" dataDxfId="9257" totalsRowDxfId="9256"/>
    <tableColumn id="5" xr3:uid="{9A274F71-E892-4B95-9F52-418400E49FF5}" name="Coste Componente" dataDxfId="9255" totalsRowDxfId="9254" dataCellStyle="Moneda">
      <calculatedColumnFormula>+VLOOKUP(Tabla11034534544554564791161171181207401261481564511121316115126143145147151157[[#This Row],[ArtÃ­culo]],Tabla34[#All],3,0)</calculatedColumnFormula>
    </tableColumn>
    <tableColumn id="6" xr3:uid="{447E2D16-E049-4E56-986C-5E9CBE612BC1}" name="Coste LÃ­nea" totalsRowFunction="sum" dataDxfId="9253" totalsRowDxfId="9252" dataCellStyle="Moneda">
      <calculatedColumnFormula>+Tabla11034534544554564791161171181207401261481564511121316115126143145147151157[[#This Row],[Coste Componente]]*Tabla11034534544554564791161171181207401261481564511121316115126143145147151157[[#This Row],[Unidades]]</calculatedColumnFormula>
    </tableColumn>
  </tableColumns>
  <tableStyleInfo name="TableStyleLight8" showFirstColumn="0" showLastColumn="0" showRowStripes="1" showColumnStripes="0"/>
</table>
</file>

<file path=xl/tables/table6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1877F629-96CD-4B7C-9CB3-716773DAC026}" name="Tabla11034534544554564791161171181207401261481564511121316115126143145147151157167" displayName="Tabla11034534544554564791161171181207401261481564511121316115126143145147151157167" ref="B159:H164" totalsRowCount="1" headerRowDxfId="9251" dataDxfId="9249" totalsRowDxfId="9247" headerRowBorderDxfId="9250" tableBorderDxfId="9248" totalsRowBorderDxfId="9246">
  <autoFilter ref="B159:H163" xr:uid="{1877F629-96CD-4B7C-9CB3-716773DAC026}"/>
  <sortState xmlns:xlrd2="http://schemas.microsoft.com/office/spreadsheetml/2017/richdata2" ref="B160:H160">
    <sortCondition descending="1" ref="H79:H95"/>
  </sortState>
  <tableColumns count="7">
    <tableColumn id="2" xr3:uid="{1CF83659-3BAE-4742-9F46-2F89249AB08B}" name="ArtÃ­culo" dataDxfId="9245" totalsRowDxfId="9244"/>
    <tableColumn id="3" xr3:uid="{F11A7A47-E835-4A39-8D90-35609DC47D83}" name="Unidad Medida" dataDxfId="9243" totalsRowDxfId="9242"/>
    <tableColumn id="4" xr3:uid="{59FC0870-256B-4321-9FDA-074C46D9F33A}" name="Unidades Netas" dataDxfId="9241" totalsRowDxfId="9240"/>
    <tableColumn id="1" xr3:uid="{1F86A273-1CA0-4BEF-9DBE-32B573748F73}" name="% Merma" dataDxfId="9239" totalsRowDxfId="9238"/>
    <tableColumn id="7" xr3:uid="{50592F1E-BAC7-47FB-B2A5-14A5D3408263}" name="Unidades" dataDxfId="9237" totalsRowDxfId="9236"/>
    <tableColumn id="5" xr3:uid="{7257E222-F3B3-40D1-99AB-74D58538B7FC}" name="Coste Componente" dataDxfId="9235" totalsRowDxfId="9234" dataCellStyle="Moneda">
      <calculatedColumnFormula>+VLOOKUP(Tabla11034534544554564791161171181207401261481564511121316115126143145147151157167[[#This Row],[ArtÃ­culo]],Tabla34[#All],3,0)</calculatedColumnFormula>
    </tableColumn>
    <tableColumn id="6" xr3:uid="{2B046DF3-7700-4D63-B7CE-7983D2EE25F0}" name="Coste LÃ­nea" totalsRowFunction="sum" dataDxfId="9233" totalsRowDxfId="9232" dataCellStyle="Moneda">
      <calculatedColumnFormula>+Tabla11034534544554564791161171181207401261481564511121316115126143145147151157167[[#This Row],[Coste Componente]]*Tabla11034534544554564791161171181207401261481564511121316115126143145147151157167[[#This Row],[Unidades]]</calculatedColumnFormula>
    </tableColumn>
  </tableColumns>
  <tableStyleInfo name="TableStyleLight8" showFirstColumn="0" showLastColumn="0" showRowStripes="1" showColumnStripes="0"/>
</table>
</file>

<file path=xl/tables/table6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EC02099B-1AB6-45E1-8802-66FDEE5F5ABB}" name="Tabla11034534544554564791161171181207401261481564511121316115126143145147151157167168" displayName="Tabla11034534544554564791161171181207401261481564511121316115126143145147151157167168" ref="B167:H171" totalsRowCount="1" headerRowDxfId="9231" dataDxfId="9229" totalsRowDxfId="9227" headerRowBorderDxfId="9230" tableBorderDxfId="9228" totalsRowBorderDxfId="9226">
  <autoFilter ref="B167:H170" xr:uid="{EC02099B-1AB6-45E1-8802-66FDEE5F5ABB}"/>
  <sortState xmlns:xlrd2="http://schemas.microsoft.com/office/spreadsheetml/2017/richdata2" ref="B168:H168">
    <sortCondition descending="1" ref="H79:H95"/>
  </sortState>
  <tableColumns count="7">
    <tableColumn id="2" xr3:uid="{74D207E3-D843-4E53-AB66-E30C1FE00795}" name="ArtÃ­culo" dataDxfId="9225" totalsRowDxfId="9224"/>
    <tableColumn id="3" xr3:uid="{F23A8C5F-3AA0-4C1B-A4EE-BE2186738EE4}" name="Unidad Medida" dataDxfId="9223" totalsRowDxfId="9222"/>
    <tableColumn id="4" xr3:uid="{00637353-514A-4887-A4E6-2A3BE5AC9BC3}" name="Unidades Netas" dataDxfId="9221" totalsRowDxfId="9220"/>
    <tableColumn id="1" xr3:uid="{A1A27171-2D18-43E8-A182-18F93FA31B40}" name="% Merma" dataDxfId="9219" totalsRowDxfId="9218"/>
    <tableColumn id="7" xr3:uid="{D78E21F5-C838-4203-B9CC-6DAAC4B98366}" name="Unidades" dataDxfId="9217" totalsRowDxfId="9216"/>
    <tableColumn id="5" xr3:uid="{F57C29C2-E292-4AF3-85F6-E01FA9852C6B}" name="Coste Componente" dataDxfId="9215" totalsRowDxfId="9214" dataCellStyle="Moneda">
      <calculatedColumnFormula>+VLOOKUP(Tabla11034534544554564791161171181207401261481564511121316115126143145147151157167168[[#This Row],[ArtÃ­culo]],Tabla34[#All],3,0)</calculatedColumnFormula>
    </tableColumn>
    <tableColumn id="6" xr3:uid="{5ADF03E5-682F-4809-8265-E576E52E9FA1}" name="Coste LÃ­nea" totalsRowFunction="sum" dataDxfId="9213" totalsRowDxfId="9212" dataCellStyle="Moneda">
      <calculatedColumnFormula>+Tabla11034534544554564791161171181207401261481564511121316115126143145147151157167168[[#This Row],[Coste Componente]]*Tabla11034534544554564791161171181207401261481564511121316115126143145147151157167168[[#This Row],[Unidades]]</calculatedColumnFormula>
    </tableColumn>
  </tableColumns>
  <tableStyleInfo name="TableStyleLight8" showFirstColumn="0" showLastColumn="0" showRowStripes="1" showColumnStripes="0"/>
</table>
</file>

<file path=xl/tables/table6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B121B11-332B-4D90-B685-F25A926E4F9B}" name="Tabla11034534544554564791161171181207401261481564511121316115126143145147151157167168170" displayName="Tabla11034534544554564791161171181207401261481564511121316115126143145147151157167168170" ref="B174:H179" totalsRowCount="1" headerRowDxfId="9211" dataDxfId="9209" totalsRowDxfId="9207" headerRowBorderDxfId="9210" tableBorderDxfId="9208" totalsRowBorderDxfId="9206">
  <autoFilter ref="B174:H178" xr:uid="{BB121B11-332B-4D90-B685-F25A926E4F9B}"/>
  <sortState xmlns:xlrd2="http://schemas.microsoft.com/office/spreadsheetml/2017/richdata2" ref="B175:H175">
    <sortCondition descending="1" ref="H79:H95"/>
  </sortState>
  <tableColumns count="7">
    <tableColumn id="2" xr3:uid="{097FA1F5-CFBE-4A1F-8136-2379FA73313B}" name="ArtÃ­culo" dataDxfId="9205" totalsRowDxfId="9204"/>
    <tableColumn id="3" xr3:uid="{3CB87998-9684-4AD1-9425-74027A98430E}" name="Unidad Medida" dataDxfId="9203" totalsRowDxfId="9202"/>
    <tableColumn id="4" xr3:uid="{2D8CD12F-CA7F-4C7E-917C-ED13F6806D12}" name="Unidades Netas" dataDxfId="9201" totalsRowDxfId="9200"/>
    <tableColumn id="1" xr3:uid="{A2C5762E-0485-4774-A44A-E46086D4B5DA}" name="% Merma" dataDxfId="9199" totalsRowDxfId="9198"/>
    <tableColumn id="7" xr3:uid="{C342C81E-C78E-448B-A991-7C938AED1891}" name="Unidades" dataDxfId="9197" totalsRowDxfId="9196"/>
    <tableColumn id="5" xr3:uid="{43D3BF93-54E8-4BFD-B25A-60BB6375404C}" name="Coste Componente" dataDxfId="9195" totalsRowDxfId="9194" dataCellStyle="Moneda">
      <calculatedColumnFormula>+VLOOKUP(Tabla11034534544554564791161171181207401261481564511121316115126143145147151157167168170[[#This Row],[ArtÃ­culo]],Tabla34[#All],3,0)</calculatedColumnFormula>
    </tableColumn>
    <tableColumn id="6" xr3:uid="{CFFAEB7E-AE0A-43F7-A9AD-957D47D48D93}" name="Coste LÃ­nea" totalsRowFunction="sum" dataDxfId="9193" totalsRowDxfId="9192" dataCellStyle="Moneda">
      <calculatedColumnFormula>+Tabla11034534544554564791161171181207401261481564511121316115126143145147151157167168170[[#This Row],[Coste Componente]]*Tabla11034534544554564791161171181207401261481564511121316115126143145147151157167168170[[#This Row],[Unidades]]</calculatedColumnFormula>
    </tableColumn>
  </tableColumns>
  <tableStyleInfo name="TableStyleLight8" showFirstColumn="0" showLastColumn="0" showRowStripes="1" showColumnStripes="0"/>
</table>
</file>

<file path=xl/tables/table6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6D1AC691-5BF2-4774-A40E-E3E43E9DCF4D}" name="Tabla11034534544554564791161171181207401261481564511121316115126143145147151157167168170255" displayName="Tabla11034534544554564791161171181207401261481564511121316115126143145147151157167168170255" ref="B183:H186" totalsRowCount="1" headerRowDxfId="9191" dataDxfId="9189" totalsRowDxfId="9187" headerRowBorderDxfId="9190" tableBorderDxfId="9188" totalsRowBorderDxfId="9186">
  <autoFilter ref="B183:H185" xr:uid="{6D1AC691-5BF2-4774-A40E-E3E43E9DCF4D}"/>
  <sortState xmlns:xlrd2="http://schemas.microsoft.com/office/spreadsheetml/2017/richdata2" ref="B184:H184">
    <sortCondition descending="1" ref="H79:H95"/>
  </sortState>
  <tableColumns count="7">
    <tableColumn id="2" xr3:uid="{6349AFE2-C260-4F31-87C5-9DA67C606B6B}" name="ArtÃ­culo" dataDxfId="9185" totalsRowDxfId="9184"/>
    <tableColumn id="3" xr3:uid="{56FC485F-3E50-423D-B31C-A85E05101DC8}" name="Unidad Medida" dataDxfId="9183" totalsRowDxfId="9182"/>
    <tableColumn id="4" xr3:uid="{F03D5DA5-4499-4BC3-9B70-A5FB67005E4A}" name="Unidades Netas" dataDxfId="9181" totalsRowDxfId="9180"/>
    <tableColumn id="1" xr3:uid="{611B0B55-7E9B-4224-8674-1A63E4473BB1}" name="% Merma" dataDxfId="9179" totalsRowDxfId="9178"/>
    <tableColumn id="7" xr3:uid="{173D86B6-F57F-44B5-9138-B2543A6D4916}" name="Unidades" dataDxfId="9177" totalsRowDxfId="9176"/>
    <tableColumn id="5" xr3:uid="{DF65DF46-B224-4039-9998-749795B47F41}" name="Coste Componente" dataDxfId="9175" totalsRowDxfId="9174" dataCellStyle="Moneda">
      <calculatedColumnFormula>+VLOOKUP(Tabla11034534544554564791161171181207401261481564511121316115126143145147151157167168170255[[#This Row],[ArtÃ­culo]],Tabla34[#All],3,0)</calculatedColumnFormula>
    </tableColumn>
    <tableColumn id="6" xr3:uid="{14E3F31B-6701-40E8-B602-4E304C8B3108}" name="Coste LÃ­nea" totalsRowFunction="sum" dataDxfId="9173" totalsRowDxfId="9172" dataCellStyle="Moneda">
      <calculatedColumnFormula>+Tabla11034534544554564791161171181207401261481564511121316115126143145147151157167168170255[[#This Row],[Coste Componente]]*Tabla11034534544554564791161171181207401261481564511121316115126143145147151157167168170255[[#This Row],[Unidades]]</calculatedColumnFormula>
    </tableColumn>
  </tableColumns>
  <tableStyleInfo name="TableStyleLight8" showFirstColumn="0" showLastColumn="0" showRowStripes="1" showColumnStripes="0"/>
</table>
</file>

<file path=xl/tables/table6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9" xr:uid="{25472262-3D56-4F20-96FA-9C6437D5F51C}" name="Tabla11034534544554564791161171181207401261481564511121316115126143145147151157167168170255350" displayName="Tabla11034534544554564791161171181207401261481564511121316115126143145147151157167168170255350" ref="B190:H192" totalsRowCount="1" headerRowDxfId="9171" dataDxfId="9169" totalsRowDxfId="9167" headerRowBorderDxfId="9170" tableBorderDxfId="9168" totalsRowBorderDxfId="9166">
  <autoFilter ref="B190:H191" xr:uid="{25472262-3D56-4F20-96FA-9C6437D5F51C}"/>
  <sortState xmlns:xlrd2="http://schemas.microsoft.com/office/spreadsheetml/2017/richdata2" ref="B191:H191">
    <sortCondition descending="1" ref="H79:H95"/>
  </sortState>
  <tableColumns count="7">
    <tableColumn id="2" xr3:uid="{919BD466-FC6B-4C18-AF96-F888D62E5F95}" name="ArtÃ­culo" dataDxfId="9165" totalsRowDxfId="9164"/>
    <tableColumn id="3" xr3:uid="{BD955E66-8895-4BB1-BE56-7FAA7B8B01F3}" name="Unidad Medida" dataDxfId="9163" totalsRowDxfId="9162"/>
    <tableColumn id="4" xr3:uid="{7B7A03EC-DC23-45CE-9FBF-36DC22769AD0}" name="Unidades Netas" dataDxfId="9161" totalsRowDxfId="9160"/>
    <tableColumn id="1" xr3:uid="{FA39EDF5-04DE-47C2-AC3A-61492B199FA6}" name="% Merma" dataDxfId="9159" totalsRowDxfId="9158"/>
    <tableColumn id="7" xr3:uid="{D6052795-7C4F-46E4-A1EC-FE6279B3F065}" name="Unidades" dataDxfId="9157" totalsRowDxfId="9156"/>
    <tableColumn id="5" xr3:uid="{C92A0C31-B9C3-414D-936C-6927A53F81D4}" name="Coste Componente" dataDxfId="9155" totalsRowDxfId="9154" dataCellStyle="Moneda">
      <calculatedColumnFormula>+VLOOKUP(Tabla11034534544554564791161171181207401261481564511121316115126143145147151157167168170255350[[#This Row],[ArtÃ­culo]],Tabla34[#All],3,0)</calculatedColumnFormula>
    </tableColumn>
    <tableColumn id="6" xr3:uid="{AC762EBA-F587-42FE-9839-D36A7ED2316A}" name="Coste LÃ­nea" totalsRowFunction="sum" dataDxfId="9153" totalsRowDxfId="9152" dataCellStyle="Moneda">
      <calculatedColumnFormula>+Tabla11034534544554564791161171181207401261481564511121316115126143145147151157167168170255350[[#This Row],[Coste Componente]]*Tabla11034534544554564791161171181207401261481564511121316115126143145147151157167168170255350[[#This Row],[Unidades]]</calculatedColumnFormula>
    </tableColumn>
  </tableColumns>
  <tableStyleInfo name="TableStyleLight8" showFirstColumn="0" showLastColumn="0" showRowStripes="1" showColumnStripes="0"/>
</table>
</file>

<file path=xl/tables/table6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841A1AF6-B497-442E-88F2-F9C154C13373}" name="Tabla11034534544554564791161171181207401261481564511121316115126143145147151157167168170255350393" displayName="Tabla11034534544554564791161171181207401261481564511121316115126143145147151157167168170255350393" ref="B197:H202" totalsRowCount="1" headerRowDxfId="9151" dataDxfId="9149" totalsRowDxfId="9147" headerRowBorderDxfId="9150" tableBorderDxfId="9148" totalsRowBorderDxfId="9146">
  <autoFilter ref="B197:H201" xr:uid="{841A1AF6-B497-442E-88F2-F9C154C13373}"/>
  <sortState xmlns:xlrd2="http://schemas.microsoft.com/office/spreadsheetml/2017/richdata2" ref="B198:H198">
    <sortCondition descending="1" ref="H79:H95"/>
  </sortState>
  <tableColumns count="7">
    <tableColumn id="2" xr3:uid="{3C5DC056-64B2-4D4B-A487-EF384488D0E9}" name="ArtÃ­culo" dataDxfId="9145" totalsRowDxfId="9144"/>
    <tableColumn id="3" xr3:uid="{4F1D7E64-471B-4FC1-BC15-901345DC50AF}" name="Unidad Medida" dataDxfId="9143" totalsRowDxfId="9142"/>
    <tableColumn id="4" xr3:uid="{02ACB381-737B-418D-B837-B8A7A413B0D4}" name="Unidades Netas" dataDxfId="9141" totalsRowDxfId="9140"/>
    <tableColumn id="1" xr3:uid="{27A7BE12-FDF4-4C42-B819-19B3B84A00C6}" name="% Merma" dataDxfId="9139" totalsRowDxfId="9138"/>
    <tableColumn id="7" xr3:uid="{50AD1CC8-C243-4766-B06E-E8F328828F21}" name="Unidades" dataDxfId="9137" totalsRowDxfId="9136"/>
    <tableColumn id="5" xr3:uid="{F259DE57-C04C-441C-A56F-C842A6DA2376}" name="Coste Componente" dataDxfId="9135" totalsRowDxfId="9134" dataCellStyle="Moneda">
      <calculatedColumnFormula>+VLOOKUP(Tabla11034534544554564791161171181207401261481564511121316115126143145147151157167168170255350393[[#This Row],[ArtÃ­culo]],Tabla34[#All],3,0)</calculatedColumnFormula>
    </tableColumn>
    <tableColumn id="6" xr3:uid="{BB070805-7870-427D-B3AF-32159F0FE9D3}" name="Coste LÃ­nea" totalsRowFunction="sum" dataDxfId="9133" totalsRowDxfId="9132" dataCellStyle="Moneda">
      <calculatedColumnFormula>+Tabla11034534544554564791161171181207401261481564511121316115126143145147151157167168170255350393[[#This Row],[Coste Componente]]*Tabla11034534544554564791161171181207401261481564511121316115126143145147151157167168170255350393[[#This Row],[Unidades]]</calculatedColumnFormula>
    </tableColumn>
  </tableColumns>
  <tableStyleInfo name="TableStyleLight8" showFirstColumn="0" showLastColumn="0" showRowStripes="1" showColumnStripes="0"/>
</table>
</file>

<file path=xl/tables/table6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4" xr:uid="{8EAB16C1-29D2-4BC1-826A-B0442BFF7BC0}" name="Tabla11034534544554564791161171181207401261481564511121316115126143145147151157167168170255350393395" displayName="Tabla11034534544554564791161171181207401261481564511121316115126143145147151157167168170255350393395" ref="B206:H208" totalsRowCount="1" headerRowDxfId="9131" dataDxfId="9129" totalsRowDxfId="9127" headerRowBorderDxfId="9130" tableBorderDxfId="9128" totalsRowBorderDxfId="9126">
  <autoFilter ref="B206:H207" xr:uid="{8EAB16C1-29D2-4BC1-826A-B0442BFF7BC0}"/>
  <sortState xmlns:xlrd2="http://schemas.microsoft.com/office/spreadsheetml/2017/richdata2" ref="B207:H207">
    <sortCondition descending="1" ref="H79:H95"/>
  </sortState>
  <tableColumns count="7">
    <tableColumn id="2" xr3:uid="{0CBA5FAC-A2E7-4150-B610-DE58C7C7FBA7}" name="ArtÃ­culo" dataDxfId="9125" totalsRowDxfId="9124"/>
    <tableColumn id="3" xr3:uid="{EBC77542-80C8-45EA-A2EE-39362CD6CA34}" name="Unidad Medida" dataDxfId="9123" totalsRowDxfId="9122"/>
    <tableColumn id="4" xr3:uid="{30870360-DF0F-48AD-B6C7-9763BAACCF48}" name="Unidades Netas" dataDxfId="9121" totalsRowDxfId="9120"/>
    <tableColumn id="1" xr3:uid="{3E998A28-78B6-4EB1-8F8E-86CBF03384F9}" name="% Merma" dataDxfId="9119" totalsRowDxfId="9118"/>
    <tableColumn id="7" xr3:uid="{B290C005-4E44-45DA-A053-3A5CC5B0A9FA}" name="Unidades" dataDxfId="9117" totalsRowDxfId="9116"/>
    <tableColumn id="5" xr3:uid="{6196DF1D-3E0F-45F9-A65F-4D1FF17C8E1B}" name="Coste Componente" dataDxfId="9115" totalsRowDxfId="9114" dataCellStyle="Moneda">
      <calculatedColumnFormula>+VLOOKUP(Tabla11034534544554564791161171181207401261481564511121316115126143145147151157167168170255350393395[[#This Row],[ArtÃ­culo]],Tabla34[#All],3,0)</calculatedColumnFormula>
    </tableColumn>
    <tableColumn id="6" xr3:uid="{BF79FDF4-8BFD-4225-A42F-23C8B1471FCE}" name="Coste LÃ­nea" totalsRowFunction="sum" dataDxfId="9113" totalsRowDxfId="9112" dataCellStyle="Moneda">
      <calculatedColumnFormula>+Tabla11034534544554564791161171181207401261481564511121316115126143145147151157167168170255350393395[[#This Row],[Coste Componente]]*Tabla11034534544554564791161171181207401261481564511121316115126143145147151157167168170255350393395[[#This Row],[Unidades]]</calculatedColumnFormula>
    </tableColumn>
  </tableColumns>
  <tableStyleInfo name="TableStyleLight8" showFirstColumn="0" showLastColumn="0" showRowStripes="1" showColumnStripes="0"/>
</table>
</file>

<file path=xl/tables/table6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6" xr:uid="{166B4767-54EC-4371-868A-4785A2172180}" name="Tabla11034534544554564791161171181207401261481564511121316115126143145147151157167168170255350393395397" displayName="Tabla11034534544554564791161171181207401261481564511121316115126143145147151157167168170255350393395397" ref="B213:H215" totalsRowCount="1" headerRowDxfId="9111" dataDxfId="9109" totalsRowDxfId="9107" headerRowBorderDxfId="9110" tableBorderDxfId="9108" totalsRowBorderDxfId="9106">
  <autoFilter ref="B213:H214" xr:uid="{166B4767-54EC-4371-868A-4785A2172180}"/>
  <sortState xmlns:xlrd2="http://schemas.microsoft.com/office/spreadsheetml/2017/richdata2" ref="B214:H214">
    <sortCondition descending="1" ref="H79:H95"/>
  </sortState>
  <tableColumns count="7">
    <tableColumn id="2" xr3:uid="{16527121-1FF4-4137-AF49-66C4783A6801}" name="ArtÃ­culo" dataDxfId="9105" totalsRowDxfId="9104"/>
    <tableColumn id="3" xr3:uid="{59854ED7-C01C-4141-8767-BF28FC54EEAA}" name="Unidad Medida" dataDxfId="9103" totalsRowDxfId="9102"/>
    <tableColumn id="4" xr3:uid="{05BAD5C3-05F8-48B2-BC49-CFF174287828}" name="Unidades Netas" dataDxfId="9101" totalsRowDxfId="9100"/>
    <tableColumn id="1" xr3:uid="{E117D012-A4DB-40BB-A1F0-766AEF676A0F}" name="% Merma" dataDxfId="9099" totalsRowDxfId="9098"/>
    <tableColumn id="7" xr3:uid="{C2BAAA5B-FB6D-438E-9549-51B2E1F6F544}" name="Unidades" dataDxfId="9097" totalsRowDxfId="9096"/>
    <tableColumn id="5" xr3:uid="{1AB2265B-3CDE-444B-BA0C-AE247B8B1C51}" name="Coste Componente" dataDxfId="9095" totalsRowDxfId="9094" dataCellStyle="Moneda">
      <calculatedColumnFormula>+VLOOKUP(Tabla11034534544554564791161171181207401261481564511121316115126143145147151157167168170255350393395397[[#This Row],[ArtÃ­culo]],Tabla34[#All],3,0)</calculatedColumnFormula>
    </tableColumn>
    <tableColumn id="6" xr3:uid="{1E89E353-544E-4CCB-9E74-3C81A5BF8E2E}" name="Coste LÃ­nea" totalsRowFunction="sum" dataDxfId="9093" totalsRowDxfId="9092" dataCellStyle="Moneda">
      <calculatedColumnFormula>+Tabla11034534544554564791161171181207401261481564511121316115126143145147151157167168170255350393395397[[#This Row],[Coste Componente]]*Tabla11034534544554564791161171181207401261481564511121316115126143145147151157167168170255350393395397[[#This Row],[Unidades]]</calculatedColumnFormula>
    </tableColumn>
  </tableColumns>
  <tableStyleInfo name="TableStyleLight8" showFirstColumn="0" showLastColumn="0" showRowStripes="1" showColumnStripes="0"/>
</table>
</file>

<file path=xl/tables/table6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8" xr:uid="{9BB838F4-F8FA-4AE6-8A49-A7953B174F2C}" name="Tabla11034534544554564791161171181207401261481564511121316115126143145147151157167168170255350393395397399" displayName="Tabla11034534544554564791161171181207401261481564511121316115126143145147151157167168170255350393395397399" ref="B221:H223" totalsRowCount="1" headerRowDxfId="9091" dataDxfId="9089" totalsRowDxfId="9087" headerRowBorderDxfId="9090" tableBorderDxfId="9088" totalsRowBorderDxfId="9086">
  <autoFilter ref="B221:H222" xr:uid="{9BB838F4-F8FA-4AE6-8A49-A7953B174F2C}"/>
  <sortState xmlns:xlrd2="http://schemas.microsoft.com/office/spreadsheetml/2017/richdata2" ref="B222:H222">
    <sortCondition descending="1" ref="H79:H95"/>
  </sortState>
  <tableColumns count="7">
    <tableColumn id="2" xr3:uid="{C000EE05-31BC-44FB-A791-B562E53F3221}" name="ArtÃ­culo" dataDxfId="9085" totalsRowDxfId="9084"/>
    <tableColumn id="3" xr3:uid="{7542A0AC-7B9E-49A0-8419-A488645C74B3}" name="Unidad Medida" dataDxfId="9083" totalsRowDxfId="9082"/>
    <tableColumn id="4" xr3:uid="{FA5B6EF3-0C80-4ED7-918A-00940D114634}" name="Unidades Netas" dataDxfId="9081" totalsRowDxfId="9080"/>
    <tableColumn id="1" xr3:uid="{02DE112E-319B-4C94-A5AA-24F2690423FC}" name="% Merma" dataDxfId="9079" totalsRowDxfId="9078"/>
    <tableColumn id="7" xr3:uid="{CA8043A3-862F-400A-997A-3C83E8E1378A}" name="Unidades" dataDxfId="9077" totalsRowDxfId="9076"/>
    <tableColumn id="5" xr3:uid="{CFFBE539-3B4A-43CA-B7A2-57A20A3B7FF0}" name="Coste Componente" dataDxfId="9075" totalsRowDxfId="9074" dataCellStyle="Moneda">
      <calculatedColumnFormula>+VLOOKUP(Tabla11034534544554564791161171181207401261481564511121316115126143145147151157167168170255350393395397399[[#This Row],[ArtÃ­culo]],Tabla34[#All],3,0)</calculatedColumnFormula>
    </tableColumn>
    <tableColumn id="6" xr3:uid="{29BA7B7D-49C9-453D-8E4B-FC714FF6B644}" name="Coste LÃ­nea" totalsRowFunction="sum" dataDxfId="9073" totalsRowDxfId="9072" dataCellStyle="Moneda">
      <calculatedColumnFormula>+Tabla11034534544554564791161171181207401261481564511121316115126143145147151157167168170255350393395397399[[#This Row],[Coste Componente]]*Tabla11034534544554564791161171181207401261481564511121316115126143145147151157167168170255350393395397399[[#This Row],[Unidades]]</calculatedColumnFormula>
    </tableColumn>
  </tableColumns>
  <tableStyleInfo name="TableStyleLight8" showFirstColumn="0" showLastColumn="0" showRowStripes="1" showColumnStripes="0"/>
</table>
</file>

<file path=xl/tables/table6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7" xr:uid="{87B68664-642C-4017-9C4A-23F1697B118E}" name="Tabla11034534544554564791161171181207401261481564511121316115126143145147151157167168170255350393395397399478" displayName="Tabla11034534544554564791161171181207401261481564511121316115126143145147151157167168170255350393395397399478" ref="B228:H230" totalsRowCount="1" headerRowDxfId="9071" dataDxfId="9069" totalsRowDxfId="9067" headerRowBorderDxfId="9070" tableBorderDxfId="9068" totalsRowBorderDxfId="9066">
  <autoFilter ref="B228:H229" xr:uid="{87B68664-642C-4017-9C4A-23F1697B118E}"/>
  <sortState xmlns:xlrd2="http://schemas.microsoft.com/office/spreadsheetml/2017/richdata2" ref="B229:H229">
    <sortCondition descending="1" ref="H79:H95"/>
  </sortState>
  <tableColumns count="7">
    <tableColumn id="2" xr3:uid="{03364D4E-674D-4568-919A-F6C86E28B80A}" name="ArtÃ­culo" dataDxfId="9065" totalsRowDxfId="9064"/>
    <tableColumn id="3" xr3:uid="{8CD14532-549A-495B-ABA7-EB4746E35E10}" name="Unidad Medida" dataDxfId="9063" totalsRowDxfId="9062"/>
    <tableColumn id="4" xr3:uid="{7CB6F3C4-E01A-472A-A9F8-3924B90E69EE}" name="Unidades Netas" dataDxfId="9061" totalsRowDxfId="9060"/>
    <tableColumn id="1" xr3:uid="{00DAC730-BBE7-4705-B13F-E3B3823D6782}" name="% Merma" dataDxfId="9059" totalsRowDxfId="9058"/>
    <tableColumn id="7" xr3:uid="{D8754536-6507-44EE-ADC8-AE01E27A5AAB}" name="Unidades" dataDxfId="9057" totalsRowDxfId="9056"/>
    <tableColumn id="5" xr3:uid="{5C41002E-D40F-4EFC-A776-4F12CD97D72F}" name="Coste Componente" dataDxfId="9055" totalsRowDxfId="9054" dataCellStyle="Moneda">
      <calculatedColumnFormula>+VLOOKUP(Tabla11034534544554564791161171181207401261481564511121316115126143145147151157167168170255350393395397399478[[#This Row],[ArtÃ­culo]],Tabla34[#All],3,0)</calculatedColumnFormula>
    </tableColumn>
    <tableColumn id="6" xr3:uid="{8F942C5E-91BF-46A4-921B-18A927052B75}" name="Coste LÃ­nea" totalsRowFunction="sum" dataDxfId="9053" totalsRowDxfId="9052" dataCellStyle="Moneda">
      <calculatedColumnFormula>+Tabla11034534544554564791161171181207401261481564511121316115126143145147151157167168170255350393395397399478[[#This Row],[Coste Componente]]*Tabla11034534544554564791161171181207401261481564511121316115126143145147151157167168170255350393395397399478[[#This Row],[Unidades]]</calculatedColumnFormula>
    </tableColumn>
  </tableColumns>
  <tableStyleInfo name="TableStyleLight8" showFirstColumn="0" showLastColumn="0" showRowStripes="1" showColumnStripes="0"/>
</table>
</file>

<file path=xl/tables/table6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8" xr:uid="{6B851DFF-9833-4E18-93B7-D2F5C21E07A1}" name="Tabla11034534544554564791161171181207401261481564511121316115126143145147151157167168170255350393395397399478519" displayName="Tabla11034534544554564791161171181207401261481564511121316115126143145147151157167168170255350393395397399478519" ref="B236:H238" totalsRowCount="1" headerRowDxfId="9051" dataDxfId="9049" totalsRowDxfId="9047" headerRowBorderDxfId="9050" tableBorderDxfId="9048" totalsRowBorderDxfId="9046">
  <autoFilter ref="B236:H237" xr:uid="{6B851DFF-9833-4E18-93B7-D2F5C21E07A1}"/>
  <sortState xmlns:xlrd2="http://schemas.microsoft.com/office/spreadsheetml/2017/richdata2" ref="B237:H237">
    <sortCondition descending="1" ref="H79:H95"/>
  </sortState>
  <tableColumns count="7">
    <tableColumn id="2" xr3:uid="{12189534-CBD1-46D2-88F6-B73ACFBFCE8F}" name="ArtÃ­culo" dataDxfId="9045" totalsRowDxfId="9044"/>
    <tableColumn id="3" xr3:uid="{8748DF03-7146-4672-9CC5-0BD582624605}" name="Unidad Medida" dataDxfId="9043" totalsRowDxfId="9042"/>
    <tableColumn id="4" xr3:uid="{A7E976FA-F408-41A2-96C6-C892F93FA495}" name="Unidades Netas" dataDxfId="9041" totalsRowDxfId="9040"/>
    <tableColumn id="1" xr3:uid="{18E06499-DE13-4C9F-8685-54C748FDEEBB}" name="% Merma" dataDxfId="9039" totalsRowDxfId="9038"/>
    <tableColumn id="7" xr3:uid="{1E02B9E2-85C3-4C7D-8E6D-23CA4861CAE9}" name="Unidades" dataDxfId="9037" totalsRowDxfId="9036"/>
    <tableColumn id="5" xr3:uid="{4501FB4C-C2C7-474C-AA89-CD435A8DC74B}" name="Coste Componente" dataDxfId="9035" totalsRowDxfId="9034" dataCellStyle="Moneda">
      <calculatedColumnFormula>+VLOOKUP(Tabla11034534544554564791161171181207401261481564511121316115126143145147151157167168170255350393395397399478519[[#This Row],[ArtÃ­culo]],Tabla34[#All],3,0)</calculatedColumnFormula>
    </tableColumn>
    <tableColumn id="6" xr3:uid="{FD08F3F5-14D1-4718-813E-5D3260975846}" name="Coste LÃ­nea" totalsRowFunction="sum" dataDxfId="9033" totalsRowDxfId="9032" dataCellStyle="Moneda">
      <calculatedColumnFormula>+Tabla11034534544554564791161171181207401261481564511121316115126143145147151157167168170255350393395397399478519[[#This Row],[Coste Componente]]*Tabla11034534544554564791161171181207401261481564511121316115126143145147151157167168170255350393395397399478519[[#This Row],[Unidades]]</calculatedColumnFormula>
    </tableColumn>
  </tableColumns>
  <tableStyleInfo name="TableStyleLight8" showFirstColumn="0" showLastColumn="0" showRowStripes="1" showColumnStripes="0"/>
</table>
</file>

<file path=xl/tables/table6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3" xr:uid="{4AC279F2-A42E-4253-B05C-7629D25CFA62}" name="Tabla11034534544554564791161171181207401261481564511121316115126143145147151157167168170255350393395397399478519524" displayName="Tabla11034534544554564791161171181207401261481564511121316115126143145147151157167168170255350393395397399478519524" ref="B244:H246" totalsRowCount="1" headerRowDxfId="9031" dataDxfId="9029" totalsRowDxfId="9027" headerRowBorderDxfId="9030" tableBorderDxfId="9028" totalsRowBorderDxfId="9026">
  <autoFilter ref="B244:H245" xr:uid="{4AC279F2-A42E-4253-B05C-7629D25CFA62}"/>
  <sortState xmlns:xlrd2="http://schemas.microsoft.com/office/spreadsheetml/2017/richdata2" ref="B245:H245">
    <sortCondition descending="1" ref="H79:H95"/>
  </sortState>
  <tableColumns count="7">
    <tableColumn id="2" xr3:uid="{D05ACCB2-BA68-4C91-B604-3258E7335D83}" name="ArtÃ­culo" dataDxfId="9025" totalsRowDxfId="9024"/>
    <tableColumn id="3" xr3:uid="{C1ABC810-E17C-4C8F-8413-DE45C0AE0530}" name="Unidad Medida" dataDxfId="9023" totalsRowDxfId="9022"/>
    <tableColumn id="4" xr3:uid="{A9911992-CB05-4C2D-9BD5-CF766537A46D}" name="Unidades Netas" dataDxfId="9021" totalsRowDxfId="9020"/>
    <tableColumn id="1" xr3:uid="{04214D2F-7644-4BC4-9609-70F6EF507A1B}" name="% Merma" dataDxfId="9019" totalsRowDxfId="9018"/>
    <tableColumn id="7" xr3:uid="{B4F9A17A-2E0B-4B7F-918A-7114BABADFD5}" name="Unidades" dataDxfId="9017" totalsRowDxfId="9016"/>
    <tableColumn id="5" xr3:uid="{90AE38EE-0380-46FC-99F8-7323AAD3CB8F}" name="Coste Componente" dataDxfId="9015" totalsRowDxfId="9014" dataCellStyle="Moneda">
      <calculatedColumnFormula>+VLOOKUP(Tabla11034534544554564791161171181207401261481564511121316115126143145147151157167168170255350393395397399478519524[[#This Row],[ArtÃ­culo]],Tabla34[#All],3,0)</calculatedColumnFormula>
    </tableColumn>
    <tableColumn id="6" xr3:uid="{E8C6B3EF-649D-4637-94B4-29F783BDC66D}" name="Coste LÃ­nea" totalsRowFunction="sum" dataDxfId="9013" totalsRowDxfId="9012" dataCellStyle="Moneda">
      <calculatedColumnFormula>+Tabla11034534544554564791161171181207401261481564511121316115126143145147151157167168170255350393395397399478519524[[#This Row],[Coste Componente]]*Tabla11034534544554564791161171181207401261481564511121316115126143145147151157167168170255350393395397399478519524[[#This Row],[Unidades]]</calculatedColumnFormula>
    </tableColumn>
  </tableColumns>
  <tableStyleInfo name="TableStyleLight8" showFirstColumn="0" showLastColumn="0" showRowStripes="1" showColumnStripes="0"/>
</table>
</file>

<file path=xl/tables/table6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0" xr:uid="{9ECD446C-62B5-4998-BC28-2C05AB28378D}" name="Tabla461487182791797829861883892905930931" displayName="Tabla461487182791797829861883892905930931" ref="M6:M7" insertRow="1" totalsRowShown="0" headerRowDxfId="3096" dataDxfId="3095" tableBorderDxfId="3094">
  <autoFilter ref="M6:M7" xr:uid="{9ECD446C-62B5-4998-BC28-2C05AB28378D}"/>
  <tableColumns count="1">
    <tableColumn id="1" xr3:uid="{4C7BF3C9-6121-4D39-820D-1EA2A34D9B24}" name="Preparacion" dataDxfId="3093"/>
  </tableColumns>
  <tableStyleInfo showFirstColumn="0" showLastColumn="0" showRowStripes="1" showColumnStripes="0"/>
</table>
</file>

<file path=xl/tables/table6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1" xr:uid="{71AE5964-1744-4E77-902E-7E44C3A687BA}" name="Tabla461487182791797829861883892905930932" displayName="Tabla461487182791797829861883892905930932" ref="M17:M18" insertRow="1" totalsRowShown="0" headerRowDxfId="3092" dataDxfId="3091" tableBorderDxfId="3090">
  <autoFilter ref="M17:M18" xr:uid="{71AE5964-1744-4E77-902E-7E44C3A687BA}"/>
  <tableColumns count="1">
    <tableColumn id="1" xr3:uid="{4997B468-2CC4-45D6-852B-D70566E9ECEA}" name="Preparacion" dataDxfId="3089"/>
  </tableColumns>
  <tableStyleInfo showFirstColumn="0" showLastColumn="0" showRowStripes="1" showColumnStripes="0"/>
</table>
</file>

<file path=xl/tables/table6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2" xr:uid="{C0CAB029-CA31-4009-A426-9AB4ECDE8EC7}" name="Tabla461487182791797829861883892905930933" displayName="Tabla461487182791797829861883892905930933" ref="M26:M27" insertRow="1" totalsRowShown="0" headerRowDxfId="3088" dataDxfId="3087" tableBorderDxfId="3086">
  <autoFilter ref="M26:M27" xr:uid="{C0CAB029-CA31-4009-A426-9AB4ECDE8EC7}"/>
  <tableColumns count="1">
    <tableColumn id="1" xr3:uid="{C494ADCB-D676-49AB-8AC4-E06E259706AD}" name="Preparacion" dataDxfId="3085"/>
  </tableColumns>
  <tableStyleInfo showFirstColumn="0" showLastColumn="0" showRowStripes="1" showColumnStripes="0"/>
</table>
</file>

<file path=xl/tables/table6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3" xr:uid="{7C895447-3878-426D-A715-B1A549FE756F}" name="Tabla461487182791797829861883892905930934" displayName="Tabla461487182791797829861883892905930934" ref="M42:M43" insertRow="1" totalsRowShown="0" headerRowDxfId="3084" dataDxfId="3083" tableBorderDxfId="3082">
  <autoFilter ref="M42:M43" xr:uid="{7C895447-3878-426D-A715-B1A549FE756F}"/>
  <tableColumns count="1">
    <tableColumn id="1" xr3:uid="{7DA06EB6-14EC-41E6-A9D4-09683FAD4ECE}" name="Preparacion" dataDxfId="3081"/>
  </tableColumns>
  <tableStyleInfo showFirstColumn="0" showLastColumn="0" showRowStripes="1" showColumnStripes="0"/>
</table>
</file>

<file path=xl/tables/table6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4" xr:uid="{4084C3D8-FA85-4998-A814-12AEA6E4D3E9}" name="Tabla461487182791797829861883892905930935" displayName="Tabla461487182791797829861883892905930935" ref="M52:M53" insertRow="1" totalsRowShown="0" headerRowDxfId="3080" dataDxfId="3079" tableBorderDxfId="3078">
  <autoFilter ref="M52:M53" xr:uid="{4084C3D8-FA85-4998-A814-12AEA6E4D3E9}"/>
  <tableColumns count="1">
    <tableColumn id="1" xr3:uid="{CDEBFD9A-F970-49D4-9332-8628048675E6}" name="Preparacion" dataDxfId="3077"/>
  </tableColumns>
  <tableStyleInfo showFirstColumn="0" showLastColumn="0" showRowStripes="1" showColumnStripes="0"/>
</table>
</file>

<file path=xl/tables/table6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6" xr:uid="{21858342-B525-421A-808E-7A6A1274BC41}" name="Tabla461487182791797829861883892905930935937" displayName="Tabla461487182791797829861883892905930935937" ref="M63:M64" insertRow="1" totalsRowShown="0" headerRowDxfId="3076" dataDxfId="3075" tableBorderDxfId="3074">
  <autoFilter ref="M63:M64" xr:uid="{21858342-B525-421A-808E-7A6A1274BC41}"/>
  <tableColumns count="1">
    <tableColumn id="1" xr3:uid="{EAE9DFD7-F15A-4C34-ABA3-B65D05BF2BB9}" name="Preparacion" dataDxfId="3073"/>
  </tableColumns>
  <tableStyleInfo showFirstColumn="0" showLastColumn="0" showRowStripes="1" showColumnStripes="0"/>
</table>
</file>

<file path=xl/tables/table6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7" xr:uid="{95924689-8E6A-4C2E-AD55-27F4CC23D9BC}" name="Tabla461487182791797829861883892905930935938" displayName="Tabla461487182791797829861883892905930935938" ref="M74:M75" insertRow="1" totalsRowShown="0" headerRowDxfId="3072" dataDxfId="3071" tableBorderDxfId="3070">
  <autoFilter ref="M74:M75" xr:uid="{95924689-8E6A-4C2E-AD55-27F4CC23D9BC}"/>
  <tableColumns count="1">
    <tableColumn id="1" xr3:uid="{3E0FE88C-EBBA-4640-A4E5-058E750DC2FC}" name="Preparacion" dataDxfId="3069"/>
  </tableColumns>
  <tableStyleInfo showFirstColumn="0" showLastColumn="0" showRowStripes="1" showColumnStripes="0"/>
</table>
</file>

<file path=xl/tables/table6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8" xr:uid="{4F625CB4-08B4-4500-B62B-D9D4CEDC9D22}" name="Tabla461487182791797829861883892905930935939" displayName="Tabla461487182791797829861883892905930935939" ref="M86:M87" insertRow="1" totalsRowShown="0" headerRowDxfId="3068" dataDxfId="3067" tableBorderDxfId="3066">
  <autoFilter ref="M86:M87" xr:uid="{4F625CB4-08B4-4500-B62B-D9D4CEDC9D22}"/>
  <tableColumns count="1">
    <tableColumn id="1" xr3:uid="{A6B8CB64-EC37-4673-B4FC-F04EA5D83A0E}" name="Preparacion" dataDxfId="3065"/>
  </tableColumns>
  <tableStyleInfo showFirstColumn="0" showLastColumn="0" showRowStripes="1" showColumnStripes="0"/>
</table>
</file>

<file path=xl/tables/table6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9" xr:uid="{966F24E4-902B-4B3C-AB33-C2843B70E844}" name="Tabla461487182791797829861883892905930935940" displayName="Tabla461487182791797829861883892905930935940" ref="M98:M99" insertRow="1" totalsRowShown="0" headerRowDxfId="3064" dataDxfId="3063" tableBorderDxfId="3062">
  <autoFilter ref="M98:M99" xr:uid="{966F24E4-902B-4B3C-AB33-C2843B70E844}"/>
  <tableColumns count="1">
    <tableColumn id="1" xr3:uid="{5D4FC80E-D456-4B96-BD17-AD8E2661BF33}" name="Preparacion" dataDxfId="3061"/>
  </tableColumns>
  <tableStyleInfo showFirstColumn="0" showLastColumn="0" showRowStripes="1" showColumnStripes="0"/>
</table>
</file>

<file path=xl/tables/table6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0" xr:uid="{EA8274F7-B214-4950-A1E7-A1CE2DB09215}" name="Tabla461487182791797829861883892905930935941" displayName="Tabla461487182791797829861883892905930935941" ref="M109:M110" insertRow="1" totalsRowShown="0" headerRowDxfId="3060" dataDxfId="3059" tableBorderDxfId="3058">
  <autoFilter ref="M109:M110" xr:uid="{EA8274F7-B214-4950-A1E7-A1CE2DB09215}"/>
  <tableColumns count="1">
    <tableColumn id="1" xr3:uid="{CBDED601-4F97-401F-AA35-F7ECD35F52FF}" name="Preparacion" dataDxfId="3057"/>
  </tableColumns>
  <tableStyleInfo showFirstColumn="0" showLastColumn="0" showRowStripes="1" showColumnStripes="0"/>
</table>
</file>

<file path=xl/tables/table6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1" xr:uid="{938BDC5A-E309-4F99-96F1-32898903574B}" name="Tabla461487182791797829861883892905930935942" displayName="Tabla461487182791797829861883892905930935942" ref="M123:M124" insertRow="1" totalsRowShown="0" headerRowDxfId="3056" dataDxfId="3055" tableBorderDxfId="3054">
  <autoFilter ref="M123:M124" xr:uid="{938BDC5A-E309-4F99-96F1-32898903574B}"/>
  <tableColumns count="1">
    <tableColumn id="1" xr3:uid="{4073F387-9CD3-432A-B5BE-2205471BA100}" name="Preparacion" dataDxfId="3053"/>
  </tableColumns>
  <tableStyleInfo showFirstColumn="0" showLastColumn="0" showRowStripes="1" showColumnStripes="0"/>
</table>
</file>

<file path=xl/tables/table6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2" xr:uid="{F85CA927-31CD-4A37-9F82-6D4B9FC4B3D6}" name="Tabla461487182791797829861883892905930935943" displayName="Tabla461487182791797829861883892905930935943" ref="M136:M137" insertRow="1" totalsRowShown="0" headerRowDxfId="3052" dataDxfId="3051" tableBorderDxfId="3050">
  <autoFilter ref="M136:M137" xr:uid="{F85CA927-31CD-4A37-9F82-6D4B9FC4B3D6}"/>
  <tableColumns count="1">
    <tableColumn id="1" xr3:uid="{2D2C63C6-D49E-483D-B1C8-7E8128EA3FF1}" name="Preparacion" dataDxfId="3049"/>
  </tableColumns>
  <tableStyleInfo showFirstColumn="0" showLastColumn="0" showRowStripes="1" showColumnStripes="0"/>
</table>
</file>

<file path=xl/tables/table6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3" xr:uid="{C5883B51-400D-463D-B4A9-4006C2A170D7}" name="Tabla461487182791797829861883892905930935944" displayName="Tabla461487182791797829861883892905930935944" ref="M143:M144" insertRow="1" totalsRowShown="0" headerRowDxfId="3048" dataDxfId="3047" tableBorderDxfId="3046">
  <autoFilter ref="M143:M144" xr:uid="{C5883B51-400D-463D-B4A9-4006C2A170D7}"/>
  <tableColumns count="1">
    <tableColumn id="1" xr3:uid="{2A40870D-D955-4ACE-A887-71C32FB6B247}" name="Preparacion" dataDxfId="3045"/>
  </tableColumns>
  <tableStyleInfo showFirstColumn="0" showLastColumn="0" showRowStripes="1" showColumnStripes="0"/>
</table>
</file>

<file path=xl/tables/table7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4" xr:uid="{64ADD81A-7CB7-41B1-B5DB-4DB283F3F55F}" name="Tabla461487182791797829861883892905930935945" displayName="Tabla461487182791797829861883892905930935945" ref="M151:M152" insertRow="1" totalsRowShown="0" headerRowDxfId="3044" dataDxfId="3043" tableBorderDxfId="3042">
  <autoFilter ref="M151:M152" xr:uid="{64ADD81A-7CB7-41B1-B5DB-4DB283F3F55F}"/>
  <tableColumns count="1">
    <tableColumn id="1" xr3:uid="{E3059BDE-C3CA-4694-A3EB-409DF06368E8}" name="Preparacion" dataDxfId="3041"/>
  </tableColumns>
  <tableStyleInfo showFirstColumn="0" showLastColumn="0" showRowStripes="1" showColumnStripes="0"/>
</table>
</file>

<file path=xl/tables/table7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5" xr:uid="{EDFE8212-4F32-4FF8-B51B-311C6D0215F2}" name="Tabla461487182791797829861883892905930935946" displayName="Tabla461487182791797829861883892905930935946" ref="M158:M159" insertRow="1" totalsRowShown="0" headerRowDxfId="3040" dataDxfId="3039" tableBorderDxfId="3038">
  <autoFilter ref="M158:M159" xr:uid="{EDFE8212-4F32-4FF8-B51B-311C6D0215F2}"/>
  <tableColumns count="1">
    <tableColumn id="1" xr3:uid="{9D259EFE-A2A6-4243-BBFE-D926F92635BA}" name="Preparacion" dataDxfId="3037"/>
  </tableColumns>
  <tableStyleInfo showFirstColumn="0" showLastColumn="0" showRowStripes="1" showColumnStripes="0"/>
</table>
</file>

<file path=xl/tables/table7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6" xr:uid="{42105767-BEBB-4389-A4AC-C3A7CFFC2CB0}" name="Tabla461487182791797829861883892905930935947" displayName="Tabla461487182791797829861883892905930935947" ref="M166:M167" insertRow="1" totalsRowShown="0" headerRowDxfId="3036" dataDxfId="3035" tableBorderDxfId="3034">
  <autoFilter ref="M166:M167" xr:uid="{42105767-BEBB-4389-A4AC-C3A7CFFC2CB0}"/>
  <tableColumns count="1">
    <tableColumn id="1" xr3:uid="{E5A69046-9250-4B01-A932-83EFC050A5E1}" name="Preparacion" dataDxfId="3033"/>
  </tableColumns>
  <tableStyleInfo showFirstColumn="0" showLastColumn="0" showRowStripes="1" showColumnStripes="0"/>
</table>
</file>

<file path=xl/tables/table7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7" xr:uid="{EF23C296-0821-4420-9A99-E48B84EB5F5E}" name="Tabla461487182791797829861883892905930935948" displayName="Tabla461487182791797829861883892905930935948" ref="M173:M174" insertRow="1" totalsRowShown="0" headerRowDxfId="3032" dataDxfId="3031" tableBorderDxfId="3030">
  <autoFilter ref="M173:M174" xr:uid="{EF23C296-0821-4420-9A99-E48B84EB5F5E}"/>
  <tableColumns count="1">
    <tableColumn id="1" xr3:uid="{73B0D928-632D-4FD7-8266-E3B1C27A5D86}" name="Preparacion" dataDxfId="3029"/>
  </tableColumns>
  <tableStyleInfo showFirstColumn="0" showLastColumn="0" showRowStripes="1" showColumnStripes="0"/>
</table>
</file>

<file path=xl/tables/table7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8" xr:uid="{4DF6CB1E-EE12-427F-9BE9-EA799ABCCED6}" name="Tabla461487182791797829861883892905930935949" displayName="Tabla461487182791797829861883892905930935949" ref="M182:M183" insertRow="1" totalsRowShown="0" headerRowDxfId="3028" dataDxfId="3027" tableBorderDxfId="3026">
  <autoFilter ref="M182:M183" xr:uid="{4DF6CB1E-EE12-427F-9BE9-EA799ABCCED6}"/>
  <tableColumns count="1">
    <tableColumn id="1" xr3:uid="{0E71E3AB-7236-4A91-AE3F-B112042B471C}" name="Preparacion" dataDxfId="3025"/>
  </tableColumns>
  <tableStyleInfo showFirstColumn="0" showLastColumn="0" showRowStripes="1" showColumnStripes="0"/>
</table>
</file>

<file path=xl/tables/table7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9" xr:uid="{2A3592F9-CA8E-4292-974D-B1DC6FDDEC83}" name="Tabla461487182791797829861883892905930935950" displayName="Tabla461487182791797829861883892905930935950" ref="M189:M190" insertRow="1" totalsRowShown="0" headerRowDxfId="3024" dataDxfId="3023" tableBorderDxfId="3022">
  <autoFilter ref="M189:M190" xr:uid="{2A3592F9-CA8E-4292-974D-B1DC6FDDEC83}"/>
  <tableColumns count="1">
    <tableColumn id="1" xr3:uid="{52FEBFAB-63E1-4E70-A7F3-C0C0DAB376C2}" name="Preparacion" dataDxfId="3021"/>
  </tableColumns>
  <tableStyleInfo showFirstColumn="0" showLastColumn="0" showRowStripes="1" showColumnStripes="0"/>
</table>
</file>

<file path=xl/tables/table7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0" xr:uid="{E82650FD-670E-4A02-9E30-471F1EFF982A}" name="Tabla461487182791797829861883892905930935951" displayName="Tabla461487182791797829861883892905930935951" ref="M196:M197" insertRow="1" totalsRowShown="0" headerRowDxfId="3020" dataDxfId="3019" tableBorderDxfId="3018">
  <autoFilter ref="M196:M197" xr:uid="{E82650FD-670E-4A02-9E30-471F1EFF982A}"/>
  <tableColumns count="1">
    <tableColumn id="1" xr3:uid="{A85090CD-F694-4036-BF1A-71D7367B27AA}" name="Preparacion" dataDxfId="3017"/>
  </tableColumns>
  <tableStyleInfo showFirstColumn="0" showLastColumn="0" showRowStripes="1" showColumnStripes="0"/>
</table>
</file>

<file path=xl/tables/table7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1" xr:uid="{C451059E-66C5-4AEC-AA48-35D1CEFB7192}" name="Tabla461487182791797829861883892905930935952" displayName="Tabla461487182791797829861883892905930935952" ref="M206:M207" insertRow="1" totalsRowShown="0" headerRowDxfId="3016" dataDxfId="3015" tableBorderDxfId="3014">
  <autoFilter ref="M206:M207" xr:uid="{C451059E-66C5-4AEC-AA48-35D1CEFB7192}"/>
  <tableColumns count="1">
    <tableColumn id="1" xr3:uid="{E10570F4-1EE8-4FCF-8A9F-BF82186C41A7}" name="Preparacion" dataDxfId="3013"/>
  </tableColumns>
  <tableStyleInfo showFirstColumn="0" showLastColumn="0" showRowStripes="1" showColumnStripes="0"/>
</table>
</file>

<file path=xl/tables/table7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2" xr:uid="{D17203D1-9E8A-46E1-8E5C-278FC056E7EF}" name="Tabla461487182791797829861883892905930935953" displayName="Tabla461487182791797829861883892905930935953" ref="M212:M213" insertRow="1" totalsRowShown="0" headerRowDxfId="3012" dataDxfId="3011" tableBorderDxfId="3010">
  <autoFilter ref="M212:M213" xr:uid="{D17203D1-9E8A-46E1-8E5C-278FC056E7EF}"/>
  <tableColumns count="1">
    <tableColumn id="1" xr3:uid="{A12A4901-A9DD-4C06-9BF4-4BE19A6059A5}" name="Preparacion" dataDxfId="3009"/>
  </tableColumns>
  <tableStyleInfo showFirstColumn="0" showLastColumn="0" showRowStripes="1" showColumnStripes="0"/>
</table>
</file>

<file path=xl/tables/table7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3" xr:uid="{E0DE21D1-1DD7-46A9-BC88-7D708DED360C}" name="Tabla461487182791797829861883892905930935954" displayName="Tabla461487182791797829861883892905930935954" ref="M220:M221" insertRow="1" totalsRowShown="0" headerRowDxfId="3008" dataDxfId="3007" tableBorderDxfId="3006">
  <autoFilter ref="M220:M221" xr:uid="{E0DE21D1-1DD7-46A9-BC88-7D708DED360C}"/>
  <tableColumns count="1">
    <tableColumn id="1" xr3:uid="{450143E4-B9E0-444A-8358-6697C58C4233}" name="Preparacion" dataDxfId="3005"/>
  </tableColumns>
  <tableStyleInfo showFirstColumn="0" showLastColumn="0" showRowStripes="1" showColumnStripes="0"/>
</table>
</file>

<file path=xl/tables/table7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4" xr:uid="{910B0C64-1C64-4A70-A621-11F8B3DB5E83}" name="Tabla461487182791797829861883892905930935955" displayName="Tabla461487182791797829861883892905930935955" ref="M227:M228" insertRow="1" totalsRowShown="0" headerRowDxfId="3004" dataDxfId="3003" tableBorderDxfId="3002">
  <autoFilter ref="M227:M228" xr:uid="{910B0C64-1C64-4A70-A621-11F8B3DB5E83}"/>
  <tableColumns count="1">
    <tableColumn id="1" xr3:uid="{CFACABBD-03CE-4D43-B8A0-0F4FBE59FB29}" name="Preparacion" dataDxfId="3001"/>
  </tableColumns>
  <tableStyleInfo showFirstColumn="0" showLastColumn="0" showRowStripes="1" showColumnStripes="0"/>
</table>
</file>

<file path=xl/tables/table7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5" xr:uid="{04BCA4D3-E7D5-442F-9F53-897BAE5C616B}" name="Tabla461487182791797829861883892905930935956" displayName="Tabla461487182791797829861883892905930935956" ref="M235:M236" insertRow="1" totalsRowShown="0" headerRowDxfId="3000" dataDxfId="2999" tableBorderDxfId="2998">
  <autoFilter ref="M235:M236" xr:uid="{04BCA4D3-E7D5-442F-9F53-897BAE5C616B}"/>
  <tableColumns count="1">
    <tableColumn id="1" xr3:uid="{E88D9C62-5AA8-4ECA-95A8-40A946A84795}" name="Preparacion" dataDxfId="2997"/>
  </tableColumns>
  <tableStyleInfo showFirstColumn="0" showLastColumn="0" showRowStripes="1" showColumnStripes="0"/>
</table>
</file>

<file path=xl/tables/table7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6" xr:uid="{35D1A34C-50EE-447C-AB4F-CB23F4F4A88D}" name="Tabla461487182791797829861883892905930935957" displayName="Tabla461487182791797829861883892905930935957" ref="M243:M244" insertRow="1" totalsRowShown="0" headerRowDxfId="2996" dataDxfId="2995" tableBorderDxfId="2994">
  <autoFilter ref="M243:M244" xr:uid="{35D1A34C-50EE-447C-AB4F-CB23F4F4A88D}"/>
  <tableColumns count="1">
    <tableColumn id="1" xr3:uid="{76C4E8DD-A30A-48D2-BC42-ABD1E8F9D33F}" name="Preparacion" dataDxfId="2993"/>
  </tableColumns>
  <tableStyleInfo showFirstColumn="0" showLastColumn="0" showRowStripes="1" showColumnStripes="0"/>
</table>
</file>

<file path=xl/tables/table7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8007D0C8-D13E-470D-A51C-475FB975FEC7}" name="Tabla110345345445545647945586877869510811712713622823724627233" displayName="Tabla110345345445545647945586877869510811712713622823724627233" ref="B7:H14" totalsRowCount="1" headerRowDxfId="9011" dataDxfId="9009" totalsRowDxfId="9007" headerRowBorderDxfId="9010" tableBorderDxfId="9008" totalsRowBorderDxfId="9006">
  <autoFilter ref="B7:H13" xr:uid="{25E24D6A-940D-4437-B263-679AE371D044}"/>
  <sortState xmlns:xlrd2="http://schemas.microsoft.com/office/spreadsheetml/2017/richdata2" ref="B8:H13">
    <sortCondition descending="1" ref="H197:H213"/>
  </sortState>
  <tableColumns count="7">
    <tableColumn id="2" xr3:uid="{DDB7C11B-2B03-448D-991C-6066AF0E1D98}" name="Ingrediente" dataDxfId="9005" totalsRowDxfId="9004"/>
    <tableColumn id="3" xr3:uid="{AD3754B3-D91F-4775-9061-52C2DBCB5AC3}" name="Und" dataDxfId="9003" totalsRowDxfId="9002"/>
    <tableColumn id="4" xr3:uid="{EE7098D6-7F6F-417A-A5C7-7490E6F14AA4}" name="Cant." dataDxfId="9001" totalsRowDxfId="9000"/>
    <tableColumn id="1" xr3:uid="{F68298F4-DA09-4492-AE62-0D9B59A709A0}" name="Columna1" dataDxfId="8999" totalsRowDxfId="8998"/>
    <tableColumn id="7" xr3:uid="{451912A4-2C90-4AF6-9B25-818DF7550316}" name="Columna2" dataDxfId="8997" totalsRowDxfId="8996"/>
    <tableColumn id="5" xr3:uid="{F9A3539D-B37A-4253-ADC3-2A6EFF5BB57D}" name="Costo" dataDxfId="8995" totalsRowDxfId="8994" dataCellStyle="Moneda">
      <calculatedColumnFormula>+VLOOKUP(Tabla110345345445545647945586877869510811712713622823724627233[[#This Row],[Ingrediente]],Tabla34[#All],3,0)</calculatedColumnFormula>
    </tableColumn>
    <tableColumn id="6" xr3:uid="{36E6401B-03E7-4C88-95B0-85DC5453CD58}" name="Total costo" totalsRowFunction="sum" dataDxfId="8993" totalsRowDxfId="8992" dataCellStyle="Moneda">
      <calculatedColumnFormula>+Tabla110345345445545647945586877869510811712713622823724627233[[#This Row],[Costo]]*Tabla110345345445545647945586877869510811712713622823724627233[[#This Row],[Cant.]]</calculatedColumnFormula>
    </tableColumn>
  </tableColumns>
  <tableStyleInfo name="TableStyleLight8" showFirstColumn="0" showLastColumn="0" showRowStripes="1" showColumnStripes="0"/>
</table>
</file>

<file path=xl/tables/table7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63A74CB5-D598-4CD4-B93C-1373A02707F1}" name="Tabla11034534544554564793646596978879610911812813722923824731234" displayName="Tabla11034534544554564793646596978879610911812813722923824731234" ref="B19:H26" totalsRowCount="1" headerRowDxfId="8991" dataDxfId="8989" totalsRowDxfId="8987" headerRowBorderDxfId="8990" tableBorderDxfId="8988" totalsRowBorderDxfId="8986">
  <autoFilter ref="B19:H25" xr:uid="{465BE583-B429-4C2B-93EC-227E72041455}"/>
  <sortState xmlns:xlrd2="http://schemas.microsoft.com/office/spreadsheetml/2017/richdata2" ref="B20:H24">
    <sortCondition descending="1" ref="H194:H210"/>
  </sortState>
  <tableColumns count="7">
    <tableColumn id="2" xr3:uid="{00A9B380-613C-496C-99D3-C054AB796B94}" name="Ingrediente" dataDxfId="8985" totalsRowDxfId="8984"/>
    <tableColumn id="3" xr3:uid="{D0B8FC22-87AF-421D-BCC0-46F776E53758}" name="Und" dataDxfId="8983" totalsRowDxfId="8982"/>
    <tableColumn id="4" xr3:uid="{56D0E280-B439-4AF0-9828-DFDE81D8F6C0}" name="Cant." dataDxfId="8981" totalsRowDxfId="8980"/>
    <tableColumn id="1" xr3:uid="{2D075471-C487-4F86-A7CB-EC3F278E3C54}" name="Columna1" dataDxfId="8979" totalsRowDxfId="8978"/>
    <tableColumn id="7" xr3:uid="{1794463F-54B7-4A50-BA66-48FF309CDFDF}" name="Columna2" dataDxfId="8977" totalsRowDxfId="8976"/>
    <tableColumn id="5" xr3:uid="{8F94C887-9000-479B-8324-524B527E6A72}" name="Costo" dataDxfId="8975" totalsRowDxfId="8974" dataCellStyle="Moneda">
      <calculatedColumnFormula>+VLOOKUP(Tabla11034534544554564793646596978879610911812813722923824731234[[#This Row],[Ingrediente]],Tabla34[#All],3,0)</calculatedColumnFormula>
    </tableColumn>
    <tableColumn id="6" xr3:uid="{22BDA521-469F-4BBC-997C-6A7A9950E648}" name="Total costo" totalsRowFunction="sum" dataDxfId="8973" totalsRowDxfId="8972" dataCellStyle="Moneda">
      <calculatedColumnFormula>+Tabla11034534544554564793646596978879610911812813722923824731234[[#This Row],[Costo]]*Tabla11034534544554564793646596978879610911812813722923824731234[[#This Row],[Columna2]]</calculatedColumnFormula>
    </tableColumn>
  </tableColumns>
  <tableStyleInfo name="TableStyleLight8" showFirstColumn="0" showLastColumn="0" showRowStripes="1" showColumnStripes="0"/>
</table>
</file>

<file path=xl/tables/table7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F2711520-EB04-4A6E-AE2B-CAEB77BDC2F8}" name="Tabla11034534544554564793637476070798897110119129138230239248140235" displayName="Tabla11034534544554564793637476070798897110119129138230239248140235" ref="B30:H36" totalsRowCount="1" headerRowDxfId="8971" dataDxfId="8969" totalsRowDxfId="8967" headerRowBorderDxfId="8970" tableBorderDxfId="8968" totalsRowBorderDxfId="8966">
  <autoFilter ref="B30:H35" xr:uid="{D046284E-C2C1-4680-A383-F9B742CBF79C}"/>
  <sortState xmlns:xlrd2="http://schemas.microsoft.com/office/spreadsheetml/2017/richdata2" ref="B31:H33">
    <sortCondition descending="1" ref="H188:H204"/>
  </sortState>
  <tableColumns count="7">
    <tableColumn id="2" xr3:uid="{2A06FE9B-F8AF-4201-808A-ABF67EDB3338}" name="ArtÃ­culo" dataDxfId="8965" totalsRowDxfId="8964"/>
    <tableColumn id="3" xr3:uid="{6941EF5B-42FB-4E0E-B87C-AA23A4D87A8D}" name="Unidad Medida" dataDxfId="8963" totalsRowDxfId="8962"/>
    <tableColumn id="4" xr3:uid="{F3C4F711-72A1-434B-95B3-B2BCA8098BEC}" name="Unidades Netas" dataDxfId="8961" totalsRowDxfId="8960"/>
    <tableColumn id="1" xr3:uid="{98D5474B-24F7-4EBC-9C2E-66D97097531C}" name="% Merma" dataDxfId="8959" totalsRowDxfId="8958"/>
    <tableColumn id="7" xr3:uid="{B53003CB-6ECB-46E5-9EEF-C2A8395B9E79}" name="Unidades" dataDxfId="8957" totalsRowDxfId="8956"/>
    <tableColumn id="5" xr3:uid="{8030E57F-E142-4FDA-909E-0F8CBF2F0F92}" name="Coste Componente" dataDxfId="8955" totalsRowDxfId="8954" dataCellStyle="Moneda">
      <calculatedColumnFormula>+VLOOKUP(Tabla11034534544554564793637476070798897110119129138230239248140235[[#This Row],[ArtÃ­culo]],Tabla34[#All],3,0)</calculatedColumnFormula>
    </tableColumn>
    <tableColumn id="6" xr3:uid="{E103DFA0-B846-4B39-A4C3-F603D6E62060}" name="Coste LÃ­nea" totalsRowFunction="sum" dataDxfId="8953" totalsRowDxfId="8952" dataCellStyle="Moneda">
      <calculatedColumnFormula>+Tabla11034534544554564793637476070798897110119129138230239248140235[[#This Row],[Coste Componente]]*Tabla11034534544554564793637476070798897110119129138230239248140235[[#This Row],[Unidades]]</calculatedColumnFormula>
    </tableColumn>
  </tableColumns>
  <tableStyleInfo name="TableStyleLight8" showFirstColumn="0" showLastColumn="0" showRowStripes="1" showColumnStripes="0"/>
</table>
</file>

<file path=xl/tables/table7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49C98B-688F-4998-AF83-AEE0CA2C720F}" name="Tabla110345345445545647936374760707988971101191291382302392481402356" displayName="Tabla110345345445545647936374760707988971101191291382302392481402356" ref="B42:H49" totalsRowCount="1" headerRowDxfId="8951" dataDxfId="8949" totalsRowDxfId="8947" headerRowBorderDxfId="8950" tableBorderDxfId="8948" totalsRowBorderDxfId="8946">
  <autoFilter ref="B42:H48" xr:uid="{9D49C98B-688F-4998-AF83-AEE0CA2C720F}"/>
  <sortState xmlns:xlrd2="http://schemas.microsoft.com/office/spreadsheetml/2017/richdata2" ref="B43:H45">
    <sortCondition descending="1" ref="H188:H204"/>
  </sortState>
  <tableColumns count="7">
    <tableColumn id="2" xr3:uid="{40B7F020-732C-4C14-AE45-8B33575E0ABF}" name="ArtÃ­culo" dataDxfId="8945" totalsRowDxfId="8944"/>
    <tableColumn id="3" xr3:uid="{EEA63FDE-0559-4E47-B5BB-678B1058407F}" name="Unidad Medida" dataDxfId="8943" totalsRowDxfId="8942"/>
    <tableColumn id="4" xr3:uid="{17A044BF-3890-4492-84BA-E6FBEFBCC022}" name="Unidades Netas" dataDxfId="8941" totalsRowDxfId="8940"/>
    <tableColumn id="1" xr3:uid="{3AF0FEE7-6786-44FF-8115-D00081787409}" name="% Merma" dataDxfId="8939" totalsRowDxfId="8938"/>
    <tableColumn id="7" xr3:uid="{FD4E82F8-7AFA-4427-9E82-89F7C6B0E070}" name="Unidades" dataDxfId="8937" totalsRowDxfId="8936"/>
    <tableColumn id="5" xr3:uid="{FDB0B4C9-9FA8-4238-8AD3-2D6E14618E29}" name="Coste Componente" dataDxfId="8935" totalsRowDxfId="8934" dataCellStyle="Moneda">
      <calculatedColumnFormula>+VLOOKUP(Tabla110345345445545647936374760707988971101191291382302392481402356[[#This Row],[ArtÃ­culo]],Tabla34[#All],3,0)</calculatedColumnFormula>
    </tableColumn>
    <tableColumn id="6" xr3:uid="{700C803E-15A3-4A25-9C4A-6D75A8E5AE0D}" name="Coste LÃ­nea" totalsRowFunction="sum" dataDxfId="8933" totalsRowDxfId="8932" dataCellStyle="Moneda">
      <calculatedColumnFormula>+Tabla110345345445545647936374760707988971101191291382302392481402356[[#This Row],[Coste Componente]]*Tabla110345345445545647936374760707988971101191291382302392481402356[[#This Row],[Unidades]]</calculatedColumnFormula>
    </tableColumn>
  </tableColumns>
  <tableStyleInfo name="TableStyleLight8" showFirstColumn="0" showLastColumn="0" showRowStripes="1" showColumnStripes="0"/>
</table>
</file>

<file path=xl/tables/table7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7" xr:uid="{947C0040-4348-4929-9356-82EB03046182}" name="Tabla461487182791797829861883892905930935957958" displayName="Tabla461487182791797829861883892905930935957958" ref="M6:M7" insertRow="1" totalsRowShown="0" headerRowDxfId="2992" dataDxfId="2991" tableBorderDxfId="2990">
  <autoFilter ref="M6:M7" xr:uid="{947C0040-4348-4929-9356-82EB03046182}"/>
  <tableColumns count="1">
    <tableColumn id="1" xr3:uid="{8E2FE7EF-38BC-4F06-93E6-0FD6497DD276}" name="Preparacion" dataDxfId="2989"/>
  </tableColumns>
  <tableStyleInfo showFirstColumn="0" showLastColumn="0" showRowStripes="1" showColumnStripes="0"/>
</table>
</file>

<file path=xl/tables/table7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8" xr:uid="{13691FBC-EA43-4661-9C22-878AC8ED6875}" name="Tabla461487182791797829861883892905930935957959" displayName="Tabla461487182791797829861883892905930935957959" ref="M18:M19" insertRow="1" totalsRowShown="0" headerRowDxfId="2988" dataDxfId="2987" tableBorderDxfId="2986">
  <autoFilter ref="M18:M19" xr:uid="{13691FBC-EA43-4661-9C22-878AC8ED6875}"/>
  <tableColumns count="1">
    <tableColumn id="1" xr3:uid="{501BAA61-B773-489D-A3D3-007982EEA47B}" name="Preparacion" dataDxfId="2985"/>
  </tableColumns>
  <tableStyleInfo showFirstColumn="0" showLastColumn="0" showRowStripes="1" showColumnStripes="0"/>
</table>
</file>

<file path=xl/tables/table7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9" xr:uid="{F098A027-CCE8-4F69-8E02-730A9493E68F}" name="Tabla461487182791797829861883892905930935957960" displayName="Tabla461487182791797829861883892905930935957960" ref="M29:M30" insertRow="1" totalsRowShown="0" headerRowDxfId="2984" dataDxfId="2983" tableBorderDxfId="2982">
  <autoFilter ref="M29:M30" xr:uid="{F098A027-CCE8-4F69-8E02-730A9493E68F}"/>
  <tableColumns count="1">
    <tableColumn id="1" xr3:uid="{A84755C8-04DC-413B-BDB4-BC92022B0A5D}" name="Preparacion" dataDxfId="2981"/>
  </tableColumns>
  <tableStyleInfo showFirstColumn="0" showLastColumn="0" showRowStripes="1" showColumnStripes="0"/>
</table>
</file>

<file path=xl/tables/table7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0" xr:uid="{44D2F711-4150-451D-85A3-16F7FF72E839}" name="Tabla461487182791797829861883892905930935957961" displayName="Tabla461487182791797829861883892905930935957961" ref="M41:M42" insertRow="1" totalsRowShown="0" headerRowDxfId="2980" dataDxfId="2979" tableBorderDxfId="2978">
  <autoFilter ref="M41:M42" xr:uid="{44D2F711-4150-451D-85A3-16F7FF72E839}"/>
  <tableColumns count="1">
    <tableColumn id="1" xr3:uid="{0820531F-C2AB-46F5-BCC1-FD08E4CEDE4B}" name="Preparacion" dataDxfId="2977"/>
  </tableColumns>
  <tableStyleInfo showFirstColumn="0" showLastColumn="0" showRowStripes="1" showColumnStripes="0"/>
</table>
</file>

<file path=xl/tables/table7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27C570-DB70-44DF-B103-E735B4401483}" name="Tabla110345345445545647945586877869510811712713622823724627" displayName="Tabla110345345445545647945586877869510811712713622823724627" ref="B7:H19" totalsRowCount="1" headerRowDxfId="8931" dataDxfId="8929" totalsRowDxfId="8927" headerRowBorderDxfId="8930" tableBorderDxfId="8928" totalsRowBorderDxfId="8926">
  <autoFilter ref="B7:H18" xr:uid="{25E24D6A-940D-4437-B263-679AE371D044}"/>
  <sortState xmlns:xlrd2="http://schemas.microsoft.com/office/spreadsheetml/2017/richdata2" ref="B8:H13">
    <sortCondition descending="1" ref="H201:H217"/>
  </sortState>
  <tableColumns count="7">
    <tableColumn id="2" xr3:uid="{B789D492-459C-4603-8088-46F929F5BF89}" name="Ingrediente" dataDxfId="8925" totalsRowDxfId="8924"/>
    <tableColumn id="3" xr3:uid="{0F4299D8-1946-4FCC-81FE-9823434C2078}" name="Und" dataDxfId="8923" totalsRowDxfId="8922"/>
    <tableColumn id="4" xr3:uid="{CE83D7F9-6B4F-4BDE-91D8-C3CD758D2789}" name="Cant." dataDxfId="8921" totalsRowDxfId="8920"/>
    <tableColumn id="1" xr3:uid="{4360F87A-D00E-4702-A425-9293AFCEF8B1}" name="Columna1" dataDxfId="8919" totalsRowDxfId="8918"/>
    <tableColumn id="7" xr3:uid="{4F39C10E-4C63-42F1-8BC7-BEB86E90FED4}" name="Columna2" dataDxfId="8917" totalsRowDxfId="8916"/>
    <tableColumn id="5" xr3:uid="{B99221F4-991F-42AC-9A87-449468329B37}" name="Costo" dataDxfId="8915" totalsRowDxfId="8914" dataCellStyle="Moneda">
      <calculatedColumnFormula>+VLOOKUP(Tabla110345345445545647945586877869510811712713622823724627[[#This Row],[Ingrediente]],Tabla34[#All],3,0)</calculatedColumnFormula>
    </tableColumn>
    <tableColumn id="6" xr3:uid="{76CB0B33-0C77-4F07-9AFC-E77BB05709AD}" name="Total costo" totalsRowFunction="sum" dataDxfId="8913" totalsRowDxfId="8912" dataCellStyle="Moneda">
      <calculatedColumnFormula>+Tabla110345345445545647945586877869510811712713622823724627[[#This Row],[Costo]]*Tabla110345345445545647945586877869510811712713622823724627[[#This Row],[Columna2]]</calculatedColumnFormula>
    </tableColumn>
  </tableColumns>
  <tableStyleInfo name="TableStyleLight8" showFirstColumn="0" showLastColumn="0" showRowStripes="1" showColumnStripes="0"/>
</table>
</file>

<file path=xl/tables/table7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BCF44A8-E5AF-4D78-B3E5-C807C0D9D8DF}" name="Tabla11034534544554564793646596978879610911812813722923824731" displayName="Tabla11034534544554564793646596978879610911812813722923824731" ref="B22:H34" totalsRowCount="1" headerRowDxfId="8911" dataDxfId="8909" totalsRowDxfId="8907" headerRowBorderDxfId="8910" tableBorderDxfId="8908" totalsRowBorderDxfId="8906">
  <autoFilter ref="B22:H33" xr:uid="{465BE583-B429-4C2B-93EC-227E72041455}"/>
  <sortState xmlns:xlrd2="http://schemas.microsoft.com/office/spreadsheetml/2017/richdata2" ref="B23:H31">
    <sortCondition descending="1" ref="H202:H218"/>
  </sortState>
  <tableColumns count="7">
    <tableColumn id="2" xr3:uid="{7FFCE3D0-F5EB-4D92-8FF5-53C6ED7FB12A}" name="Ingrediente" dataDxfId="8905" totalsRowDxfId="8904"/>
    <tableColumn id="3" xr3:uid="{B116F1F2-4972-4F87-92B7-FFEFA1390281}" name="Und" dataDxfId="8903" totalsRowDxfId="8902"/>
    <tableColumn id="4" xr3:uid="{96CE21CB-FA6D-4856-BDA7-A81D4353CFBE}" name="Cant." dataDxfId="8901" totalsRowDxfId="8900"/>
    <tableColumn id="1" xr3:uid="{934F9F2B-4CB2-4D9D-8513-178B799B32EE}" name="Columna1" dataDxfId="8899" totalsRowDxfId="8898"/>
    <tableColumn id="7" xr3:uid="{1624330D-FAEE-467C-B010-7930620EC23E}" name="Columna2" dataDxfId="8897" totalsRowDxfId="8896"/>
    <tableColumn id="5" xr3:uid="{91D38D4E-0E76-4B6C-9E50-12266D407230}" name="Costo" dataDxfId="8895" totalsRowDxfId="8894" dataCellStyle="Moneda">
      <calculatedColumnFormula>+VLOOKUP(Tabla11034534544554564793646596978879610911812813722923824731[[#This Row],[Ingrediente]],Tabla34[#All],3,0)</calculatedColumnFormula>
    </tableColumn>
    <tableColumn id="6" xr3:uid="{D65E65E1-2752-48E1-958E-FC17F466BBAC}" name="Total costo" totalsRowFunction="sum" dataDxfId="8893" totalsRowDxfId="8892" dataCellStyle="Moneda">
      <calculatedColumnFormula>+Tabla11034534544554564793646596978879610911812813722923824731[[#This Row],[Costo]]*Tabla11034534544554564793646596978879610911812813722923824731[[#This Row],[Columna2]]</calculatedColumnFormula>
    </tableColumn>
  </tableColumns>
  <tableStyleInfo name="TableStyleLight8" showFirstColumn="0" showLastColumn="0" showRowStripes="1" showColumnStripes="0"/>
</table>
</file>

<file path=xl/tables/table7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4B3A4EF-15A5-4431-B71A-022A63F0D949}" name="Tabla11034534544554564793637476070798897110119129138230239248140" displayName="Tabla11034534544554564793637476070798897110119129138230239248140" ref="B37:H46" totalsRowCount="1" headerRowDxfId="8891" dataDxfId="8889" totalsRowDxfId="8887" headerRowBorderDxfId="8890" tableBorderDxfId="8888" totalsRowBorderDxfId="8886">
  <autoFilter ref="B37:H45" xr:uid="{D046284E-C2C1-4680-A383-F9B742CBF79C}"/>
  <sortState xmlns:xlrd2="http://schemas.microsoft.com/office/spreadsheetml/2017/richdata2" ref="B38:H43">
    <sortCondition descending="1" ref="H41"/>
  </sortState>
  <tableColumns count="7">
    <tableColumn id="2" xr3:uid="{83688822-AEB6-4F1A-9D04-7CDB35C4B8BD}" name="Ingrediente" dataDxfId="8885" totalsRowDxfId="8884"/>
    <tableColumn id="3" xr3:uid="{455741AA-DAB9-47F3-B59C-8EF8B2F5EEA5}" name="Und" dataDxfId="8883" totalsRowDxfId="8882"/>
    <tableColumn id="4" xr3:uid="{632410B5-EF07-4E8E-98E2-4B269DBC01C7}" name="Cant." dataDxfId="8881" totalsRowDxfId="8880"/>
    <tableColumn id="1" xr3:uid="{70197F77-0011-4E29-B4FF-E7F64704334C}" name="Columna1" dataDxfId="8879" totalsRowDxfId="8878"/>
    <tableColumn id="7" xr3:uid="{6AB589A2-468B-446C-B9A9-66A16BDE9131}" name="Columna2" dataDxfId="8877" totalsRowDxfId="8876"/>
    <tableColumn id="5" xr3:uid="{79DF8A77-ED64-4CD0-ABC2-9A4750A6655B}" name="Costo" dataDxfId="8875" totalsRowDxfId="8874" dataCellStyle="Moneda">
      <calculatedColumnFormula>+VLOOKUP(Tabla11034534544554564793637476070798897110119129138230239248140[[#This Row],[Ingrediente]],Tabla34[#All],3,0)</calculatedColumnFormula>
    </tableColumn>
    <tableColumn id="6" xr3:uid="{7A36976F-8697-44B7-922C-0223DC5C152C}" name="Total costo" totalsRowFunction="sum" dataDxfId="8873" totalsRowDxfId="8872" dataCellStyle="Moneda">
      <calculatedColumnFormula>+Tabla11034534544554564793637476070798897110119129138230239248140[[#This Row],[Costo]]*Tabla11034534544554564793637476070798897110119129138230239248140[[#This Row],[Columna2]]</calculatedColumnFormula>
    </tableColumn>
  </tableColumns>
  <tableStyleInfo name="TableStyleLight8" showFirstColumn="0" showLastColumn="0" showRowStripes="1" showColumnStripes="0"/>
</table>
</file>

<file path=xl/tables/table7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540CB28A-6A4A-4E1E-92BB-A35D85193770}" name="Tabla11034534544554564793638486171808998111120130139231240249141" displayName="Tabla11034534544554564793638486171808998111120130139231240249141" ref="B49:H58" totalsRowCount="1" headerRowDxfId="8871" dataDxfId="8869" totalsRowDxfId="8867" headerRowBorderDxfId="8870" tableBorderDxfId="8868" totalsRowBorderDxfId="8866">
  <autoFilter ref="B49:H57" xr:uid="{C36CCCC4-7A27-4243-8E76-2253568FF38F}"/>
  <sortState xmlns:xlrd2="http://schemas.microsoft.com/office/spreadsheetml/2017/richdata2" ref="B50:H56">
    <sortCondition descending="1" ref="H54"/>
  </sortState>
  <tableColumns count="7">
    <tableColumn id="2" xr3:uid="{5502FF3B-4093-4AA4-BFA9-5A0DA8A81047}" name="Ingrediente" dataDxfId="8865" totalsRowDxfId="8864"/>
    <tableColumn id="3" xr3:uid="{A14D1CF7-A550-44DD-9815-CC23703CDD87}" name="Und" dataDxfId="8863" totalsRowDxfId="8862"/>
    <tableColumn id="4" xr3:uid="{5176D3E1-7380-4FA9-AD2C-A5EB8FBE658B}" name="Cant." dataDxfId="8861" totalsRowDxfId="8860"/>
    <tableColumn id="1" xr3:uid="{60403D1D-CA3A-41AD-9AD1-BE1BEE8BD5DD}" name="Columna1" dataDxfId="8859" totalsRowDxfId="8858"/>
    <tableColumn id="7" xr3:uid="{6AA0BF03-DBD8-4DFD-9C2A-ED1079940B00}" name="Columna2" dataDxfId="8857" totalsRowDxfId="8856"/>
    <tableColumn id="5" xr3:uid="{0BDC8457-854F-4201-9B3C-DE7FED398F45}" name="Costo" dataDxfId="8855" totalsRowDxfId="8854" dataCellStyle="Moneda">
      <calculatedColumnFormula>+VLOOKUP(Tabla11034534544554564793638486171808998111120130139231240249141[[#This Row],[Ingrediente]],Tabla34[#All],3,0)</calculatedColumnFormula>
    </tableColumn>
    <tableColumn id="6" xr3:uid="{E84DB771-6C60-451D-9A51-53F27EA5B3CD}" name="Total costo" totalsRowFunction="sum" dataDxfId="8853" totalsRowDxfId="8852" dataCellStyle="Moneda">
      <calculatedColumnFormula>+Tabla11034534544554564793638486171808998111120130139231240249141[[#This Row],[Costo]]*Tabla11034534544554564793638486171808998111120130139231240249141[[#This Row],[Columna2]]</calculatedColumnFormula>
    </tableColumn>
  </tableColumns>
  <tableStyleInfo name="TableStyleLight8" showFirstColumn="0" showLastColumn="0" showRowStripes="1" showColumnStripes="0"/>
</table>
</file>

<file path=xl/tables/table7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FBF73852-5586-4574-AC49-1C0E4F476DDA}" name="Tabla11034534544554564793639496272819099112121131140232241250142" displayName="Tabla11034534544554564793639496272819099112121131140232241250142" ref="B62:H71" totalsRowCount="1" headerRowDxfId="8851" dataDxfId="8849" totalsRowDxfId="8847" headerRowBorderDxfId="8850" tableBorderDxfId="8848" totalsRowBorderDxfId="8846">
  <autoFilter ref="B62:H70" xr:uid="{E62057E2-89CF-41E7-BB60-37ADC6497F01}"/>
  <sortState xmlns:xlrd2="http://schemas.microsoft.com/office/spreadsheetml/2017/richdata2" ref="B63:H70">
    <sortCondition descending="1" ref="H64:H70"/>
  </sortState>
  <tableColumns count="7">
    <tableColumn id="2" xr3:uid="{1A76B986-BC7F-41FC-9FF4-5F1722992766}" name="Ingrediente" dataDxfId="8845" totalsRowDxfId="8844"/>
    <tableColumn id="3" xr3:uid="{595810D8-48F3-4C3F-9B49-F34F9C5392C1}" name="Und" dataDxfId="8843" totalsRowDxfId="8842"/>
    <tableColumn id="4" xr3:uid="{933A8E39-F7DF-4A90-9850-E7CD865DEAD3}" name="Cant." dataDxfId="8841" totalsRowDxfId="8840"/>
    <tableColumn id="1" xr3:uid="{51160E1F-EEEE-43D2-A848-0285276D8081}" name="Columna1" dataDxfId="8839" totalsRowDxfId="8838"/>
    <tableColumn id="7" xr3:uid="{22F45F83-FDD6-48BC-B8CD-286AFFD0F7C5}" name="Columna2" dataDxfId="8837" totalsRowDxfId="8836"/>
    <tableColumn id="5" xr3:uid="{039B0C88-E125-4ABC-A672-3FA64F1B6C22}" name="Costo" dataDxfId="8835" totalsRowDxfId="8834" dataCellStyle="Moneda">
      <calculatedColumnFormula>+VLOOKUP(Tabla11034534544554564793639496272819099112121131140232241250142[[#This Row],[Ingrediente]],Tabla34[#All],3,0)</calculatedColumnFormula>
    </tableColumn>
    <tableColumn id="6" xr3:uid="{CA4AD088-143F-43E6-97D8-14864451AF8A}" name="Total costo" totalsRowFunction="sum" dataDxfId="8833" totalsRowDxfId="8832" dataCellStyle="Moneda">
      <calculatedColumnFormula>+Tabla11034534544554564793639496272819099112121131140232241250142[[#This Row],[Costo]]*Tabla11034534544554564793639496272819099112121131140232241250142[[#This Row],[Columna2]]</calculatedColumnFormula>
    </tableColumn>
  </tableColumns>
  <tableStyleInfo name="TableStyleLight8" showFirstColumn="0" showLastColumn="0" showRowStripes="1" showColumnStripes="0"/>
</table>
</file>

<file path=xl/tables/table7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7" xr:uid="{3BD43E6D-3B23-40EF-98AF-0DE11ECF558B}" name="Tabla11034534544554564793646596978879610911812813722923824731378" displayName="Tabla11034534544554564793646596978879610911812813722923824731378" ref="B75:H87" totalsRowCount="1" headerRowDxfId="8831" dataDxfId="8829" totalsRowDxfId="8827" headerRowBorderDxfId="8830" tableBorderDxfId="8828" totalsRowBorderDxfId="8826">
  <autoFilter ref="B75:H86" xr:uid="{037BEEC3-8F09-47EA-97F4-C2CD4D1C8311}"/>
  <sortState xmlns:xlrd2="http://schemas.microsoft.com/office/spreadsheetml/2017/richdata2" ref="B76:H82">
    <sortCondition descending="1" ref="H169:H185"/>
  </sortState>
  <tableColumns count="7">
    <tableColumn id="2" xr3:uid="{16CFB212-7093-4D9E-8312-7A5BFDE2ABED}" name="Ingrediente" dataDxfId="8825" totalsRowDxfId="8824"/>
    <tableColumn id="3" xr3:uid="{D350EE7E-CA6F-4840-B581-6B6F597F7303}" name="Und" dataDxfId="8823" totalsRowDxfId="8822"/>
    <tableColumn id="4" xr3:uid="{3B0510A3-E233-4605-B739-0C006D8201FF}" name="Cant." dataDxfId="8821" totalsRowDxfId="8820"/>
    <tableColumn id="1" xr3:uid="{896160BD-7157-44AC-B300-91281CE6F60C}" name="Columna1" dataDxfId="8819" totalsRowDxfId="8818"/>
    <tableColumn id="7" xr3:uid="{858A5E80-96F2-417F-8472-2C830487B702}" name="Columna2" dataDxfId="8817" totalsRowDxfId="8816"/>
    <tableColumn id="5" xr3:uid="{E6FF6990-934F-4E67-920F-E86F7311A6E6}" name="Costo" dataDxfId="8815" totalsRowDxfId="8814" dataCellStyle="Moneda">
      <calculatedColumnFormula>+VLOOKUP(Tabla11034534544554564793646596978879610911812813722923824731378[[#This Row],[Ingrediente]],Tabla34[#All],3,0)</calculatedColumnFormula>
    </tableColumn>
    <tableColumn id="6" xr3:uid="{324C68A0-2216-4BFA-A013-7665BE7807BC}" name="Total costo" totalsRowFunction="sum" dataDxfId="8813" totalsRowDxfId="8812" dataCellStyle="Moneda">
      <calculatedColumnFormula>+Tabla11034534544554564793646596978879610911812813722923824731378[[#This Row],[Costo]]*Tabla11034534544554564793646596978879610911812813722923824731378[[#This Row],[Columna2]]</calculatedColumnFormula>
    </tableColumn>
  </tableColumns>
  <tableStyleInfo name="TableStyleLight8" showFirstColumn="0" showLastColumn="0" showRowStripes="1" showColumnStripes="0"/>
</table>
</file>

<file path=xl/tables/table7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8" xr:uid="{C89B8BD0-CC20-4722-996A-5E85F4B25917}" name="Tabla110345345445545647936405063738291100113122132141233242251143379" displayName="Tabla110345345445545647936405063738291100113122132141233242251143379" ref="B90:H99" totalsRowCount="1" headerRowDxfId="8811" dataDxfId="8809" totalsRowDxfId="8807" headerRowBorderDxfId="8810" tableBorderDxfId="8808" totalsRowBorderDxfId="8806">
  <autoFilter ref="B90:H98" xr:uid="{2591E99B-AE18-4F59-BC7F-08AE7AB0E696}"/>
  <sortState xmlns:xlrd2="http://schemas.microsoft.com/office/spreadsheetml/2017/richdata2" ref="B91:H98">
    <sortCondition descending="1" ref="H169:H185"/>
  </sortState>
  <tableColumns count="7">
    <tableColumn id="2" xr3:uid="{0A534E9C-FC70-4C31-AF83-F3D4722978F5}" name="Ingrediente" dataDxfId="8805" totalsRowDxfId="8804"/>
    <tableColumn id="3" xr3:uid="{0B4E2926-EAFC-43D9-8A2C-2CD484A10FC8}" name="Und" dataDxfId="8803" totalsRowDxfId="8802"/>
    <tableColumn id="4" xr3:uid="{651E8E2E-3B3A-43EA-A9EE-5BB3B595568B}" name="Cant." dataDxfId="8801" totalsRowDxfId="8800"/>
    <tableColumn id="1" xr3:uid="{C6D1E301-CC17-4CBD-886B-9915D2C18C27}" name="Columna1" dataDxfId="8799" totalsRowDxfId="8798"/>
    <tableColumn id="7" xr3:uid="{F57FF951-511A-4311-9558-4A1CE9AFCB20}" name="Columna2" dataDxfId="8797" totalsRowDxfId="8796"/>
    <tableColumn id="5" xr3:uid="{5698ADA9-ADE7-4AE8-82DC-768F6D083CB0}" name="Costo" dataDxfId="8795" totalsRowDxfId="8794" dataCellStyle="Moneda">
      <calculatedColumnFormula>+VLOOKUP(Tabla110345345445545647936405063738291100113122132141233242251143379[[#This Row],[Ingrediente]],Tabla34[#All],3,0)</calculatedColumnFormula>
    </tableColumn>
    <tableColumn id="6" xr3:uid="{C0655626-D0D6-45BF-8CAF-73EE654FECEE}" name="Total costo" totalsRowFunction="sum" dataDxfId="8793" totalsRowDxfId="8792" dataCellStyle="Moneda">
      <calculatedColumnFormula>+Tabla110345345445545647936405063738291100113122132141233242251143379[[#This Row],[Costo]]*Tabla110345345445545647936405063738291100113122132141233242251143379[[#This Row],[Columna2]]</calculatedColumnFormula>
    </tableColumn>
  </tableColumns>
  <tableStyleInfo name="TableStyleLight8" showFirstColumn="0" showLastColumn="0" showRowStripes="1" showColumnStripes="0"/>
</table>
</file>

<file path=xl/tables/table7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7A0CBC-1111-4BCC-820C-8DBD2ED4A0E7}" name="Tabla1103453454455456479455868778695108117127136228237246273" displayName="Tabla1103453454455456479455868778695108117127136228237246273" ref="B103:H113" totalsRowCount="1" headerRowDxfId="8791" dataDxfId="8789" totalsRowDxfId="8787" headerRowBorderDxfId="8790" tableBorderDxfId="8788" totalsRowBorderDxfId="8786">
  <autoFilter ref="B103:H112" xr:uid="{417A0CBC-1111-4BCC-820C-8DBD2ED4A0E7}"/>
  <sortState xmlns:xlrd2="http://schemas.microsoft.com/office/spreadsheetml/2017/richdata2" ref="B104:H108">
    <sortCondition descending="1" ref="H179:H195"/>
  </sortState>
  <tableColumns count="7">
    <tableColumn id="2" xr3:uid="{44DA2C20-31D9-491F-8A6A-E1F4505B3945}" name="Ingrediente" dataDxfId="8785" totalsRowDxfId="8784"/>
    <tableColumn id="3" xr3:uid="{A14B451A-6570-41E7-AF75-8A6D2C25AC6F}" name="Und" dataDxfId="8783" totalsRowDxfId="8782"/>
    <tableColumn id="4" xr3:uid="{5340FEED-E210-4ACD-AFE8-46FC13BE42DF}" name="Cant." dataDxfId="8781" totalsRowDxfId="8780"/>
    <tableColumn id="1" xr3:uid="{A22E670E-2D7D-447C-94AF-6218E6B9E144}" name="Columna1" dataDxfId="8779" totalsRowDxfId="8778"/>
    <tableColumn id="7" xr3:uid="{0C1D023C-4E8E-4CBE-A949-0AB52D5997C4}" name="Columna2" dataDxfId="8777" totalsRowDxfId="8776"/>
    <tableColumn id="5" xr3:uid="{D9A5A86F-C966-4F18-9C79-DE5CED3366D3}" name="Costo" dataDxfId="8775" totalsRowDxfId="8774" dataCellStyle="Moneda">
      <calculatedColumnFormula>+VLOOKUP(Tabla1103453454455456479455868778695108117127136228237246273[[#This Row],[Ingrediente]],Tabla34[#All],3,0)</calculatedColumnFormula>
    </tableColumn>
    <tableColumn id="6" xr3:uid="{E782FB79-8B85-42B3-BBB3-9FC2DCDF0370}" name="Total costo" totalsRowFunction="sum" dataDxfId="8773" totalsRowDxfId="8772" dataCellStyle="Moneda">
      <calculatedColumnFormula>+Tabla1103453454455456479455868778695108117127136228237246273[[#This Row],[Costo]]*Tabla1103453454455456479455868778695108117127136228237246273[[#This Row],[Columna2]]</calculatedColumnFormula>
    </tableColumn>
  </tableColumns>
  <tableStyleInfo name="TableStyleLight8" showFirstColumn="0" showLastColumn="0" showRowStripes="1" showColumnStripes="0"/>
</table>
</file>

<file path=xl/tables/table7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4AE7D5-6304-455C-A08F-CB93096A478F}" name="Tabla11034534544554564794558687786951081171271362282372462738" displayName="Tabla11034534544554564794558687786951081171271362282372462738" ref="B117:H126" totalsRowCount="1" headerRowDxfId="8771" dataDxfId="8769" totalsRowDxfId="8767" headerRowBorderDxfId="8770" tableBorderDxfId="8768" totalsRowBorderDxfId="8766">
  <autoFilter ref="B117:H125" xr:uid="{514AE7D5-6304-455C-A08F-CB93096A478F}"/>
  <sortState xmlns:xlrd2="http://schemas.microsoft.com/office/spreadsheetml/2017/richdata2" ref="B118:H122">
    <sortCondition descending="1" ref="H178:H194"/>
  </sortState>
  <tableColumns count="7">
    <tableColumn id="2" xr3:uid="{E8A08049-C7D7-42BE-8F15-1441A61A92C7}" name="Ingrediente" dataDxfId="8765" totalsRowDxfId="8764"/>
    <tableColumn id="3" xr3:uid="{378460A4-6988-4233-931E-B15D577B7B2F}" name="Und" dataDxfId="8763" totalsRowDxfId="8762"/>
    <tableColumn id="4" xr3:uid="{C45D3737-E04F-47D9-807D-B55F8D2B42BD}" name="Cant." dataDxfId="8761" totalsRowDxfId="8760"/>
    <tableColumn id="1" xr3:uid="{33F1954A-2286-4D19-BE9E-36DA7EC533E3}" name="Columna1" dataDxfId="8759" totalsRowDxfId="8758"/>
    <tableColumn id="7" xr3:uid="{65957652-8E3B-4A77-AAC5-01D1BD919065}" name="Columna2" dataDxfId="8757" totalsRowDxfId="8756"/>
    <tableColumn id="5" xr3:uid="{9E8BDD78-4E0C-4532-8000-C1120BDB4392}" name="Costo" dataDxfId="8755" totalsRowDxfId="8754" dataCellStyle="Moneda">
      <calculatedColumnFormula>+VLOOKUP(Tabla11034534544554564794558687786951081171271362282372462738[[#This Row],[Ingrediente]],Tabla34[#All],3,0)</calculatedColumnFormula>
    </tableColumn>
    <tableColumn id="6" xr3:uid="{E741B682-2B2A-4A25-85DD-81B3392566B8}" name="Total costo" totalsRowFunction="sum" dataDxfId="8753" totalsRowDxfId="8752" dataCellStyle="Moneda">
      <calculatedColumnFormula>+Tabla11034534544554564794558687786951081171271362282372462738[[#This Row],[Costo]]*Tabla11034534544554564794558687786951081171271362282372462738[[#This Row],[Columna2]]</calculatedColumnFormula>
    </tableColumn>
  </tableColumns>
  <tableStyleInfo name="TableStyleLight8" showFirstColumn="0" showLastColumn="0" showRowStripes="1" showColumnStripes="0"/>
</table>
</file>

<file path=xl/tables/table7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3EDC014-2282-4A43-B67B-57FAAB563B79}" name="Tabla110345345445545647945586877869510811712713622823724627389" displayName="Tabla110345345445545647945586877869510811712713622823724627389" ref="B130:H139" totalsRowCount="1" headerRowDxfId="8751" dataDxfId="8749" totalsRowDxfId="8747" headerRowBorderDxfId="8750" tableBorderDxfId="8748" totalsRowBorderDxfId="8746">
  <autoFilter ref="B130:H138" xr:uid="{E3EDC014-2282-4A43-B67B-57FAAB563B79}"/>
  <sortState xmlns:xlrd2="http://schemas.microsoft.com/office/spreadsheetml/2017/richdata2" ref="B131:H135">
    <sortCondition descending="1" ref="H178:H194"/>
  </sortState>
  <tableColumns count="7">
    <tableColumn id="2" xr3:uid="{35C7AD2C-9EAB-4DE1-A557-EE00C7D5B0EF}" name="Ingrediente" dataDxfId="8745" totalsRowDxfId="8744"/>
    <tableColumn id="3" xr3:uid="{E142D52B-F2C3-4DC9-B8AB-CAE09B064B6A}" name="Und" dataDxfId="8743" totalsRowDxfId="8742"/>
    <tableColumn id="4" xr3:uid="{5CC40D07-E423-499F-8C3C-06CBDEC2539C}" name="Cant." dataDxfId="8741" totalsRowDxfId="8740"/>
    <tableColumn id="1" xr3:uid="{8F47DA6B-E8B4-4A0A-AFFE-F0C0B0F8B794}" name="Columna1" dataDxfId="8739" totalsRowDxfId="8738"/>
    <tableColumn id="7" xr3:uid="{7D8E6D0D-1F41-410C-B2AB-842821C2001F}" name="Columna2" dataDxfId="8737" totalsRowDxfId="8736"/>
    <tableColumn id="5" xr3:uid="{67F2BFC3-F75A-4ACB-BAD5-83DB95843C8B}" name="Costo" dataDxfId="8735" totalsRowDxfId="8734" dataCellStyle="Moneda">
      <calculatedColumnFormula>+VLOOKUP(Tabla110345345445545647945586877869510811712713622823724627389[[#This Row],[Ingrediente]],Tabla34[#All],3,0)</calculatedColumnFormula>
    </tableColumn>
    <tableColumn id="6" xr3:uid="{D61EC810-80FB-427C-A083-67E26076A392}" name="Total costo" totalsRowFunction="sum" dataDxfId="8733" totalsRowDxfId="8732" dataCellStyle="Moneda">
      <calculatedColumnFormula>+Tabla110345345445545647945586877869510811712713622823724627389[[#This Row],[Costo]]*Tabla110345345445545647945586877869510811712713622823724627389[[#This Row],[Columna2]]</calculatedColumnFormula>
    </tableColumn>
  </tableColumns>
  <tableStyleInfo name="TableStyleLight8" showFirstColumn="0" showLastColumn="0" showRowStripes="1" showColumnStripes="0"/>
</table>
</file>

<file path=xl/tables/table7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296017-5E34-4550-AD91-EFB2A3A175AB}" name="Tabla11034534544554564794558687786951081171271362282372462738910" displayName="Tabla11034534544554564794558687786951081171271362282372462738910" ref="B143:H151" totalsRowCount="1" headerRowDxfId="8731" dataDxfId="8729" totalsRowDxfId="8727" headerRowBorderDxfId="8730" tableBorderDxfId="8728" totalsRowBorderDxfId="8726">
  <autoFilter ref="B143:H150" xr:uid="{E0296017-5E34-4550-AD91-EFB2A3A175AB}"/>
  <sortState xmlns:xlrd2="http://schemas.microsoft.com/office/spreadsheetml/2017/richdata2" ref="B144:H148">
    <sortCondition descending="1" ref="H177:H193"/>
  </sortState>
  <tableColumns count="7">
    <tableColumn id="2" xr3:uid="{31AB29E4-408B-47A2-A5FF-B863A2020C05}" name="Ingrediente" dataDxfId="8725" totalsRowDxfId="8724"/>
    <tableColumn id="3" xr3:uid="{056F2672-E936-4AB3-A3DC-A872808C1869}" name="Und" dataDxfId="8723" totalsRowDxfId="8722"/>
    <tableColumn id="4" xr3:uid="{996FD3A2-F7C9-4D6B-94DD-5E3B11E02979}" name="Cant." dataDxfId="8721" totalsRowDxfId="8720"/>
    <tableColumn id="1" xr3:uid="{980B0C97-04B8-49DC-8BF8-973056106A3F}" name="Columna1" dataDxfId="8719" totalsRowDxfId="8718"/>
    <tableColumn id="7" xr3:uid="{6AA20E6B-3D19-4B8B-882F-8A2AE423CE05}" name="Columna2" dataDxfId="8717" totalsRowDxfId="8716"/>
    <tableColumn id="5" xr3:uid="{81617148-3CEB-453C-A6BD-902CCC403D4B}" name="Costo" dataDxfId="8715" totalsRowDxfId="8714" dataCellStyle="Moneda">
      <calculatedColumnFormula>+VLOOKUP(Tabla11034534544554564794558687786951081171271362282372462738910[[#This Row],[Ingrediente]],Tabla34[#All],3,0)</calculatedColumnFormula>
    </tableColumn>
    <tableColumn id="6" xr3:uid="{1F574EBF-4DAE-4F7B-B015-5F78A05B5859}" name="Total costo" totalsRowFunction="sum" dataDxfId="8713" totalsRowDxfId="8712" dataCellStyle="Moneda" totalsRowCellStyle="Moneda">
      <calculatedColumnFormula>+Tabla11034534544554564794558687786951081171271362282372462738910[[#This Row],[Costo]]*Tabla11034534544554564794558687786951081171271362282372462738910[[#This Row],[Columna2]]</calculatedColumnFormula>
    </tableColumn>
  </tableColumns>
  <tableStyleInfo name="TableStyleLight8" showFirstColumn="0" showLastColumn="0" showRowStripes="1" showColumnStripes="0"/>
</table>
</file>

<file path=xl/tables/table7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1" xr:uid="{FB88FD33-2B0F-493D-9142-18B9D499C81C}" name="Tabla461487182791797829861883892905930935957962" displayName="Tabla461487182791797829861883892905930935957962" ref="M6:M7" insertRow="1" totalsRowShown="0" headerRowDxfId="2976" dataDxfId="2975" tableBorderDxfId="2974">
  <autoFilter ref="M6:M7" xr:uid="{FB88FD33-2B0F-493D-9142-18B9D499C81C}"/>
  <tableColumns count="1">
    <tableColumn id="1" xr3:uid="{A787BBF3-B470-4136-9C36-A3CFECD10BA4}" name="Preparacion" dataDxfId="2973"/>
  </tableColumns>
  <tableStyleInfo showFirstColumn="0" showLastColumn="0" showRowStripes="1" showColumnStripes="0"/>
</table>
</file>

<file path=xl/tables/table7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2" xr:uid="{66473678-F2F4-4174-8952-27F7C8659AF8}" name="Tabla461487182791797829861883892905930935957963" displayName="Tabla461487182791797829861883892905930935957963" ref="M21:M22" insertRow="1" totalsRowShown="0" headerRowDxfId="2972" dataDxfId="2971" tableBorderDxfId="2970">
  <autoFilter ref="M21:M22" xr:uid="{66473678-F2F4-4174-8952-27F7C8659AF8}"/>
  <tableColumns count="1">
    <tableColumn id="1" xr3:uid="{B600E838-1660-4193-B944-24459EB93E02}" name="Preparacion" dataDxfId="2969"/>
  </tableColumns>
  <tableStyleInfo showFirstColumn="0" showLastColumn="0" showRowStripes="1" showColumnStripes="0"/>
</table>
</file>

<file path=xl/tables/table7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3" xr:uid="{B9963B15-139F-47D8-95C5-4C24F8B751FF}" name="Tabla461487182791797829861883892905930935957964" displayName="Tabla461487182791797829861883892905930935957964" ref="M36:M37" insertRow="1" totalsRowShown="0" headerRowDxfId="2968" dataDxfId="2967" tableBorderDxfId="2966">
  <autoFilter ref="M36:M37" xr:uid="{B9963B15-139F-47D8-95C5-4C24F8B751FF}"/>
  <tableColumns count="1">
    <tableColumn id="1" xr3:uid="{A53241F9-524E-4A0E-9451-6DC5A17F1359}" name="Preparacion" dataDxfId="2965"/>
  </tableColumns>
  <tableStyleInfo showFirstColumn="0" showLastColumn="0" showRowStripes="1" showColumnStripes="0"/>
</table>
</file>

<file path=xl/tables/table7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4" xr:uid="{555AC78D-46AC-4994-9508-55493AD6B60F}" name="Tabla461487182791797829861883892905930935957965" displayName="Tabla461487182791797829861883892905930935957965" ref="M48:M49" insertRow="1" totalsRowShown="0" headerRowDxfId="2964" dataDxfId="2963" tableBorderDxfId="2962">
  <autoFilter ref="M48:M49" xr:uid="{555AC78D-46AC-4994-9508-55493AD6B60F}"/>
  <tableColumns count="1">
    <tableColumn id="1" xr3:uid="{A3274D2D-1091-4289-A075-5C70EAA3FD57}" name="Preparacion" dataDxfId="2961"/>
  </tableColumns>
  <tableStyleInfo showFirstColumn="0" showLastColumn="0" showRowStripes="1" showColumnStripes="0"/>
</table>
</file>

<file path=xl/tables/table7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5" xr:uid="{1D2D50E4-7847-4196-B88A-76E98202520D}" name="Tabla461487182791797829861883892905930935957966" displayName="Tabla461487182791797829861883892905930935957966" ref="M61:M62" insertRow="1" totalsRowShown="0" headerRowDxfId="2960" dataDxfId="2959" tableBorderDxfId="2958">
  <autoFilter ref="M61:M62" xr:uid="{1D2D50E4-7847-4196-B88A-76E98202520D}"/>
  <tableColumns count="1">
    <tableColumn id="1" xr3:uid="{1CA88DC2-1858-4315-A7CC-671D4B138AD7}" name="Preparacion" dataDxfId="2957"/>
  </tableColumns>
  <tableStyleInfo showFirstColumn="0" showLastColumn="0" showRowStripes="1" showColumnStripes="0"/>
</table>
</file>

<file path=xl/tables/table7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6" xr:uid="{D145AB39-E479-4266-A871-352646A7DC97}" name="Tabla461487182791797829861883892905930935957967" displayName="Tabla461487182791797829861883892905930935957967" ref="M73:M74" insertRow="1" totalsRowShown="0" headerRowDxfId="2956" dataDxfId="2955" tableBorderDxfId="2954">
  <autoFilter ref="M73:M74" xr:uid="{D145AB39-E479-4266-A871-352646A7DC97}"/>
  <tableColumns count="1">
    <tableColumn id="1" xr3:uid="{4AC654DC-1908-4C1C-ADE2-07B08F1A9A27}" name="Preparacion" dataDxfId="2953"/>
  </tableColumns>
  <tableStyleInfo showFirstColumn="0" showLastColumn="0" showRowStripes="1" showColumnStripes="0"/>
</table>
</file>

<file path=xl/tables/table7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7" xr:uid="{1E43E7D3-07E6-4106-94E1-DAB82F7C3DBA}" name="Tabla461487182791797829861883892905930935957968" displayName="Tabla461487182791797829861883892905930935957968" ref="M89:M90" insertRow="1" totalsRowShown="0" headerRowDxfId="2952" dataDxfId="2951" tableBorderDxfId="2950">
  <autoFilter ref="M89:M90" xr:uid="{1E43E7D3-07E6-4106-94E1-DAB82F7C3DBA}"/>
  <tableColumns count="1">
    <tableColumn id="1" xr3:uid="{494DB6FA-432F-4920-A82F-870A2EAD7D3E}" name="Preparacion" dataDxfId="2949"/>
  </tableColumns>
  <tableStyleInfo showFirstColumn="0" showLastColumn="0" showRowStripes="1" showColumnStripes="0"/>
</table>
</file>

<file path=xl/tables/table7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8" xr:uid="{A0B4E40B-5775-4F48-832C-A72776958FDD}" name="Tabla461487182791797829861883892905930935957969" displayName="Tabla461487182791797829861883892905930935957969" ref="M102:M103" insertRow="1" totalsRowShown="0" headerRowDxfId="2948" dataDxfId="2947" tableBorderDxfId="2946">
  <autoFilter ref="M102:M103" xr:uid="{A0B4E40B-5775-4F48-832C-A72776958FDD}"/>
  <tableColumns count="1">
    <tableColumn id="1" xr3:uid="{05C152A4-C37B-4444-AE51-BD580477C490}" name="Preparacion" dataDxfId="2945"/>
  </tableColumns>
  <tableStyleInfo showFirstColumn="0" showLastColumn="0" showRowStripes="1" showColumnStripes="0"/>
</table>
</file>

<file path=xl/tables/table7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9" xr:uid="{B4B9E9AB-1220-4A03-A8A9-B6EA0E621A93}" name="Tabla461487182791797829861883892905930935957970" displayName="Tabla461487182791797829861883892905930935957970" ref="M116:M117" insertRow="1" totalsRowShown="0" headerRowDxfId="2944" dataDxfId="2943" tableBorderDxfId="2942">
  <autoFilter ref="M116:M117" xr:uid="{B4B9E9AB-1220-4A03-A8A9-B6EA0E621A93}"/>
  <tableColumns count="1">
    <tableColumn id="1" xr3:uid="{5AEF4032-C43F-4A72-AE0C-1FC34B29D01E}" name="Preparacion" dataDxfId="2941"/>
  </tableColumns>
  <tableStyleInfo showFirstColumn="0" showLastColumn="0" showRowStripes="1" showColumnStripes="0"/>
</table>
</file>

<file path=xl/tables/table7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0" xr:uid="{B52AAADF-E6FE-4765-B9B8-AE4BA9AA6A5C}" name="Tabla461487182791797829861883892905930935957971" displayName="Tabla461487182791797829861883892905930935957971" ref="M129:M130" insertRow="1" totalsRowShown="0" headerRowDxfId="2940" dataDxfId="2939" tableBorderDxfId="2938">
  <autoFilter ref="M129:M130" xr:uid="{B52AAADF-E6FE-4765-B9B8-AE4BA9AA6A5C}"/>
  <tableColumns count="1">
    <tableColumn id="1" xr3:uid="{0326648B-2AE1-4D81-AA9A-989F5EF974F0}" name="Preparacion" dataDxfId="2937"/>
  </tableColumns>
  <tableStyleInfo showFirstColumn="0" showLastColumn="0" showRowStripes="1" showColumnStripes="0"/>
</table>
</file>

<file path=xl/tables/table7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1" xr:uid="{FDE8645C-915E-442D-93FD-A01B391A9839}" name="Tabla461487182791797829861883892905930935957972" displayName="Tabla461487182791797829861883892905930935957972" ref="M142:M143" insertRow="1" totalsRowShown="0" headerRowDxfId="2936" dataDxfId="2935" tableBorderDxfId="2934">
  <autoFilter ref="M142:M143" xr:uid="{FDE8645C-915E-442D-93FD-A01B391A9839}"/>
  <tableColumns count="1">
    <tableColumn id="1" xr3:uid="{B9DA03B6-7012-48A3-8069-5308B9FC6C2F}" name="Preparacion" dataDxfId="2933"/>
  </tableColumns>
  <tableStyleInfo showFirstColumn="0" showLastColumn="0" showRowStripes="1" showColumnStripes="0"/>
</table>
</file>

<file path=xl/tables/table7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2889FA70-4D3F-4A8A-AF6B-73792410F685}" name="Tabla11034534544554564793639496272819099112121131140232241" displayName="Tabla11034534544554564793639496272819099112121131140232241" ref="B18:H25" totalsRowCount="1" headerRowDxfId="8711" dataDxfId="8709" totalsRowDxfId="8707" headerRowBorderDxfId="8710" tableBorderDxfId="8708" totalsRowBorderDxfId="8706">
  <autoFilter ref="B18:H24" xr:uid="{E62057E2-89CF-41E7-BB60-37ADC6497F01}"/>
  <sortState xmlns:xlrd2="http://schemas.microsoft.com/office/spreadsheetml/2017/richdata2" ref="B19:H23">
    <sortCondition descending="1" ref="H21:H23"/>
  </sortState>
  <tableColumns count="7">
    <tableColumn id="2" xr3:uid="{F163102A-86BF-4438-9476-A1FE60F35224}" name="ArtÃ­culo" dataDxfId="8705" totalsRowDxfId="8704"/>
    <tableColumn id="3" xr3:uid="{768DEC23-9D44-42A1-8DE0-1DBE9C083403}" name="Unidad Medida" dataDxfId="8703" totalsRowDxfId="8702"/>
    <tableColumn id="4" xr3:uid="{5FFEBD0E-3E6D-4DAA-ADE3-4343DDAD14C9}" name="Unidades Netas" dataDxfId="8701" totalsRowDxfId="8700"/>
    <tableColumn id="1" xr3:uid="{B22F0F9F-A532-4AD7-8AB6-8A6F0C6FA2D9}" name="% Merma" dataDxfId="8699" totalsRowDxfId="8698"/>
    <tableColumn id="7" xr3:uid="{571F0A25-7992-47CD-8E56-345D8CA9D1DB}" name="Unidades" dataDxfId="8697" totalsRowDxfId="8696"/>
    <tableColumn id="5" xr3:uid="{9A19F5E0-814F-4814-845D-721B6E1C7539}" name="Coste Componente" dataDxfId="8695" totalsRowDxfId="8694" dataCellStyle="Moneda">
      <calculatedColumnFormula>+VLOOKUP(Tabla11034534544554564793639496272819099112121131140232241[[#This Row],[ArtÃ­culo]],Tabla34[#All],3,0)</calculatedColumnFormula>
    </tableColumn>
    <tableColumn id="6" xr3:uid="{96489128-BD23-4850-B344-7BA5515AD7AA}" name="Coste LÃ­nea" totalsRowFunction="sum" dataDxfId="8693" totalsRowDxfId="8692" dataCellStyle="Moneda">
      <calculatedColumnFormula>+Tabla11034534544554564793639496272819099112121131140232241[[#This Row],[Coste Componente]]*Tabla11034534544554564793639496272819099112121131140232241[[#This Row],[Unidades]]</calculatedColumnFormula>
    </tableColumn>
  </tableColumns>
  <tableStyleInfo name="TableStyleLight8" showFirstColumn="0" showLastColumn="0" showRowStripes="1" showColumnStripes="0"/>
</table>
</file>

<file path=xl/tables/table7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E046E5D7-B59E-4710-BB56-A3DE7E4DE6A8}" name="Tabla110345345445545647936405063738291100113122132141233242" displayName="Tabla110345345445545647936405063738291100113122132141233242" ref="B29:H37" totalsRowCount="1" headerRowDxfId="8691" dataDxfId="8689" totalsRowDxfId="8687" headerRowBorderDxfId="8690" tableBorderDxfId="8688" totalsRowBorderDxfId="8686">
  <autoFilter ref="B29:H36" xr:uid="{629975DE-B647-4B8B-92CB-C56339E05411}"/>
  <sortState xmlns:xlrd2="http://schemas.microsoft.com/office/spreadsheetml/2017/richdata2" ref="B30:H36">
    <sortCondition descending="1" ref="H31:H36"/>
  </sortState>
  <tableColumns count="7">
    <tableColumn id="2" xr3:uid="{5FBB3AAE-424C-4E85-A391-04C288951902}" name="Ingrediente" dataDxfId="8685" totalsRowDxfId="8684"/>
    <tableColumn id="3" xr3:uid="{6C2ACEE2-C1F7-4E18-8BA1-1880551DEBB8}" name="Und" dataDxfId="8683" totalsRowDxfId="8682"/>
    <tableColumn id="4" xr3:uid="{BA9D00CE-6871-4400-8EE3-B23EC4E9A741}" name="Cant." dataDxfId="8681" totalsRowDxfId="8680"/>
    <tableColumn id="1" xr3:uid="{224D0960-CF74-433A-98DF-F6EEC5FDFEB0}" name="Columna1" dataDxfId="8679" totalsRowDxfId="8678"/>
    <tableColumn id="7" xr3:uid="{3BCB49DE-D562-4874-A173-6C5A497AFB88}" name="Columna2" dataDxfId="8677" totalsRowDxfId="8676"/>
    <tableColumn id="5" xr3:uid="{D9B8647E-6CD3-41BE-9662-CED783665E4A}" name="Costo" dataDxfId="8675" totalsRowDxfId="8674" dataCellStyle="Moneda">
      <calculatedColumnFormula>+VLOOKUP(Tabla110345345445545647936405063738291100113122132141233242[[#This Row],[Ingrediente]],Tabla34[#All],3,0)</calculatedColumnFormula>
    </tableColumn>
    <tableColumn id="6" xr3:uid="{81F272FD-0C1D-4853-BA67-48E2CC2CE86E}" name="Total costo" totalsRowFunction="sum" dataDxfId="8673" totalsRowDxfId="8672" dataCellStyle="Moneda">
      <calculatedColumnFormula>+Tabla110345345445545647936405063738291100113122132141233242[[#This Row],[Costo]]*Tabla110345345445545647936405063738291100113122132141233242[[#This Row],[Columna2]]</calculatedColumnFormula>
    </tableColumn>
  </tableColumns>
  <tableStyleInfo name="TableStyleLight8" showFirstColumn="0" showLastColumn="0" showRowStripes="1" showColumnStripes="0"/>
</table>
</file>

<file path=xl/tables/table7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A0F0C77E-4E9B-4038-A722-B430FBD82AFA}" name="Tabla110345345445545647936435265758493102115124134143235244" displayName="Tabla110345345445545647936435265758493102115124134143235244" ref="B41:H49" totalsRowCount="1" headerRowDxfId="8671" dataDxfId="8669" totalsRowDxfId="8667" headerRowBorderDxfId="8670" tableBorderDxfId="8668" totalsRowBorderDxfId="8666">
  <autoFilter ref="B41:H48" xr:uid="{4C489715-9E0B-4E4C-B6B2-8303FD83957C}"/>
  <sortState xmlns:xlrd2="http://schemas.microsoft.com/office/spreadsheetml/2017/richdata2" ref="B42:H48">
    <sortCondition descending="1" ref="H45:H48"/>
  </sortState>
  <tableColumns count="7">
    <tableColumn id="2" xr3:uid="{94BC79CF-B282-4758-A9DF-F4BDF5D514D5}" name="Ingrediente" dataDxfId="8665" totalsRowDxfId="8664"/>
    <tableColumn id="3" xr3:uid="{F206B383-1B9B-41BC-8487-A4FA7856B33E}" name="Und" dataDxfId="8663" totalsRowDxfId="8662"/>
    <tableColumn id="4" xr3:uid="{305B45AC-1172-4B75-842C-B410BAE8954B}" name="Cant." dataDxfId="8661" totalsRowDxfId="8660"/>
    <tableColumn id="1" xr3:uid="{DF4DEDC1-D403-48ED-B19A-173D3A545FA5}" name="Columna1" dataDxfId="8659" totalsRowDxfId="8658"/>
    <tableColumn id="7" xr3:uid="{CB6398C1-70A3-452D-8396-2CD85A5BC1BD}" name="Columna2" dataDxfId="8657" totalsRowDxfId="8656"/>
    <tableColumn id="5" xr3:uid="{576AC195-60F6-4D18-B534-04AAB17CC205}" name="Costo" dataDxfId="8655" totalsRowDxfId="8654" dataCellStyle="Moneda">
      <calculatedColumnFormula>+VLOOKUP(Tabla110345345445545647936435265758493102115124134143235244[[#This Row],[Ingrediente]],Tabla34[#All],3,0)</calculatedColumnFormula>
    </tableColumn>
    <tableColumn id="6" xr3:uid="{A2933993-055F-489F-AD1F-6C6B22D12A62}" name="Total costo" totalsRowFunction="sum" dataDxfId="8653" totalsRowDxfId="8652" dataCellStyle="Moneda">
      <calculatedColumnFormula>+Tabla110345345445545647936435265758493102115124134143235244[[#This Row],[Costo]]*Tabla110345345445545647936435265758493102115124134143235244[[#This Row],[Columna2]]</calculatedColumnFormula>
    </tableColumn>
  </tableColumns>
  <tableStyleInfo name="TableStyleLight8" showFirstColumn="0" showLastColumn="0" showRowStripes="1" showColumnStripes="0"/>
</table>
</file>

<file path=xl/tables/table7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AB8389BC-F7B8-4178-BBB3-E65310B94EA5}" name="Tabla110345345445545647936445366768594103116125135144236245" displayName="Tabla110345345445545647936445366768594103116125135144236245" ref="B65:H74" totalsRowCount="1" headerRowDxfId="8651" dataDxfId="8649" totalsRowDxfId="8647" headerRowBorderDxfId="8650" tableBorderDxfId="8648" totalsRowBorderDxfId="8646">
  <autoFilter ref="B65:H73" xr:uid="{1D50976C-78CC-40CF-B831-03996D1ED8D7}"/>
  <sortState xmlns:xlrd2="http://schemas.microsoft.com/office/spreadsheetml/2017/richdata2" ref="B66:H72">
    <sortCondition ref="B67:B72"/>
  </sortState>
  <tableColumns count="7">
    <tableColumn id="2" xr3:uid="{0E79759D-BFB2-45B4-A13D-3256FADA59BD}" name="Ingrediente" dataDxfId="8645" totalsRowDxfId="8644"/>
    <tableColumn id="3" xr3:uid="{965F5073-66B7-48C1-8B16-14264CEC2F9D}" name="Und" dataDxfId="8643" totalsRowDxfId="8642"/>
    <tableColumn id="4" xr3:uid="{8F47A8CB-6060-490A-BF0D-C2153A6B071B}" name="Cant." dataDxfId="8641" totalsRowDxfId="8640"/>
    <tableColumn id="1" xr3:uid="{3D233C53-A687-47A5-9669-2B567353B6AF}" name="Columna1" dataDxfId="8639" totalsRowDxfId="8638"/>
    <tableColumn id="7" xr3:uid="{B9C1336C-4D7B-4C07-999D-75DB47EFD640}" name="Columna2" dataDxfId="8637" totalsRowDxfId="8636"/>
    <tableColumn id="5" xr3:uid="{3910DE67-C487-4606-A85A-D00228DA4BBE}" name="Costo" dataDxfId="8635" totalsRowDxfId="8634" dataCellStyle="Moneda">
      <calculatedColumnFormula>+VLOOKUP(Tabla110345345445545647936445366768594103116125135144236245[[#This Row],[Ingrediente]],Tabla34[#All],3,0)</calculatedColumnFormula>
    </tableColumn>
    <tableColumn id="6" xr3:uid="{6011B29A-6A53-435E-97CE-75128BB6629C}" name="Total costo" totalsRowFunction="sum" dataDxfId="8633" totalsRowDxfId="8632" dataCellStyle="Moneda">
      <calculatedColumnFormula>+Tabla110345345445545647936445366768594103116125135144236245[[#This Row],[Costo]]*Tabla110345345445545647936445366768594103116125135144236245[[#This Row],[Columna2]]</calculatedColumnFormula>
    </tableColumn>
  </tableColumns>
  <tableStyleInfo name="TableStyleLight8" showFirstColumn="0" showLastColumn="0" showRowStripes="1" showColumnStripes="0"/>
</table>
</file>

<file path=xl/tables/table7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9" xr:uid="{18F47C65-0576-4FA3-8E4C-2348ECCB9DAF}" name="Tabla110345345445545647936435265758493102115124134143235244360" displayName="Tabla110345345445545647936435265758493102115124134143235244360" ref="B53:H61" totalsRowCount="1" headerRowDxfId="8631" dataDxfId="8629" totalsRowDxfId="8627" headerRowBorderDxfId="8630" tableBorderDxfId="8628" totalsRowBorderDxfId="8626">
  <autoFilter ref="B53:H60" xr:uid="{18F47C65-0576-4FA3-8E4C-2348ECCB9DAF}"/>
  <sortState xmlns:xlrd2="http://schemas.microsoft.com/office/spreadsheetml/2017/richdata2" ref="B54:H60">
    <sortCondition descending="1" ref="H58:H60"/>
  </sortState>
  <tableColumns count="7">
    <tableColumn id="2" xr3:uid="{5D2D0CF4-CBD4-47D6-BA36-8720DEFDD2DF}" name="ArtÃ­culo" dataDxfId="8625" totalsRowDxfId="8624"/>
    <tableColumn id="3" xr3:uid="{41D28D73-40FF-41FE-A520-766A6456CE2E}" name="Unidad Medida" dataDxfId="8623" totalsRowDxfId="8622"/>
    <tableColumn id="4" xr3:uid="{18E5349D-B36F-4F2C-A6C0-AEF55F839F23}" name="Unidades Netas" dataDxfId="8621" totalsRowDxfId="8620"/>
    <tableColumn id="1" xr3:uid="{2F558B7D-3CC7-4399-A1C1-064EE3F41A25}" name="% Merma" dataDxfId="8619" totalsRowDxfId="8618"/>
    <tableColumn id="7" xr3:uid="{96105D26-D7AF-455B-A79F-EE51FB8E8EF3}" name="Unidades" dataDxfId="8617" totalsRowDxfId="8616"/>
    <tableColumn id="5" xr3:uid="{4A4F7587-3888-4BFF-A9A2-7CB2A0EA7036}" name="Coste Componente" dataDxfId="8615" totalsRowDxfId="8614" dataCellStyle="Moneda">
      <calculatedColumnFormula>+VLOOKUP(Tabla110345345445545647936435265758493102115124134143235244360[[#This Row],[ArtÃ­culo]],Tabla34[#All],3,0)</calculatedColumnFormula>
    </tableColumn>
    <tableColumn id="6" xr3:uid="{D0889D86-45A0-4CF4-8EB8-B0A86C77F89F}" name="Coste LÃ­nea" totalsRowFunction="sum" dataDxfId="8613" totalsRowDxfId="8612" dataCellStyle="Moneda">
      <calculatedColumnFormula>+Tabla110345345445545647936435265758493102115124134143235244360[[#This Row],[Coste Componente]]*Tabla110345345445545647936435265758493102115124134143235244360[[#This Row],[Unidades]]</calculatedColumnFormula>
    </tableColumn>
  </tableColumns>
  <tableStyleInfo name="TableStyleLight8" showFirstColumn="0" showLastColumn="0" showRowStripes="1" showColumnStripes="0"/>
</table>
</file>

<file path=xl/tables/table7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42AC016B-8368-4EDD-AA62-0B2C651DE634}" name="Tabla1103453454455456479455868778695108117127136228237352382406240" displayName="Tabla1103453454455456479455868778695108117127136228237352382406240" ref="B77:H83" totalsRowCount="1" headerRowDxfId="8611" dataDxfId="8609" totalsRowDxfId="8607" headerRowBorderDxfId="8610" tableBorderDxfId="8608" totalsRowBorderDxfId="8606">
  <autoFilter ref="B77:H82" xr:uid="{9502B59D-AC76-4B21-8B92-B4B64DC8A246}"/>
  <sortState xmlns:xlrd2="http://schemas.microsoft.com/office/spreadsheetml/2017/richdata2" ref="B78:H82">
    <sortCondition descending="1" ref="H79:H82"/>
  </sortState>
  <tableColumns count="7">
    <tableColumn id="2" xr3:uid="{4C2F2B77-9D62-44AC-9A83-943D277BEE46}" name="Ingrediente" dataDxfId="8605" totalsRowDxfId="8604"/>
    <tableColumn id="3" xr3:uid="{0528A03D-1282-4DAD-B1A4-C4AD3B2CE9D1}" name="Und" dataDxfId="8603" totalsRowDxfId="8602"/>
    <tableColumn id="4" xr3:uid="{6116B52A-DD31-4D8D-B797-F7EAA60F3B64}" name="Cant." dataDxfId="8601" totalsRowDxfId="8600"/>
    <tableColumn id="1" xr3:uid="{0459BA26-06C5-4A18-98FF-B8D0101D7BE6}" name="Columna1" dataDxfId="8599" totalsRowDxfId="8598"/>
    <tableColumn id="7" xr3:uid="{4706849E-0845-431D-9D09-6C786F068F33}" name="Columna2" dataDxfId="8597" totalsRowDxfId="8596"/>
    <tableColumn id="5" xr3:uid="{1B20D99A-0C5D-4AD1-9BA7-E27C70164E82}" name="Costo" dataDxfId="8595" totalsRowDxfId="8594" dataCellStyle="Moneda">
      <calculatedColumnFormula>+VLOOKUP(Tabla1103453454455456479455868778695108117127136228237352382406240[[#This Row],[Ingrediente]],Tabla34[#All],3,0)</calculatedColumnFormula>
    </tableColumn>
    <tableColumn id="6" xr3:uid="{06475A98-0B94-4EDD-B9A0-D059A509E773}" name="Total costo" totalsRowFunction="sum" dataDxfId="8593" totalsRowDxfId="8592" dataCellStyle="Moneda">
      <calculatedColumnFormula>+Tabla1103453454455456479455868778695108117127136228237352382406240[[#This Row],[Costo]]*Tabla1103453454455456479455868778695108117127136228237352382406240[[#This Row],[Columna2]]</calculatedColumnFormula>
    </tableColumn>
  </tableColumns>
  <tableStyleInfo name="TableStyleLight8" showFirstColumn="0" showLastColumn="0" showRowStripes="1" showColumnStripes="0"/>
</table>
</file>

<file path=xl/tables/table7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2" xr:uid="{0F658D87-7A41-4DBF-A2FD-F32989610B6D}" name="Tabla1103453454455456479455868778695108117127136228237352382406240353" displayName="Tabla1103453454455456479455868778695108117127136228237352382406240353" ref="B89:H96" totalsRowCount="1" headerRowDxfId="8591" dataDxfId="8589" totalsRowDxfId="8587" headerRowBorderDxfId="8590" tableBorderDxfId="8588" totalsRowBorderDxfId="8586">
  <autoFilter ref="B89:H95" xr:uid="{4E9EEEE4-527C-49E6-8DF4-4F7476E6C69A}"/>
  <sortState xmlns:xlrd2="http://schemas.microsoft.com/office/spreadsheetml/2017/richdata2" ref="B90:H95">
    <sortCondition descending="1" ref="H92:H95"/>
  </sortState>
  <tableColumns count="7">
    <tableColumn id="2" xr3:uid="{FCB24B30-0CFD-4051-942D-BADEF66279F9}" name="Ingrediente" dataDxfId="8585" totalsRowDxfId="8584"/>
    <tableColumn id="3" xr3:uid="{5D71B45A-A2F6-4F30-9BEB-8C475B2BB535}" name="Und" dataDxfId="8583" totalsRowDxfId="8582"/>
    <tableColumn id="4" xr3:uid="{09277A44-E2EA-4DF3-A374-93D1B67FC52A}" name="Cant." dataDxfId="8581" totalsRowDxfId="8580"/>
    <tableColumn id="1" xr3:uid="{B57A1756-5E59-405D-AEDF-C5006AB4BDA4}" name="Columna1" dataDxfId="8579" totalsRowDxfId="8578"/>
    <tableColumn id="7" xr3:uid="{A008D0C7-8710-442E-91D3-02352D47E795}" name="Columna2" dataDxfId="8577" totalsRowDxfId="8576"/>
    <tableColumn id="5" xr3:uid="{46F8D24D-C1B8-4D1D-9A9D-816D3F34F66B}" name="Costo" dataDxfId="8575" totalsRowDxfId="8574" dataCellStyle="Moneda">
      <calculatedColumnFormula>+VLOOKUP(Tabla1103453454455456479455868778695108117127136228237352382406240353[[#This Row],[Ingrediente]],Tabla34[#All],3,0)</calculatedColumnFormula>
    </tableColumn>
    <tableColumn id="6" xr3:uid="{84CAD382-D894-4C7A-AF55-E42CB6FCAF31}" name="Total costo" totalsRowFunction="sum" dataDxfId="8573" totalsRowDxfId="8572" dataCellStyle="Moneda">
      <calculatedColumnFormula>+Tabla1103453454455456479455868778695108117127136228237352382406240353[[#This Row],[Costo]]*Tabla1103453454455456479455868778695108117127136228237352382406240353[[#This Row],[Cant.]]</calculatedColumnFormula>
    </tableColumn>
  </tableColumns>
  <tableStyleInfo name="TableStyleLight8" showFirstColumn="0" showLastColumn="0" showRowStripes="1" showColumnStripes="0"/>
</table>
</file>

<file path=xl/tables/table7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8" xr:uid="{8EF44D7F-2205-4599-A18B-1ED3CFD2F161}" name="Tabla1103453454455456479455868778695108117127136228237352382406240359" displayName="Tabla1103453454455456479455868778695108117127136228237352382406240359" ref="B101:H107" totalsRowCount="1" headerRowDxfId="8571" dataDxfId="8569" totalsRowDxfId="8567" headerRowBorderDxfId="8570" tableBorderDxfId="8568" totalsRowBorderDxfId="8566">
  <autoFilter ref="B101:H106" xr:uid="{81BF00E3-F12C-4857-8E7F-BAD3210B7FF3}"/>
  <sortState xmlns:xlrd2="http://schemas.microsoft.com/office/spreadsheetml/2017/richdata2" ref="B102:H106">
    <sortCondition descending="1" ref="H103:H106"/>
  </sortState>
  <tableColumns count="7">
    <tableColumn id="2" xr3:uid="{B7693206-C2C8-4B72-99C5-F14C24D6BAC4}" name="ArtÃ­culo" dataDxfId="8565" totalsRowDxfId="8564"/>
    <tableColumn id="3" xr3:uid="{C19F873A-9580-4358-A659-D30A3263DBAF}" name="Unidad Medida" dataDxfId="8563" totalsRowDxfId="8562"/>
    <tableColumn id="4" xr3:uid="{3AF59B9D-1A29-41DC-8A4F-CE995AD55DB2}" name="Unidades Netas" dataDxfId="8561" totalsRowDxfId="8560"/>
    <tableColumn id="1" xr3:uid="{D83025A4-7DFD-48AC-AA10-5DB8784D12F0}" name="% Merma" dataDxfId="8559" totalsRowDxfId="8558"/>
    <tableColumn id="7" xr3:uid="{5C643FAE-E944-4DFC-BE4C-90B98C4B8C07}" name="Unidades" dataDxfId="8557" totalsRowDxfId="8556"/>
    <tableColumn id="5" xr3:uid="{854C16F9-5C7D-46B1-BFC4-F6C25B7543D2}" name="Coste Componente" dataDxfId="8555" totalsRowDxfId="8554" dataCellStyle="Moneda">
      <calculatedColumnFormula>+VLOOKUP(Tabla1103453454455456479455868778695108117127136228237352382406240359[[#This Row],[ArtÃ­culo]],Tabla34[#All],3,0)</calculatedColumnFormula>
    </tableColumn>
    <tableColumn id="6" xr3:uid="{63740B72-5A05-45FC-A4BD-0C0C15917067}" name="Coste LÃ­nea" totalsRowFunction="sum" dataDxfId="8553" totalsRowDxfId="8552" dataCellStyle="Moneda">
      <calculatedColumnFormula>+Tabla1103453454455456479455868778695108117127136228237352382406240359[[#This Row],[Coste Componente]]*Tabla1103453454455456479455868778695108117127136228237352382406240359[[#This Row],[Unidades Netas]]</calculatedColumnFormula>
    </tableColumn>
  </tableColumns>
  <tableStyleInfo name="TableStyleLight8" showFirstColumn="0" showLastColumn="0" showRowStripes="1" showColumnStripes="0"/>
</table>
</file>

<file path=xl/tables/table7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5" xr:uid="{AD67ECBA-B346-4C6E-A21D-513B49B60004}" name="Tabla1103453454455456479455868778695108117127136228237352382406240359436476" displayName="Tabla1103453454455456479455868778695108117127136228237352382406240359436476" ref="B112:H118" totalsRowCount="1" headerRowDxfId="8551" dataDxfId="8549" totalsRowDxfId="8547" headerRowBorderDxfId="8550" tableBorderDxfId="8548" totalsRowBorderDxfId="8546">
  <autoFilter ref="B112:H117" xr:uid="{2392C436-A9CD-427B-85E9-D844F9CA2FA7}"/>
  <sortState xmlns:xlrd2="http://schemas.microsoft.com/office/spreadsheetml/2017/richdata2" ref="B113:H117">
    <sortCondition descending="1" ref="H114:H117"/>
  </sortState>
  <tableColumns count="7">
    <tableColumn id="2" xr3:uid="{B2981C6A-A35A-4D63-8C30-D93070842CD9}" name="Ingrediente" dataDxfId="8545" totalsRowDxfId="8544"/>
    <tableColumn id="3" xr3:uid="{46542DCD-785A-4F96-AC32-8F44B568F79A}" name="Und" dataDxfId="8543" totalsRowDxfId="8542"/>
    <tableColumn id="4" xr3:uid="{1AED9042-128F-41D4-9B44-42E4798ED3B0}" name="Cant." dataDxfId="8541" totalsRowDxfId="8540"/>
    <tableColumn id="1" xr3:uid="{FCAEAC83-6833-4174-AF68-6B770FBA63AD}" name="Columna1" dataDxfId="8539" totalsRowDxfId="8538"/>
    <tableColumn id="7" xr3:uid="{0DF0C955-4E4D-40A0-98EA-A1AE642219AB}" name="Columna2" dataDxfId="8537" totalsRowDxfId="8536"/>
    <tableColumn id="5" xr3:uid="{6634CCED-C16B-4044-9A68-AD386F4C96FB}" name="Costo" dataDxfId="8535" totalsRowDxfId="8534" dataCellStyle="Moneda">
      <calculatedColumnFormula>+VLOOKUP(Tabla1103453454455456479455868778695108117127136228237352382406240359436476[[#This Row],[Ingrediente]],Tabla34[#All],3,0)</calculatedColumnFormula>
    </tableColumn>
    <tableColumn id="6" xr3:uid="{2D696C07-4CBA-46EF-B9A5-1CC38DA2E1D9}" name="Total costo" totalsRowFunction="sum" dataDxfId="8533" totalsRowDxfId="8532" dataCellStyle="Moneda">
      <calculatedColumnFormula>+Tabla1103453454455456479455868778695108117127136228237352382406240359436476[[#This Row],[Costo]]*Tabla1103453454455456479455868778695108117127136228237352382406240359436476[[#This Row],[Columna2]]</calculatedColumnFormula>
    </tableColumn>
  </tableColumns>
  <tableStyleInfo name="TableStyleLight8" showFirstColumn="0" showLastColumn="0" showRowStripes="1" showColumnStripes="0"/>
</table>
</file>

<file path=xl/tables/table7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1A7FDE91-7DFA-4C50-8CEA-E0132A3C3C76}" name="Tabla1103453454455456479455868778695108117127136228237352382406240359436476247" displayName="Tabla1103453454455456479455868778695108117127136228237352382406240359436476247" ref="B124:H130" totalsRowCount="1" headerRowDxfId="8531" dataDxfId="8529" totalsRowDxfId="8527" headerRowBorderDxfId="8530" tableBorderDxfId="8528" totalsRowBorderDxfId="8526">
  <autoFilter ref="B124:H129" xr:uid="{1A7FDE91-7DFA-4C50-8CEA-E0132A3C3C76}"/>
  <sortState xmlns:xlrd2="http://schemas.microsoft.com/office/spreadsheetml/2017/richdata2" ref="B125:H128">
    <sortCondition ref="B114:B117"/>
  </sortState>
  <tableColumns count="7">
    <tableColumn id="2" xr3:uid="{AC904D23-E071-4C50-A0C9-C7D93F5B7FDE}" name="ArtÃ­culo" dataDxfId="8525" totalsRowDxfId="8524"/>
    <tableColumn id="3" xr3:uid="{A3DEAC40-2D04-45BC-AF6E-EF487BE0A9D2}" name="Unidad Medida" dataDxfId="8523" totalsRowDxfId="8522"/>
    <tableColumn id="4" xr3:uid="{EE10861D-F79C-4929-BA1F-3919736C544F}" name="Unidades Netas" dataDxfId="8521" totalsRowDxfId="8520"/>
    <tableColumn id="7" xr3:uid="{782F89B2-3ED8-44C6-A7DE-39A1D2A8DBC6}" name="% Merma" dataDxfId="8519" totalsRowDxfId="8518"/>
    <tableColumn id="1" xr3:uid="{94A85432-C03B-41B9-BC2D-5BB7B0E2107F}" name="Unidades" dataDxfId="8517" totalsRowDxfId="8516"/>
    <tableColumn id="5" xr3:uid="{B1E839E9-BC3F-49FC-B966-C019AFA776F6}" name="Coste Componente" dataDxfId="8515" totalsRowDxfId="8514" dataCellStyle="Moneda">
      <calculatedColumnFormula>+VLOOKUP(Tabla1103453454455456479455868778695108117127136228237352382406240359436476247[[#This Row],[ArtÃ­culo]],Tabla34[#All],3,0)</calculatedColumnFormula>
    </tableColumn>
    <tableColumn id="6" xr3:uid="{25A7BBDF-FB76-4286-9291-1F6CAB142A41}" name="Coste LÃ­nea" totalsRowFunction="sum" dataDxfId="8513" totalsRowDxfId="8512" dataCellStyle="Moneda">
      <calculatedColumnFormula>+Tabla1103453454455456479455868778695108117127136228237352382406240359436476247[[#This Row],[Coste Componente]]*Tabla1103453454455456479455868778695108117127136228237352382406240359436476247[[#This Row],[Unidades Netas]]</calculatedColumnFormula>
    </tableColumn>
  </tableColumns>
  <tableStyleInfo name="TableStyleLight8" showFirstColumn="0" showLastColumn="0" showRowStripes="1" showColumnStripes="0"/>
</table>
</file>

<file path=xl/tables/table7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9" xr:uid="{D79688CA-6487-4889-A057-619B7645D1F0}" name="Tabla110345345445545647936465969788796109118128137229238460250" displayName="Tabla110345345445545647936465969788796109118128137229238460250" ref="B8:H15" totalsRowCount="1" headerRowDxfId="8511" dataDxfId="8509" totalsRowDxfId="8507" headerRowBorderDxfId="8510" tableBorderDxfId="8508" totalsRowBorderDxfId="8506">
  <autoFilter ref="B8:H14" xr:uid="{D79688CA-6487-4889-A057-619B7645D1F0}"/>
  <sortState xmlns:xlrd2="http://schemas.microsoft.com/office/spreadsheetml/2017/richdata2" ref="B9:H14">
    <sortCondition ref="B9:B14"/>
  </sortState>
  <tableColumns count="7">
    <tableColumn id="2" xr3:uid="{1289974F-0BC0-4242-A238-8BABCAD4DABA}" name="Ingrediente" dataDxfId="8505" totalsRowDxfId="8504"/>
    <tableColumn id="3" xr3:uid="{DAD564C4-6C5E-48D5-ABB7-98E467CDA313}" name="Und" dataDxfId="8503" totalsRowDxfId="8502"/>
    <tableColumn id="4" xr3:uid="{3D0E66D8-CFA9-4CA8-9375-C3D2AC00754E}" name="Cant." dataDxfId="8501" totalsRowDxfId="8500"/>
    <tableColumn id="1" xr3:uid="{44072E1D-6BA9-4FA0-A14D-B970B9F6052B}" name="Columna1" dataDxfId="8499" totalsRowDxfId="8498"/>
    <tableColumn id="7" xr3:uid="{A4C83E3A-BF5D-4BA7-B979-75151F3A5BFD}" name="Columna2" dataDxfId="8497" totalsRowDxfId="8496"/>
    <tableColumn id="5" xr3:uid="{DFCD6C51-C657-40DA-8EFD-6974ED802462}" name="Costo" dataDxfId="8495" totalsRowDxfId="8494" dataCellStyle="Moneda">
      <calculatedColumnFormula>+VLOOKUP(Tabla110345345445545647936465969788796109118128137229238460250[[#This Row],[Ingrediente]],Tabla34[#All],3,0)</calculatedColumnFormula>
    </tableColumn>
    <tableColumn id="6" xr3:uid="{E3AE9826-CE53-4DCD-B5A8-AB901B0827FC}" name="Total costo" totalsRowFunction="sum" dataDxfId="8493" totalsRowDxfId="8492" dataCellStyle="Moneda">
      <calculatedColumnFormula>+Tabla110345345445545647936465969788796109118128137229238460250[[#This Row],[Costo]]*Tabla110345345445545647936465969788796109118128137229238460250[[#This Row],[Columna2]]</calculatedColumnFormula>
    </tableColumn>
  </tableColumns>
  <tableStyleInfo name="TableStyleLight8" showFirstColumn="0" showLastColumn="0" showRowStripes="1" showColumnStripes="0"/>
</table>
</file>

<file path=xl/tables/table7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6BACF65E-A0BA-4383-B859-9EACCEE35D7F}" name="Tabla1103453454455456479455868778695108117127136228237352382406240359436476247238" displayName="Tabla1103453454455456479455868778695108117127136228237352382406240359436476247238" ref="B137:H143" totalsRowCount="1" headerRowDxfId="8491" dataDxfId="8489" totalsRowDxfId="8487" headerRowBorderDxfId="8490" tableBorderDxfId="8488" totalsRowBorderDxfId="8486">
  <autoFilter ref="B137:H142" xr:uid="{6BACF65E-A0BA-4383-B859-9EACCEE35D7F}"/>
  <sortState xmlns:xlrd2="http://schemas.microsoft.com/office/spreadsheetml/2017/richdata2" ref="B138:H141">
    <sortCondition ref="B114:B117"/>
  </sortState>
  <tableColumns count="7">
    <tableColumn id="2" xr3:uid="{72ACBF56-C3AB-4436-85F5-6D34C11CA283}" name="ArtÃ­culo" dataDxfId="8485" totalsRowDxfId="8484"/>
    <tableColumn id="3" xr3:uid="{021AE0C0-F44E-44AF-9150-F31D1EFF6EA5}" name="Unidad Medida" dataDxfId="8483" totalsRowDxfId="8482"/>
    <tableColumn id="4" xr3:uid="{753BF34D-B9AF-450F-9EBE-E4EE72009D31}" name="Unidades Netas" dataDxfId="8481" totalsRowDxfId="8480"/>
    <tableColumn id="7" xr3:uid="{5EFCABBF-1231-49F1-A9C8-145058A9A6F2}" name="% Merma" dataDxfId="8479" totalsRowDxfId="8478"/>
    <tableColumn id="1" xr3:uid="{1072CA88-94BF-42F7-AB25-F24E13144E60}" name="Unidades" dataDxfId="8477" totalsRowDxfId="8476"/>
    <tableColumn id="5" xr3:uid="{0966EC0C-9397-44CA-B76B-638BA6F31B8C}" name="Coste Componente" dataDxfId="8475" totalsRowDxfId="8474" dataCellStyle="Moneda">
      <calculatedColumnFormula>+VLOOKUP(Tabla1103453454455456479455868778695108117127136228237352382406240359436476247238[[#This Row],[ArtÃ­culo]],Tabla34[#All],3,0)</calculatedColumnFormula>
    </tableColumn>
    <tableColumn id="6" xr3:uid="{28539F4F-64F1-4F42-8177-BEB92E478D24}" name="Coste LÃ­nea" totalsRowFunction="sum" dataDxfId="8473" totalsRowDxfId="8472" dataCellStyle="Moneda">
      <calculatedColumnFormula>+Tabla1103453454455456479455868778695108117127136228237352382406240359436476247238[[#This Row],[Coste Componente]]*Tabla1103453454455456479455868778695108117127136228237352382406240359436476247238[[#This Row],[Unidades Netas]]</calculatedColumnFormula>
    </tableColumn>
  </tableColumns>
  <tableStyleInfo name="TableStyleLight8" showFirstColumn="0" showLastColumn="0" showRowStripes="1" showColumnStripes="0"/>
</table>
</file>

<file path=xl/tables/table7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28D4DE2F-CA2F-4B6D-BA7C-10AE0E32234A}" name="Tabla1103453454455456479455868778695108117127136228237352382406240359436476247238239" displayName="Tabla1103453454455456479455868778695108117127136228237352382406240359436476247238239" ref="B152:H156" totalsRowCount="1" headerRowDxfId="8471" dataDxfId="8469" totalsRowDxfId="8467" headerRowBorderDxfId="8470" tableBorderDxfId="8468" totalsRowBorderDxfId="8466">
  <autoFilter ref="B152:H155" xr:uid="{28D4DE2F-CA2F-4B6D-BA7C-10AE0E32234A}"/>
  <sortState xmlns:xlrd2="http://schemas.microsoft.com/office/spreadsheetml/2017/richdata2" ref="B153:H155">
    <sortCondition ref="B114:B117"/>
  </sortState>
  <tableColumns count="7">
    <tableColumn id="2" xr3:uid="{84D52EA2-8BFA-400C-BD25-921A384E078E}" name="ArtÃ­culo" dataDxfId="8465" totalsRowDxfId="8464"/>
    <tableColumn id="3" xr3:uid="{09B1EFFA-7232-4399-8649-6897C22702A5}" name="Unidad Medida" dataDxfId="8463" totalsRowDxfId="8462"/>
    <tableColumn id="4" xr3:uid="{4F1C3578-44D1-4CEA-A82F-A6C1382B0A4A}" name="Unidades Netas" dataDxfId="8461" totalsRowDxfId="8460"/>
    <tableColumn id="7" xr3:uid="{7B87908A-DAEF-4B13-ABFC-90AC453D3911}" name="% Merma" dataDxfId="8459" totalsRowDxfId="8458"/>
    <tableColumn id="1" xr3:uid="{F2A1B1E3-F233-4970-9885-B42B4B8D34FB}" name="Unidades" dataDxfId="8457" totalsRowDxfId="8456"/>
    <tableColumn id="5" xr3:uid="{D3C7E3A1-AAAF-4283-971B-7CCE0184F65D}" name="Coste Componente" dataDxfId="8455" totalsRowDxfId="8454" dataCellStyle="Moneda">
      <calculatedColumnFormula>+VLOOKUP(Tabla1103453454455456479455868778695108117127136228237352382406240359436476247238239[[#This Row],[ArtÃ­culo]],Tabla34[#All],3,0)</calculatedColumnFormula>
    </tableColumn>
    <tableColumn id="6" xr3:uid="{D1C01409-5783-4F37-92BA-703B2C82A9D9}" name="Coste LÃ­nea" totalsRowFunction="sum" dataDxfId="8453" totalsRowDxfId="8452" dataCellStyle="Moneda">
      <calculatedColumnFormula>+Tabla1103453454455456479455868778695108117127136228237352382406240359436476247238239[[#This Row],[Coste Componente]]*Tabla1103453454455456479455868778695108117127136228237352382406240359436476247238239[[#This Row],[Unidades Netas]]</calculatedColumnFormula>
    </tableColumn>
  </tableColumns>
  <tableStyleInfo name="TableStyleLight8" showFirstColumn="0" showLastColumn="0" showRowStripes="1" showColumnStripes="0"/>
</table>
</file>

<file path=xl/tables/table7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AA9568-961E-43B6-A17C-3A1D795DC049}" name="Tabla11034534544554564794558687786951081171271362282373523824062403594364762472382397" displayName="Tabla11034534544554564794558687786951081171271362282373523824062403594364762472382397" ref="B167:H174" totalsRowCount="1" headerRowDxfId="8451" dataDxfId="8449" totalsRowDxfId="8447" headerRowBorderDxfId="8450" tableBorderDxfId="8448" totalsRowBorderDxfId="8446">
  <autoFilter ref="B167:H173" xr:uid="{DCAA9568-961E-43B6-A17C-3A1D795DC049}"/>
  <sortState xmlns:xlrd2="http://schemas.microsoft.com/office/spreadsheetml/2017/richdata2" ref="B168:H170">
    <sortCondition ref="B114:B117"/>
  </sortState>
  <tableColumns count="7">
    <tableColumn id="2" xr3:uid="{0E62185D-7BAC-4E89-9184-DC6A9754CA67}" name="ArtÃ­culo" dataDxfId="8445" totalsRowDxfId="8444"/>
    <tableColumn id="3" xr3:uid="{52031F02-624F-4580-8C1D-22ECBCF477E1}" name="Unidad Medida" dataDxfId="8443" totalsRowDxfId="8442"/>
    <tableColumn id="4" xr3:uid="{98B44783-BE1D-43F4-9A7B-3B202227F154}" name="Unidades Netas" dataDxfId="8441" totalsRowDxfId="8440"/>
    <tableColumn id="7" xr3:uid="{932E57EA-874E-46B9-8206-500F416D60D4}" name="% Merma" dataDxfId="8439" totalsRowDxfId="8438"/>
    <tableColumn id="1" xr3:uid="{E4F3E443-0C4B-4A3F-92DA-AC712C24FD80}" name="Unidades" dataDxfId="8437" totalsRowDxfId="8436"/>
    <tableColumn id="5" xr3:uid="{CA0A60CD-89C1-4FC7-96B6-F83D39A9D1AD}" name="Coste Componente" dataDxfId="8435" totalsRowDxfId="8434" dataCellStyle="Moneda">
      <calculatedColumnFormula>+VLOOKUP(Tabla11034534544554564794558687786951081171271362282373523824062403594364762472382397[[#This Row],[ArtÃ­culo]],Tabla34[#All],3,0)</calculatedColumnFormula>
    </tableColumn>
    <tableColumn id="6" xr3:uid="{6C632789-973C-4750-8940-57A73F5DEE6C}" name="Coste LÃ­nea" totalsRowFunction="sum" dataDxfId="8433" totalsRowDxfId="8432" dataCellStyle="Moneda">
      <calculatedColumnFormula>+Tabla11034534544554564794558687786951081171271362282373523824062403594364762472382397[[#This Row],[Coste Componente]]*Tabla11034534544554564794558687786951081171271362282373523824062403594364762472382397[[#This Row],[Unidades Netas]]</calculatedColumnFormula>
    </tableColumn>
  </tableColumns>
  <tableStyleInfo name="TableStyleLight8" showFirstColumn="0" showLastColumn="0" showRowStripes="1" showColumnStripes="0"/>
</table>
</file>

<file path=xl/tables/table7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49B6A74-8D7F-472B-970D-4458AB474E21}" name="Tabla1103453454455456479455868778695108117127136228237352382406240359436476247238239742" displayName="Tabla1103453454455456479455868778695108117127136228237352382406240359436476247238239742" ref="B180:H187" totalsRowCount="1" headerRowDxfId="8431" dataDxfId="8429" totalsRowDxfId="8427" headerRowBorderDxfId="8430" tableBorderDxfId="8428" totalsRowBorderDxfId="8426">
  <autoFilter ref="B180:H186" xr:uid="{949B6A74-8D7F-472B-970D-4458AB474E21}"/>
  <sortState xmlns:xlrd2="http://schemas.microsoft.com/office/spreadsheetml/2017/richdata2" ref="B181:H183">
    <sortCondition ref="B114:B117"/>
  </sortState>
  <tableColumns count="7">
    <tableColumn id="2" xr3:uid="{8821D7C9-A6D1-4614-975E-401AF55FF033}" name="ArtÃ­culo" dataDxfId="8425" totalsRowDxfId="8424"/>
    <tableColumn id="3" xr3:uid="{AAAAEBCC-44C3-4F3A-8B46-5E0989C0C197}" name="Unidad Medida" dataDxfId="8423" totalsRowDxfId="8422"/>
    <tableColumn id="4" xr3:uid="{BC8026A5-DAF3-4C19-825F-DF8C3A737AEA}" name="Unidades Netas" dataDxfId="8421" totalsRowDxfId="8420"/>
    <tableColumn id="7" xr3:uid="{97FD8A37-9AC4-4F42-96F7-D64540650BFF}" name="% Merma" dataDxfId="8419" totalsRowDxfId="8418"/>
    <tableColumn id="1" xr3:uid="{93975348-2D64-4329-9F2D-A63BCCE72933}" name="Unidades" dataDxfId="8417" totalsRowDxfId="8416"/>
    <tableColumn id="5" xr3:uid="{B07B34E6-0629-4630-965B-95669D63BE06}" name="Coste Componente" dataDxfId="8415" totalsRowDxfId="8414" dataCellStyle="Moneda">
      <calculatedColumnFormula>+VLOOKUP(Tabla1103453454455456479455868778695108117127136228237352382406240359436476247238239742[[#This Row],[ArtÃ­culo]],Tabla34[#All],3,0)</calculatedColumnFormula>
    </tableColumn>
    <tableColumn id="6" xr3:uid="{1B163E71-A30C-4628-9DF4-D5E57E3F1416}" name="Coste LÃ­nea" totalsRowFunction="sum" dataDxfId="8413" totalsRowDxfId="8412" dataCellStyle="Moneda">
      <calculatedColumnFormula>+Tabla1103453454455456479455868778695108117127136228237352382406240359436476247238239742[[#This Row],[Coste Componente]]*Tabla1103453454455456479455868778695108117127136228237352382406240359436476247238239742[[#This Row],[Unidades Netas]]</calculatedColumnFormula>
    </tableColumn>
  </tableColumns>
  <tableStyleInfo name="TableStyleLight8" showFirstColumn="0" showLastColumn="0" showRowStripes="1" showColumnStripes="0"/>
</table>
</file>

<file path=xl/tables/table7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0165599-38BA-454A-9CF6-6EF6C319CBB8}" name="Tabla1103453454455456479455868778695108117127136228237246130" displayName="Tabla1103453454455456479455868778695108117127136228237246130" ref="B191:H195" totalsRowCount="1" headerRowDxfId="8411" dataDxfId="8409" totalsRowDxfId="8407" headerRowBorderDxfId="8410" tableBorderDxfId="8408" totalsRowBorderDxfId="8406">
  <autoFilter ref="B191:H194" xr:uid="{20165599-38BA-454A-9CF6-6EF6C319CBB8}"/>
  <sortState xmlns:xlrd2="http://schemas.microsoft.com/office/spreadsheetml/2017/richdata2" ref="B192:H194">
    <sortCondition descending="1" ref="H189:H204"/>
  </sortState>
  <tableColumns count="7">
    <tableColumn id="2" xr3:uid="{7A74A760-F295-4AB9-A8E1-BCF5C8C8CFE0}" name="ArtÃ­culo" dataDxfId="8405" totalsRowDxfId="8404"/>
    <tableColumn id="3" xr3:uid="{1B80B631-35F9-435E-9CE5-42B9B39E8926}" name="Unidad Medida" dataDxfId="8403" totalsRowDxfId="8402"/>
    <tableColumn id="4" xr3:uid="{05F35A03-3468-4757-98FB-6F5351C79FC0}" name="Unidades Netas" dataDxfId="8401" totalsRowDxfId="8400"/>
    <tableColumn id="1" xr3:uid="{4D65316A-A4A9-4458-984F-940361824523}" name="% Merma" dataDxfId="8399" totalsRowDxfId="8398"/>
    <tableColumn id="7" xr3:uid="{48EEDD0C-7B5C-4527-B807-2D573CD09CE3}" name="Unidades" dataDxfId="8397" totalsRowDxfId="8396"/>
    <tableColumn id="5" xr3:uid="{67068909-9753-4112-A442-1F824272C806}" name="Coste Componente" dataDxfId="8395" totalsRowDxfId="8394" dataCellStyle="Moneda">
      <calculatedColumnFormula>+VLOOKUP(Tabla1103453454455456479455868778695108117127136228237246130[[#This Row],[ArtÃ­culo]],Tabla34[#All],3,0)</calculatedColumnFormula>
    </tableColumn>
    <tableColumn id="6" xr3:uid="{3A140882-794F-4262-BAF0-562B3394F8AF}" name="Coste LÃ­nea" totalsRowFunction="sum" dataDxfId="8393" totalsRowDxfId="8392" dataCellStyle="Moneda">
      <calculatedColumnFormula>+Tabla1103453454455456479455868778695108117127136228237246130[[#This Row],[Coste Componente]]*Tabla1103453454455456479455868778695108117127136228237246130[[#This Row],[Unidades]]</calculatedColumnFormula>
    </tableColumn>
  </tableColumns>
  <tableStyleInfo name="TableStyleLight8" showFirstColumn="0" showLastColumn="0" showRowStripes="1" showColumnStripes="0"/>
</table>
</file>

<file path=xl/tables/table7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98A6CA39-DAA3-4836-94AF-15DEE28C7497}" name="Tabla11034534544554564793638486171808998111120130139231240249148" displayName="Tabla11034534544554564793638486171808998111120130139231240249148" ref="B202:H207" totalsRowCount="1" headerRowDxfId="8391" dataDxfId="8389" totalsRowDxfId="8387" headerRowBorderDxfId="8390" tableBorderDxfId="8388" totalsRowBorderDxfId="8386">
  <autoFilter ref="B202:H206" xr:uid="{98A6CA39-DAA3-4836-94AF-15DEE28C7497}"/>
  <sortState xmlns:xlrd2="http://schemas.microsoft.com/office/spreadsheetml/2017/richdata2" ref="B203:H206">
    <sortCondition ref="B21:B23"/>
  </sortState>
  <tableColumns count="7">
    <tableColumn id="2" xr3:uid="{26A335E8-E304-4EAB-ADE6-61F275078385}" name="ArtÃ­culo" dataDxfId="8385" totalsRowDxfId="8384"/>
    <tableColumn id="3" xr3:uid="{0D385F94-A883-4FE8-B6D0-C82018748314}" name="Unidad Medida" dataDxfId="8383" totalsRowDxfId="8382"/>
    <tableColumn id="4" xr3:uid="{ED03927E-677D-4635-8734-38BEB2572EFE}" name="Unidades Netas" dataDxfId="8381" totalsRowDxfId="8380"/>
    <tableColumn id="1" xr3:uid="{A82E2816-CECD-48E0-80FD-E19C300617E2}" name="% Merma" dataDxfId="8379" totalsRowDxfId="8378"/>
    <tableColumn id="7" xr3:uid="{95C128DA-81D2-4128-B7A2-3BAEB14894DA}" name="Unidades" dataDxfId="8377" totalsRowDxfId="8376"/>
    <tableColumn id="5" xr3:uid="{26537BC2-3AD3-4ECF-8537-B81DF568C9BE}" name="Coste Componente" dataDxfId="8375" totalsRowDxfId="8374" dataCellStyle="Moneda">
      <calculatedColumnFormula>+VLOOKUP(Tabla11034534544554564793638486171808998111120130139231240249148[[#This Row],[ArtÃ­culo]],Tabla34[#All],3,0)</calculatedColumnFormula>
    </tableColumn>
    <tableColumn id="6" xr3:uid="{20CD04C8-D07E-45FA-9278-C60196357BA6}" name="Coste LÃ­nea" totalsRowFunction="sum" dataDxfId="8373" totalsRowDxfId="8372" dataCellStyle="Moneda">
      <calculatedColumnFormula>+Tabla11034534544554564793638486171808998111120130139231240249148[[#This Row],[Coste Componente]]*Tabla11034534544554564793638486171808998111120130139231240249148[[#This Row],[Unidades]]</calculatedColumnFormula>
    </tableColumn>
  </tableColumns>
  <tableStyleInfo name="TableStyleLight8" showFirstColumn="0" showLastColumn="0" showRowStripes="1" showColumnStripes="0"/>
</table>
</file>

<file path=xl/tables/table7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DFB9D082-4163-40D4-B5E6-F810E17C4072}" name="Tabla11034534544554564793639496272819099112121131140232241250415149" displayName="Tabla11034534544554564793639496272819099112121131140232241250415149" ref="B213:H219" totalsRowCount="1" headerRowDxfId="8371" dataDxfId="8369" totalsRowDxfId="8367" headerRowBorderDxfId="8370" tableBorderDxfId="8368" totalsRowBorderDxfId="8366">
  <autoFilter ref="B213:H218" xr:uid="{DFB9D082-4163-40D4-B5E6-F810E17C4072}"/>
  <sortState xmlns:xlrd2="http://schemas.microsoft.com/office/spreadsheetml/2017/richdata2" ref="B214:H216">
    <sortCondition descending="1" ref="H144:H160"/>
  </sortState>
  <tableColumns count="7">
    <tableColumn id="2" xr3:uid="{5ECAA2EB-4D38-460E-B336-CEDA229C9FA7}" name="ArtÃ­culo" dataDxfId="8365" totalsRowDxfId="8364"/>
    <tableColumn id="3" xr3:uid="{5B8B30FA-4A60-439D-9535-87AC4303A81B}" name="Unidad Medida" dataDxfId="8363" totalsRowDxfId="8362"/>
    <tableColumn id="4" xr3:uid="{D9126BAA-C6E8-4D9B-8F32-F8487B392D52}" name="Unidades Netas" dataDxfId="8361" totalsRowDxfId="8360"/>
    <tableColumn id="1" xr3:uid="{48B977B1-B83A-4965-8B47-542CB23D7F3B}" name="% Merma" totalsRowDxfId="8359"/>
    <tableColumn id="7" xr3:uid="{0F52BAE9-C1EB-4B61-B867-C200E28DC205}" name="Unidades" totalsRowDxfId="8358"/>
    <tableColumn id="5" xr3:uid="{7BE22B4F-33BB-4575-A111-CC29AC4E1CD9}" name="Coste Componente" dataDxfId="8357" totalsRowDxfId="8356" dataCellStyle="Moneda">
      <calculatedColumnFormula>+VLOOKUP(Tabla11034534544554564793639496272819099112121131140232241250415149[[#This Row],[ArtÃ­culo]],Tabla34[#All],3,0)</calculatedColumnFormula>
    </tableColumn>
    <tableColumn id="6" xr3:uid="{7B630010-19D8-43F4-B277-7D10379549BC}" name="Coste LÃ­nea" totalsRowFunction="sum" dataDxfId="8355" totalsRowDxfId="8354" dataCellStyle="Moneda">
      <calculatedColumnFormula>+Tabla11034534544554564793639496272819099112121131140232241250415149[[#This Row],[Coste Componente]]*Tabla11034534544554564793639496272819099112121131140232241250415149[[#This Row],[Unidades]]</calculatedColumnFormula>
    </tableColumn>
  </tableColumns>
  <tableStyleInfo name="TableStyleLight8" showFirstColumn="0" showLastColumn="0" showRowStripes="1" showColumnStripes="0"/>
</table>
</file>

<file path=xl/tables/table7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600DBB1-264A-42C6-8D9E-A0B1EEE00070}" name="Tabla11034534544554564793639496272819099112121131140232241250415434152" displayName="Tabla11034534544554564793639496272819099112121131140232241250415434152" ref="B225:H230" totalsRowCount="1" headerRowDxfId="8353" dataDxfId="8351" totalsRowDxfId="8349" headerRowBorderDxfId="8352" tableBorderDxfId="8350" totalsRowBorderDxfId="8348">
  <autoFilter ref="B225:H229" xr:uid="{0600DBB1-264A-42C6-8D9E-A0B1EEE00070}"/>
  <sortState xmlns:xlrd2="http://schemas.microsoft.com/office/spreadsheetml/2017/richdata2" ref="B226:H229">
    <sortCondition descending="1" ref="H144:H160"/>
  </sortState>
  <tableColumns count="7">
    <tableColumn id="2" xr3:uid="{675AD706-9D29-488D-87A2-0C092BEA613F}" name="ArtÃ­culo" dataDxfId="8347" totalsRowDxfId="8346"/>
    <tableColumn id="3" xr3:uid="{E20EFC86-AE38-44C0-9E4F-1BFF9BA35ED8}" name="Unidad Medida" dataDxfId="8345" totalsRowDxfId="8344"/>
    <tableColumn id="4" xr3:uid="{C57091B0-53CD-4257-AC6B-A29651D51D83}" name="Unidades Netas" dataDxfId="8343" totalsRowDxfId="8342"/>
    <tableColumn id="1" xr3:uid="{175B963B-FFC7-482B-AA6E-091AC95F0E09}" name="% Merma" dataDxfId="8341" totalsRowDxfId="8340"/>
    <tableColumn id="7" xr3:uid="{1AB0A20A-BB3A-4E06-A697-6A93C11842EE}" name="Unidades" dataDxfId="8339" totalsRowDxfId="8338"/>
    <tableColumn id="5" xr3:uid="{D94E6B5B-D326-4706-B443-DFF3439038A7}" name="Coste Componente" dataDxfId="8337" totalsRowDxfId="8336" dataCellStyle="Moneda">
      <calculatedColumnFormula>+VLOOKUP(Tabla11034534544554564793639496272819099112121131140232241250415434152[[#This Row],[ArtÃ­culo]],Tabla34[#All],3,0)</calculatedColumnFormula>
    </tableColumn>
    <tableColumn id="6" xr3:uid="{30B36557-3045-42B8-9824-33B9F971D9AB}" name="Coste LÃ­nea" totalsRowFunction="sum" dataDxfId="8335" totalsRowDxfId="8334" dataCellStyle="Moneda">
      <calculatedColumnFormula>+Tabla11034534544554564793639496272819099112121131140232241250415434152[[#This Row],[Coste Componente]]*Tabla11034534544554564793639496272819099112121131140232241250415434152[[#This Row],[Unidades]]</calculatedColumnFormula>
    </tableColumn>
  </tableColumns>
  <tableStyleInfo name="TableStyleLight8" showFirstColumn="0" showLastColumn="0" showRowStripes="1" showColumnStripes="0"/>
</table>
</file>

<file path=xl/tables/table7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61497C31-66C1-4F4D-A819-442A13752A63}" name="Tabla11034534544554564793639496272819099112121131140232241250415434435153" displayName="Tabla11034534544554564793639496272819099112121131140232241250415434435153" ref="B238:H244" totalsRowCount="1" headerRowDxfId="8333" dataDxfId="8331" totalsRowDxfId="8329" headerRowBorderDxfId="8332" tableBorderDxfId="8330" totalsRowBorderDxfId="8328">
  <autoFilter ref="B238:H243" xr:uid="{61497C31-66C1-4F4D-A819-442A13752A63}"/>
  <sortState xmlns:xlrd2="http://schemas.microsoft.com/office/spreadsheetml/2017/richdata2" ref="B239:H242">
    <sortCondition descending="1" ref="H145:H161"/>
  </sortState>
  <tableColumns count="7">
    <tableColumn id="2" xr3:uid="{C3A50C5B-6F82-4446-BCC9-509F9FAA4F90}" name="ArtÃ­culo" dataDxfId="8327" totalsRowDxfId="8326"/>
    <tableColumn id="3" xr3:uid="{27E86668-05AC-493E-9FB8-2E2A1EFD8E2B}" name="Unidad Medida" dataDxfId="8325" totalsRowDxfId="8324"/>
    <tableColumn id="4" xr3:uid="{29098DB8-0B7B-44EC-8539-DFFB55EF1926}" name="Unidades Netas" dataDxfId="8323" totalsRowDxfId="8322"/>
    <tableColumn id="1" xr3:uid="{04C678AA-EB0A-4CB5-ADD1-8021532F198E}" name="% Merma" dataDxfId="8321" totalsRowDxfId="8320"/>
    <tableColumn id="7" xr3:uid="{F527DBE1-060D-47F4-B40D-832D6B8F5952}" name="Unidades" dataDxfId="8319" totalsRowDxfId="8318"/>
    <tableColumn id="5" xr3:uid="{0118D65B-DF76-4A24-A7D5-9BA91A757C99}" name="Coste Componente" dataDxfId="8317" totalsRowDxfId="8316" dataCellStyle="Moneda">
      <calculatedColumnFormula>+VLOOKUP(Tabla11034534544554564793639496272819099112121131140232241250415434435153[[#This Row],[ArtÃ­culo]],Tabla34[#All],3,0)</calculatedColumnFormula>
    </tableColumn>
    <tableColumn id="6" xr3:uid="{006CAB3D-4B4C-4E46-A4F5-DAFA03A2B3FF}" name="Coste LÃ­nea" totalsRowFunction="sum" dataDxfId="8315" totalsRowDxfId="8314" dataCellStyle="Moneda">
      <calculatedColumnFormula>+Tabla11034534544554564793639496272819099112121131140232241250415434435153[[#This Row],[Coste Componente]]*Tabla11034534544554564793639496272819099112121131140232241250415434435153[[#This Row],[Unidades Netas]]</calculatedColumnFormula>
    </tableColumn>
  </tableColumns>
  <tableStyleInfo name="TableStyleLight8" showFirstColumn="0" showLastColumn="0" showRowStripes="1" showColumnStripes="0"/>
</table>
</file>

<file path=xl/tables/table7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40ADA88E-05B2-4AA9-8DFF-C96CDE741299}" name="Tabla11034534544554564793637476070798897110119129138230239481154" displayName="Tabla11034534544554564793637476070798897110119129138230239481154" ref="B251:H257" totalsRowCount="1" headerRowDxfId="8313" dataDxfId="8311" totalsRowDxfId="8309" headerRowBorderDxfId="8312" tableBorderDxfId="8310" totalsRowBorderDxfId="8308">
  <autoFilter ref="B251:H256" xr:uid="{40ADA88E-05B2-4AA9-8DFF-C96CDE741299}"/>
  <sortState xmlns:xlrd2="http://schemas.microsoft.com/office/spreadsheetml/2017/richdata2" ref="B252:H255">
    <sortCondition descending="1" ref="H9:H11"/>
  </sortState>
  <tableColumns count="7">
    <tableColumn id="2" xr3:uid="{ED69F2C4-5842-430D-81C6-FF9E0046099D}" name="ArtÃ­culo" dataDxfId="8307" totalsRowDxfId="8306"/>
    <tableColumn id="3" xr3:uid="{ED333722-C9E4-416C-B5DB-A641AD2AF900}" name="Unidad Medida" dataDxfId="8305" totalsRowDxfId="8304"/>
    <tableColumn id="4" xr3:uid="{F08172CD-A45C-48F5-938A-A093746A06BE}" name="Unidades Netas" dataDxfId="8303" totalsRowDxfId="8302"/>
    <tableColumn id="1" xr3:uid="{DB1FF8CA-3B95-4703-8F6B-9BF34F6A58A1}" name="% Merma" dataDxfId="8301" totalsRowDxfId="8300"/>
    <tableColumn id="7" xr3:uid="{7AB83552-080F-4F06-AABD-958F035767BE}" name="Unidades" dataDxfId="8299" totalsRowDxfId="8298"/>
    <tableColumn id="5" xr3:uid="{4F66C22E-BCA6-41A2-A7D5-6BAB64F08446}" name="Coste Componente" dataDxfId="8297" totalsRowDxfId="8296" dataCellStyle="Moneda">
      <calculatedColumnFormula>+VLOOKUP(Tabla11034534544554564793637476070798897110119129138230239481154[[#This Row],[ArtÃ­culo]],Tabla34[#All],3,0)</calculatedColumnFormula>
    </tableColumn>
    <tableColumn id="6" xr3:uid="{B3AD2BA9-F7C0-4BB4-9C61-CC31CC28FC0F}" name="Coste LÃ­nea" totalsRowFunction="sum" dataDxfId="8295" totalsRowDxfId="8294" dataCellStyle="Moneda">
      <calculatedColumnFormula>+Tabla11034534544554564793637476070798897110119129138230239481154[[#This Row],[Coste Componente]]*Tabla11034534544554564793637476070798897110119129138230239481154[[#This Row],[Unidades]]</calculatedColumnFormula>
    </tableColumn>
  </tableColumns>
  <tableStyleInfo name="TableStyleLight8" showFirstColumn="0" showLastColumn="0" showRowStripes="1" showColumnStripes="0"/>
</table>
</file>

<file path=xl/tables/table7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2127FB5-71E1-4B36-B266-722AC512ADF3}" name="Tabla11034534544554564793637476070798897110119129138230239481482155" displayName="Tabla11034534544554564793637476070798897110119129138230239481482155" ref="B265:H271" totalsRowCount="1" headerRowDxfId="8293" dataDxfId="8291" totalsRowDxfId="8289" headerRowBorderDxfId="8292" tableBorderDxfId="8290" totalsRowBorderDxfId="8288">
  <autoFilter ref="B265:H270" xr:uid="{12127FB5-71E1-4B36-B266-722AC512ADF3}"/>
  <sortState xmlns:xlrd2="http://schemas.microsoft.com/office/spreadsheetml/2017/richdata2" ref="B266:H270">
    <sortCondition descending="1" ref="H24:H26"/>
  </sortState>
  <tableColumns count="7">
    <tableColumn id="2" xr3:uid="{7B98F8B6-F84E-4A0A-9616-178A22272177}" name="ArtÃ­culo" dataDxfId="8287" totalsRowDxfId="8286"/>
    <tableColumn id="3" xr3:uid="{A380BE2D-9684-4E4D-BF48-013CC7AE47CE}" name="Unidad Medida" dataDxfId="8285" totalsRowDxfId="8284"/>
    <tableColumn id="4" xr3:uid="{FAC20C97-E372-4023-B4C2-B388D1183C5E}" name="Unidades Netas" dataDxfId="8283" totalsRowDxfId="8282"/>
    <tableColumn id="1" xr3:uid="{5AA1AF67-55FF-45AC-ACD1-648FABE47343}" name="% Merma" dataDxfId="8281" totalsRowDxfId="8280"/>
    <tableColumn id="7" xr3:uid="{71573E96-5B86-4369-A543-069D8E79986A}" name="Unidades" dataDxfId="8279" totalsRowDxfId="8278"/>
    <tableColumn id="5" xr3:uid="{79235BCF-0ECE-4EA4-AA85-6C9E99845FD6}" name="Coste Componente" dataDxfId="8277" totalsRowDxfId="8276" dataCellStyle="Moneda">
      <calculatedColumnFormula>+VLOOKUP(Tabla11034534544554564793637476070798897110119129138230239481482155[[#This Row],[ArtÃ­culo]],Tabla34[#All],3,0)</calculatedColumnFormula>
    </tableColumn>
    <tableColumn id="6" xr3:uid="{66CC8426-9D7A-4EC9-8AA9-8561FD9566F0}" name="Coste LÃ­nea" totalsRowFunction="sum" dataDxfId="8275" totalsRowDxfId="8274" dataCellStyle="Moneda">
      <calculatedColumnFormula>+Tabla11034534544554564793637476070798897110119129138230239481482155[[#This Row],[Coste Componente]]*Tabla11034534544554564793637476070798897110119129138230239481482155[[#This Row],[Unidades]]</calculatedColumnFormula>
    </tableColumn>
  </tableColumns>
  <tableStyleInfo name="TableStyleLight8" showFirstColumn="0" showLastColumn="0" showRowStripes="1" showColumnStripes="0"/>
</table>
</file>

<file path=xl/tables/table7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955E8339-ED15-49AC-8758-E2F1C0EC037C}" name="Tabla11034534544554564793637476070798897110119129138230239481482155166" displayName="Tabla11034534544554564793637476070798897110119129138230239481482155166" ref="B279:H285" totalsRowCount="1" headerRowDxfId="8273" dataDxfId="8271" totalsRowDxfId="8269" headerRowBorderDxfId="8272" tableBorderDxfId="8270" totalsRowBorderDxfId="8268">
  <autoFilter ref="B279:H284" xr:uid="{955E8339-ED15-49AC-8758-E2F1C0EC037C}"/>
  <sortState xmlns:xlrd2="http://schemas.microsoft.com/office/spreadsheetml/2017/richdata2" ref="B280:H283">
    <sortCondition descending="1" ref="H24:H26"/>
  </sortState>
  <tableColumns count="7">
    <tableColumn id="2" xr3:uid="{EFDB89EC-D9EB-4EA8-A3C8-E55ECD9321F5}" name="ArtÃ­culo" dataDxfId="8267" totalsRowDxfId="8266"/>
    <tableColumn id="3" xr3:uid="{46A32836-A31C-4090-9C24-739A0AEB08B9}" name="Unidad Medida" dataDxfId="8265" totalsRowDxfId="8264"/>
    <tableColumn id="4" xr3:uid="{93F51A93-B78D-4E0D-889D-2BEF0B1C25E5}" name="Unidades Netas" dataDxfId="8263" totalsRowDxfId="8262"/>
    <tableColumn id="1" xr3:uid="{06B942D8-BA98-4E49-B020-EB9FAC51968C}" name="% Merma" dataDxfId="8261" totalsRowDxfId="8260"/>
    <tableColumn id="7" xr3:uid="{C9CCF012-00A2-4F65-8265-5935CBF2C83B}" name="Unidades" dataDxfId="8259" totalsRowDxfId="8258"/>
    <tableColumn id="5" xr3:uid="{A61A6053-DFDC-4223-8A6F-25A41B98B4A5}" name="Coste Componente" dataDxfId="8257" totalsRowDxfId="8256" dataCellStyle="Moneda">
      <calculatedColumnFormula>+VLOOKUP(Tabla11034534544554564793637476070798897110119129138230239481482155166[[#This Row],[ArtÃ­culo]],Tabla34[#All],3,0)</calculatedColumnFormula>
    </tableColumn>
    <tableColumn id="6" xr3:uid="{AE87E29B-4F70-4F56-890A-4CC8E205F426}" name="Coste LÃ­nea" totalsRowFunction="sum" dataDxfId="8255" totalsRowDxfId="8254" dataCellStyle="Moneda">
      <calculatedColumnFormula>+Tabla11034534544554564793637476070798897110119129138230239481482155166[[#This Row],[Coste Componente]]*Tabla11034534544554564793637476070798897110119129138230239481482155166[[#This Row],[Unidades]]</calculatedColumnFormula>
    </tableColumn>
  </tableColumns>
  <tableStyleInfo name="TableStyleLight8" showFirstColumn="0" showLastColumn="0" showRowStripes="1" showColumnStripes="0"/>
</table>
</file>

<file path=xl/tables/table7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73B5001-D1A6-4BA9-BA67-44C8AB300445}" name="Tabla11034534544554564793637476070798897110119129138230239481482155166172" displayName="Tabla11034534544554564793637476070798897110119129138230239481482155166172" ref="B292:H300" totalsRowCount="1" headerRowDxfId="8253" dataDxfId="8251" totalsRowDxfId="8249" headerRowBorderDxfId="8252" tableBorderDxfId="8250" totalsRowBorderDxfId="8248">
  <autoFilter ref="B292:H299" xr:uid="{773B5001-D1A6-4BA9-BA67-44C8AB300445}"/>
  <sortState xmlns:xlrd2="http://schemas.microsoft.com/office/spreadsheetml/2017/richdata2" ref="B293:H296">
    <sortCondition descending="1" ref="H24:H26"/>
  </sortState>
  <tableColumns count="7">
    <tableColumn id="2" xr3:uid="{13D7D6C3-ACCD-40EB-A105-FAA4C4E8B505}" name="ArtÃ­culo" dataDxfId="8247" totalsRowDxfId="8246"/>
    <tableColumn id="3" xr3:uid="{12B4165F-2143-46E6-81C6-736A45D203E1}" name="Unidad Medida" dataDxfId="8245" totalsRowDxfId="8244"/>
    <tableColumn id="4" xr3:uid="{46CB69A1-0845-4146-9A59-51B5691B0D2B}" name="Unidades Netas" dataDxfId="8243" totalsRowDxfId="8242"/>
    <tableColumn id="1" xr3:uid="{4C944CD3-AFC9-4333-B15B-30FBC73E044D}" name="% Merma" dataDxfId="8241" totalsRowDxfId="8240"/>
    <tableColumn id="7" xr3:uid="{253FAF17-9264-41B6-94C4-7AE6E3C04132}" name="Unidades" dataDxfId="8239" totalsRowDxfId="8238"/>
    <tableColumn id="5" xr3:uid="{CFEEFB8E-72FB-4A7E-9519-99C05CDF3AAB}" name="Coste Componente" dataDxfId="8237" totalsRowDxfId="8236" dataCellStyle="Moneda">
      <calculatedColumnFormula>+VLOOKUP(Tabla11034534544554564793637476070798897110119129138230239481482155166172[[#This Row],[ArtÃ­culo]],Tabla34[#All],3,0)</calculatedColumnFormula>
    </tableColumn>
    <tableColumn id="6" xr3:uid="{76CC2398-38F8-4DDF-B3EC-1CB8DE8D659B}" name="Coste LÃ­nea" totalsRowFunction="sum" dataDxfId="8235" totalsRowDxfId="8234" dataCellStyle="Moneda">
      <calculatedColumnFormula>+Tabla11034534544554564793637476070798897110119129138230239481482155166172[[#This Row],[Coste Componente]]*Tabla11034534544554564793637476070798897110119129138230239481482155166172[[#This Row],[Unidades]]</calculatedColumnFormula>
    </tableColumn>
  </tableColumns>
  <tableStyleInfo name="TableStyleLight8" showFirstColumn="0" showLastColumn="0" showRowStripes="1" showColumnStripes="0"/>
</table>
</file>

<file path=xl/tables/table7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ECF34E0-8D4D-498D-9E65-98DD668005C6}" name="Tabla11034534544554564793637476070798897110119129138230239481482155166172173" displayName="Tabla11034534544554564793637476070798897110119129138230239481482155166172173" ref="B304:H311" totalsRowCount="1" headerRowDxfId="8233" dataDxfId="8231" totalsRowDxfId="8229" headerRowBorderDxfId="8232" tableBorderDxfId="8230" totalsRowBorderDxfId="8228">
  <autoFilter ref="B304:H310" xr:uid="{3ECF34E0-8D4D-498D-9E65-98DD668005C6}"/>
  <sortState xmlns:xlrd2="http://schemas.microsoft.com/office/spreadsheetml/2017/richdata2" ref="B305:H308">
    <sortCondition descending="1" ref="H24:H26"/>
  </sortState>
  <tableColumns count="7">
    <tableColumn id="2" xr3:uid="{7541A05D-5E75-4306-A8A6-08D11D9C1D33}" name="ArtÃ­culo" dataDxfId="8227" totalsRowDxfId="8226"/>
    <tableColumn id="3" xr3:uid="{6CD924EB-56AE-4434-A89E-DB71E24B6179}" name="Unidad Medida" dataDxfId="8225" totalsRowDxfId="8224"/>
    <tableColumn id="4" xr3:uid="{388D7E56-89B6-4C9E-9D06-E4BC9A95B36F}" name="Unidades Netas" dataDxfId="8223" totalsRowDxfId="8222"/>
    <tableColumn id="1" xr3:uid="{45F0B107-B5C2-4464-B4F4-3A0F54ED72F0}" name="% Merma" dataDxfId="8221" totalsRowDxfId="8220"/>
    <tableColumn id="7" xr3:uid="{A1346CB6-127C-4636-ADCC-C31B2D0AFB3C}" name="Unidades" dataDxfId="8219" totalsRowDxfId="8218"/>
    <tableColumn id="5" xr3:uid="{27E43193-900B-4E51-9E36-75686BD421C6}" name="Coste Componente" dataDxfId="8217" totalsRowDxfId="8216" dataCellStyle="Moneda">
      <calculatedColumnFormula>+VLOOKUP(Tabla11034534544554564793637476070798897110119129138230239481482155166172173[[#This Row],[ArtÃ­culo]],Tabla34[#All],3,0)</calculatedColumnFormula>
    </tableColumn>
    <tableColumn id="6" xr3:uid="{7B93A644-82D9-4151-AF12-C83FE4883BAA}" name="Coste LÃ­nea" totalsRowFunction="sum" dataDxfId="8215" totalsRowDxfId="8214" dataCellStyle="Moneda">
      <calculatedColumnFormula>+Tabla11034534544554564793637476070798897110119129138230239481482155166172173[[#This Row],[Coste Componente]]*Tabla11034534544554564793637476070798897110119129138230239481482155166172173[[#This Row],[Unidades]]</calculatedColumnFormula>
    </tableColumn>
  </tableColumns>
  <tableStyleInfo name="TableStyleLight8" showFirstColumn="0" showLastColumn="0" showRowStripes="1" showColumnStripes="0"/>
</table>
</file>

<file path=xl/tables/table7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59F0A28C-796D-4E89-8D4A-2EC446B7DCDE}" name="Tabla11034534544554564793637476070798897110119129138230239481482155166172173174" displayName="Tabla11034534544554564793637476070798897110119129138230239481482155166172173174" ref="B317:H324" totalsRowCount="1" headerRowDxfId="8213" dataDxfId="8211" totalsRowDxfId="8209" headerRowBorderDxfId="8212" tableBorderDxfId="8210" totalsRowBorderDxfId="8208">
  <autoFilter ref="B317:H323" xr:uid="{59F0A28C-796D-4E89-8D4A-2EC446B7DCDE}"/>
  <sortState xmlns:xlrd2="http://schemas.microsoft.com/office/spreadsheetml/2017/richdata2" ref="B318:H321">
    <sortCondition descending="1" ref="H24:H26"/>
  </sortState>
  <tableColumns count="7">
    <tableColumn id="2" xr3:uid="{B64EED15-999A-4083-ABAF-ECB7177CA308}" name="ArtÃ­culo" dataDxfId="8207" totalsRowDxfId="8206"/>
    <tableColumn id="3" xr3:uid="{C4BE96E3-7184-4D52-99A0-63B9DBDFACAD}" name="Unidad Medida" dataDxfId="8205" totalsRowDxfId="8204"/>
    <tableColumn id="4" xr3:uid="{01CAD232-F672-4548-A467-A0C8E80AD79C}" name="Unidades Netas" dataDxfId="8203" totalsRowDxfId="8202"/>
    <tableColumn id="1" xr3:uid="{6759F078-6299-45D2-863F-02B1679476C1}" name="% Merma" dataDxfId="8201" totalsRowDxfId="8200"/>
    <tableColumn id="7" xr3:uid="{3999174F-3A94-49E6-AFD7-9F46202D1286}" name="Unidades" dataDxfId="8199" totalsRowDxfId="8198"/>
    <tableColumn id="5" xr3:uid="{15F0329B-BB6F-44BC-A6C3-9D172AF75475}" name="Coste Componente" dataDxfId="8197" totalsRowDxfId="8196" dataCellStyle="Moneda">
      <calculatedColumnFormula>+VLOOKUP(Tabla11034534544554564793637476070798897110119129138230239481482155166172173174[[#This Row],[ArtÃ­culo]],Tabla34[#All],3,0)</calculatedColumnFormula>
    </tableColumn>
    <tableColumn id="6" xr3:uid="{326E2415-BE68-4BBA-BA59-FA8692BD82B8}" name="Coste LÃ­nea" totalsRowFunction="sum" dataDxfId="8195" totalsRowDxfId="8194" dataCellStyle="Moneda">
      <calculatedColumnFormula>+Tabla11034534544554564793637476070798897110119129138230239481482155166172173174[[#This Row],[Coste Componente]]*Tabla11034534544554564793637476070798897110119129138230239481482155166172173174[[#This Row],[Unidades]]</calculatedColumnFormula>
    </tableColumn>
  </tableColumns>
  <tableStyleInfo name="TableStyleLight8" showFirstColumn="0" showLastColumn="0" showRowStripes="1" showColumnStripes="0"/>
</table>
</file>

<file path=xl/tables/table7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8A0C7D8F-7C72-47AB-895A-AA056210BEA6}" name="Tabla11034534544554564793637476070798897110119129138230239481482155166172173174176" displayName="Tabla11034534544554564793637476070798897110119129138230239481482155166172173174176" ref="B330:H338" totalsRowCount="1" headerRowDxfId="8193" dataDxfId="8191" totalsRowDxfId="8189" headerRowBorderDxfId="8192" tableBorderDxfId="8190" totalsRowBorderDxfId="8188">
  <autoFilter ref="B330:H337" xr:uid="{8A0C7D8F-7C72-47AB-895A-AA056210BEA6}"/>
  <sortState xmlns:xlrd2="http://schemas.microsoft.com/office/spreadsheetml/2017/richdata2" ref="B331:H334">
    <sortCondition descending="1" ref="H24:H26"/>
  </sortState>
  <tableColumns count="7">
    <tableColumn id="2" xr3:uid="{5CDB0970-F06A-46B5-9B5B-B092598E1A3C}" name="ArtÃ­culo" dataDxfId="8187" totalsRowDxfId="8186"/>
    <tableColumn id="3" xr3:uid="{101B5966-65B4-487A-BCB3-6DD0AE10C79D}" name="Unidad Medida" dataDxfId="8185" totalsRowDxfId="8184"/>
    <tableColumn id="4" xr3:uid="{026D3AF8-1C30-4852-92F0-1EFBA141FFF1}" name="Unidades Netas" dataDxfId="8183" totalsRowDxfId="8182"/>
    <tableColumn id="1" xr3:uid="{6993D2DA-9870-446D-BBC9-934259662294}" name="% Merma" dataDxfId="8181" totalsRowDxfId="8180"/>
    <tableColumn id="7" xr3:uid="{18FD847A-81B5-4E7F-94C7-006F645C9326}" name="Unidades" dataDxfId="8179" totalsRowDxfId="8178"/>
    <tableColumn id="5" xr3:uid="{2E3A8F83-005B-4D77-8A95-BC192CE831CE}" name="Coste Componente" dataDxfId="8177" totalsRowDxfId="8176" dataCellStyle="Moneda">
      <calculatedColumnFormula>+VLOOKUP(Tabla11034534544554564793637476070798897110119129138230239481482155166172173174176[[#This Row],[ArtÃ­culo]],Tabla34[#All],3,0)</calculatedColumnFormula>
    </tableColumn>
    <tableColumn id="6" xr3:uid="{46E1A48E-1174-4740-8D18-9D36B7806C15}" name="Coste LÃ­nea" totalsRowFunction="sum" dataDxfId="8175" totalsRowDxfId="8174" dataCellStyle="Moneda">
      <calculatedColumnFormula>+Tabla11034534544554564793637476070798897110119129138230239481482155166172173174176[[#This Row],[Coste Componente]]*Tabla11034534544554564793637476070798897110119129138230239481482155166172173174176[[#This Row],[Unidades]]</calculatedColumnFormula>
    </tableColumn>
  </tableColumns>
  <tableStyleInfo name="TableStyleLight8" showFirstColumn="0" showLastColumn="0" showRowStripes="1" showColumnStripes="0"/>
</table>
</file>

<file path=xl/tables/table7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2" xr:uid="{1A895F0B-4B29-45D5-BE74-CF5FD42448F2}" name="Tabla461487182791797829861883892905930935957973" displayName="Tabla461487182791797829861883892905930935957973" ref="M7:M8" insertRow="1" totalsRowShown="0" headerRowDxfId="2932" dataDxfId="2931" tableBorderDxfId="2930">
  <autoFilter ref="M7:M8" xr:uid="{1A895F0B-4B29-45D5-BE74-CF5FD42448F2}"/>
  <tableColumns count="1">
    <tableColumn id="1" xr3:uid="{C69A91A4-0A2E-499B-82D0-996272621CC9}" name="Preparacion" dataDxfId="2929"/>
  </tableColumns>
  <tableStyleInfo showFirstColumn="0" showLastColumn="0" showRowStripes="1" showColumnStripes="0"/>
</table>
</file>

<file path=xl/tables/table7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3" xr:uid="{A093586C-BE63-4197-80F2-FD93CF32F974}" name="Tabla461487182791797829861883892905930935957974" displayName="Tabla461487182791797829861883892905930935957974" ref="M17:M18" insertRow="1" totalsRowShown="0" headerRowDxfId="2928" dataDxfId="2927" tableBorderDxfId="2926">
  <autoFilter ref="M17:M18" xr:uid="{A093586C-BE63-4197-80F2-FD93CF32F974}"/>
  <tableColumns count="1">
    <tableColumn id="1" xr3:uid="{D282AC96-4D82-457F-BF7D-A533D23C43B9}" name="Preparacion" dataDxfId="2925"/>
  </tableColumns>
  <tableStyleInfo showFirstColumn="0" showLastColumn="0" showRowStripes="1" showColumnStripes="0"/>
</table>
</file>

<file path=xl/tables/table7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4" xr:uid="{0E9D5D29-31EA-4506-A2C8-391AC07D2BFF}" name="Tabla461487182791797829861883892905930935957975" displayName="Tabla461487182791797829861883892905930935957975" ref="M28:M29" insertRow="1" totalsRowShown="0" headerRowDxfId="2924" dataDxfId="2923" tableBorderDxfId="2922">
  <autoFilter ref="M28:M29" xr:uid="{0E9D5D29-31EA-4506-A2C8-391AC07D2BFF}"/>
  <tableColumns count="1">
    <tableColumn id="1" xr3:uid="{BF21A2FF-A551-4D91-8238-6E05F729D6D6}" name="Preparacion" dataDxfId="2921"/>
  </tableColumns>
  <tableStyleInfo showFirstColumn="0" showLastColumn="0" showRowStripes="1" showColumnStripes="0"/>
</table>
</file>

<file path=xl/tables/table7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5" xr:uid="{E0980E24-B7CC-43A2-927C-E0181286ABB7}" name="Tabla461487182791797829861883892905930935957976" displayName="Tabla461487182791797829861883892905930935957976" ref="M40:M41" insertRow="1" totalsRowShown="0" headerRowDxfId="2920" dataDxfId="2919" tableBorderDxfId="2918">
  <autoFilter ref="M40:M41" xr:uid="{E0980E24-B7CC-43A2-927C-E0181286ABB7}"/>
  <tableColumns count="1">
    <tableColumn id="1" xr3:uid="{8360B7AD-18DF-4D66-BA5E-7E874B9BC59F}" name="Preparacion" dataDxfId="2917"/>
  </tableColumns>
  <tableStyleInfo showFirstColumn="0" showLastColumn="0" showRowStripes="1" showColumnStripes="0"/>
</table>
</file>

<file path=xl/tables/table7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6" xr:uid="{B9FA50BE-53FD-4EBF-BE05-66DEFC8B9CF7}" name="Tabla461487182791797829861883892905930935957977" displayName="Tabla461487182791797829861883892905930935957977" ref="M52:M53" insertRow="1" totalsRowShown="0" headerRowDxfId="2916" dataDxfId="2915" tableBorderDxfId="2914">
  <autoFilter ref="M52:M53" xr:uid="{B9FA50BE-53FD-4EBF-BE05-66DEFC8B9CF7}"/>
  <tableColumns count="1">
    <tableColumn id="1" xr3:uid="{56089092-F36F-4DB1-80D3-DB77EBB35D65}" name="Preparacion" dataDxfId="2913"/>
  </tableColumns>
  <tableStyleInfo showFirstColumn="0" showLastColumn="0" showRowStripes="1" showColumnStripes="0"/>
</table>
</file>

<file path=xl/tables/table7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7" xr:uid="{7124F02D-1ED3-4643-9D9E-0800FB64D6F9}" name="Tabla461487182791797829861883892905930935957978" displayName="Tabla461487182791797829861883892905930935957978" ref="M64:M65" insertRow="1" totalsRowShown="0" headerRowDxfId="2912" dataDxfId="2911" tableBorderDxfId="2910">
  <autoFilter ref="M64:M65" xr:uid="{7124F02D-1ED3-4643-9D9E-0800FB64D6F9}"/>
  <tableColumns count="1">
    <tableColumn id="1" xr3:uid="{5F8859C5-5A88-4A6C-869F-96928D243A74}" name="Preparacion" dataDxfId="2909"/>
  </tableColumns>
  <tableStyleInfo showFirstColumn="0" showLastColumn="0" showRowStripes="1" showColumnStripes="0"/>
</table>
</file>

<file path=xl/tables/table7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8" xr:uid="{0044DF7F-3E34-4563-B82B-06573E90E96C}" name="Tabla461487182791797829861883892905930935957979" displayName="Tabla461487182791797829861883892905930935957979" ref="M76:M77" insertRow="1" totalsRowShown="0" headerRowDxfId="2908" dataDxfId="2907" tableBorderDxfId="2906">
  <autoFilter ref="M76:M77" xr:uid="{0044DF7F-3E34-4563-B82B-06573E90E96C}"/>
  <tableColumns count="1">
    <tableColumn id="1" xr3:uid="{4960AEA7-6235-4051-9ED9-6C71D5B13CD2}" name="Preparacion" dataDxfId="2905"/>
  </tableColumns>
  <tableStyleInfo showFirstColumn="0" showLastColumn="0" showRowStripes="1" showColumnStripes="0"/>
</table>
</file>

<file path=xl/tables/table7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9" xr:uid="{6BE7DD17-7CC4-45CF-A683-8E7822118B78}" name="Tabla461487182791797829861883892905930935957980" displayName="Tabla461487182791797829861883892905930935957980" ref="M88:M89" insertRow="1" totalsRowShown="0" headerRowDxfId="2904" dataDxfId="2903" tableBorderDxfId="2902">
  <autoFilter ref="M88:M89" xr:uid="{6BE7DD17-7CC4-45CF-A683-8E7822118B78}"/>
  <tableColumns count="1">
    <tableColumn id="1" xr3:uid="{4C46EEB0-C4FB-4E37-907A-8F81DA41A1FD}" name="Preparacion" dataDxfId="2901"/>
  </tableColumns>
  <tableStyleInfo showFirstColumn="0" showLastColumn="0" showRowStripes="1" showColumnStripes="0"/>
</table>
</file>

<file path=xl/tables/table7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0" xr:uid="{6A1D946F-569C-4452-9524-38ECA0BA87DC}" name="Tabla461487182791797829861883892905930935957981" displayName="Tabla461487182791797829861883892905930935957981" ref="M100:M101" insertRow="1" totalsRowShown="0" headerRowDxfId="2900" dataDxfId="2899" tableBorderDxfId="2898">
  <autoFilter ref="M100:M101" xr:uid="{6A1D946F-569C-4452-9524-38ECA0BA87DC}"/>
  <tableColumns count="1">
    <tableColumn id="1" xr3:uid="{600DA4C7-C68F-48B2-B239-B888E66EA506}" name="Preparacion" dataDxfId="2897"/>
  </tableColumns>
  <tableStyleInfo showFirstColumn="0" showLastColumn="0" showRowStripes="1" showColumnStripes="0"/>
</table>
</file>

<file path=xl/tables/table7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1" xr:uid="{7FE54D58-861D-4C98-9DDF-0A93FDF1C366}" name="Tabla461487182791797829861883892905930935957982" displayName="Tabla461487182791797829861883892905930935957982" ref="M111:M112" insertRow="1" totalsRowShown="0" headerRowDxfId="2896" dataDxfId="2895" tableBorderDxfId="2894">
  <autoFilter ref="M111:M112" xr:uid="{7FE54D58-861D-4C98-9DDF-0A93FDF1C366}"/>
  <tableColumns count="1">
    <tableColumn id="1" xr3:uid="{1F19788A-BB9A-4313-A8CD-4588A08AE86A}" name="Preparacion" dataDxfId="2893"/>
  </tableColumns>
  <tableStyleInfo showFirstColumn="0" showLastColumn="0" showRowStripes="1" showColumnStripes="0"/>
</table>
</file>

<file path=xl/tables/table7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2" xr:uid="{FEF1CC7C-9385-44F6-B411-37C4974504B1}" name="Tabla461487182791797829861883892905930935957983" displayName="Tabla461487182791797829861883892905930935957983" ref="M123:M124" insertRow="1" totalsRowShown="0" headerRowDxfId="2892" dataDxfId="2891" tableBorderDxfId="2890">
  <autoFilter ref="M123:M124" xr:uid="{FEF1CC7C-9385-44F6-B411-37C4974504B1}"/>
  <tableColumns count="1">
    <tableColumn id="1" xr3:uid="{E958B413-7FD9-4CD3-889F-28B84BFFDADE}" name="Preparacion" dataDxfId="2889"/>
  </tableColumns>
  <tableStyleInfo showFirstColumn="0" showLastColumn="0" showRowStripes="1" showColumnStripes="0"/>
</table>
</file>

<file path=xl/tables/table7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4" xr:uid="{7203F7A4-C5C5-4AAB-8C12-CEF411ABE468}" name="Tabla461487182791797829861883892905930935957985" displayName="Tabla461487182791797829861883892905930935957985" ref="M136:M137" insertRow="1" totalsRowShown="0" headerRowDxfId="2888" dataDxfId="2887" tableBorderDxfId="2886">
  <autoFilter ref="M136:M137" xr:uid="{7203F7A4-C5C5-4AAB-8C12-CEF411ABE468}"/>
  <tableColumns count="1">
    <tableColumn id="1" xr3:uid="{1C37E1B0-91A8-46C9-8B23-D2E67E40B23C}" name="Preparacion" dataDxfId="2885"/>
  </tableColumns>
  <tableStyleInfo showFirstColumn="0" showLastColumn="0" showRowStripes="1" showColumnStripes="0"/>
</table>
</file>

<file path=xl/tables/table7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5" xr:uid="{19EC277E-912A-4409-89C4-62D73E62C631}" name="Tabla461487182791797829861883892905930935957986" displayName="Tabla461487182791797829861883892905930935957986" ref="M151:M152" insertRow="1" totalsRowShown="0" headerRowDxfId="2884" dataDxfId="2883" tableBorderDxfId="2882">
  <autoFilter ref="M151:M152" xr:uid="{19EC277E-912A-4409-89C4-62D73E62C631}"/>
  <tableColumns count="1">
    <tableColumn id="1" xr3:uid="{3E6E72C6-CFB9-4047-BEED-FA054C0E1E62}" name="Preparacion" dataDxfId="2881"/>
  </tableColumns>
  <tableStyleInfo showFirstColumn="0" showLastColumn="0" showRowStripes="1" showColumnStripes="0"/>
</table>
</file>

<file path=xl/tables/table7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6" xr:uid="{D602F01B-8421-4F60-ACBB-D6D81B7B8934}" name="Tabla461487182791797829861883892905930935957987" displayName="Tabla461487182791797829861883892905930935957987" ref="M166:M167" insertRow="1" totalsRowShown="0" headerRowDxfId="2880" dataDxfId="2879" tableBorderDxfId="2878">
  <autoFilter ref="M166:M167" xr:uid="{D602F01B-8421-4F60-ACBB-D6D81B7B8934}"/>
  <tableColumns count="1">
    <tableColumn id="1" xr3:uid="{4E4F509B-E637-4C9B-8221-3736388CB9D3}" name="Preparacion" dataDxfId="2877"/>
  </tableColumns>
  <tableStyleInfo showFirstColumn="0" showLastColumn="0" showRowStripes="1" showColumnStripes="0"/>
</table>
</file>

<file path=xl/tables/table7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7" xr:uid="{B4508721-BACA-4F9A-94CC-FC26931C3D75}" name="Tabla461487182791797829861883892905930935957988" displayName="Tabla461487182791797829861883892905930935957988" ref="M179:M180" insertRow="1" totalsRowShown="0" headerRowDxfId="2876" dataDxfId="2875" tableBorderDxfId="2874">
  <autoFilter ref="M179:M180" xr:uid="{B4508721-BACA-4F9A-94CC-FC26931C3D75}"/>
  <tableColumns count="1">
    <tableColumn id="1" xr3:uid="{8279CDFA-7159-4719-8239-A9255129DED5}" name="Preparacion" dataDxfId="2873"/>
  </tableColumns>
  <tableStyleInfo showFirstColumn="0" showLastColumn="0" showRowStripes="1" showColumnStripes="0"/>
</table>
</file>

<file path=xl/tables/table7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8" xr:uid="{1314F4CE-FBEC-47F8-8929-913211D361C6}" name="Tabla461487182791797829861883892905930935957989" displayName="Tabla461487182791797829861883892905930935957989" ref="M190:M191" insertRow="1" totalsRowShown="0" headerRowDxfId="2872" dataDxfId="2871" tableBorderDxfId="2870">
  <autoFilter ref="M190:M191" xr:uid="{1314F4CE-FBEC-47F8-8929-913211D361C6}"/>
  <tableColumns count="1">
    <tableColumn id="1" xr3:uid="{48377C01-6D1B-4BBF-91F7-C319FA405818}" name="Preparacion" dataDxfId="2869"/>
  </tableColumns>
  <tableStyleInfo showFirstColumn="0" showLastColumn="0" showRowStripes="1" showColumnStripes="0"/>
</table>
</file>

<file path=xl/tables/table7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9" xr:uid="{5194B4C1-BDD7-428B-87B4-9DB5DE07A2DA}" name="Tabla461487182791797829861883892905930935957990" displayName="Tabla461487182791797829861883892905930935957990" ref="M201:M202" insertRow="1" totalsRowShown="0" headerRowDxfId="2868" dataDxfId="2867" tableBorderDxfId="2866">
  <autoFilter ref="M201:M202" xr:uid="{5194B4C1-BDD7-428B-87B4-9DB5DE07A2DA}"/>
  <tableColumns count="1">
    <tableColumn id="1" xr3:uid="{A940DB6A-647B-459D-97C9-FDAFE114C648}" name="Preparacion" dataDxfId="2865"/>
  </tableColumns>
  <tableStyleInfo showFirstColumn="0" showLastColumn="0" showRowStripes="1" showColumnStripes="0"/>
</table>
</file>

<file path=xl/tables/table7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0" xr:uid="{7E655A25-8B6F-4D62-BA34-A287310D5830}" name="Tabla461487182791797829861883892905930935957991" displayName="Tabla461487182791797829861883892905930935957991" ref="M212:M213" insertRow="1" totalsRowShown="0" headerRowDxfId="2864" dataDxfId="2863" tableBorderDxfId="2862">
  <autoFilter ref="M212:M213" xr:uid="{7E655A25-8B6F-4D62-BA34-A287310D5830}"/>
  <tableColumns count="1">
    <tableColumn id="1" xr3:uid="{F0B6D415-05F5-4246-A651-47F020229612}" name="Preparacion" dataDxfId="2861"/>
  </tableColumns>
  <tableStyleInfo showFirstColumn="0" showLastColumn="0" showRowStripes="1" showColumnStripes="0"/>
</table>
</file>

<file path=xl/tables/table7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1" xr:uid="{3929D66E-E6C2-4E77-9DDE-E589D891E412}" name="Tabla461487182791797829861883892905930935957992" displayName="Tabla461487182791797829861883892905930935957992" ref="M224:M225" insertRow="1" totalsRowShown="0" headerRowDxfId="2860" dataDxfId="2859" tableBorderDxfId="2858">
  <autoFilter ref="M224:M225" xr:uid="{3929D66E-E6C2-4E77-9DDE-E589D891E412}"/>
  <tableColumns count="1">
    <tableColumn id="1" xr3:uid="{9CD5C26A-DD9B-4495-9833-98471E69A9BA}" name="Preparacion" dataDxfId="2857"/>
  </tableColumns>
  <tableStyleInfo showFirstColumn="0" showLastColumn="0" showRowStripes="1" showColumnStripes="0"/>
</table>
</file>

<file path=xl/tables/table7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2" xr:uid="{3938424B-C2C4-495D-9BB2-2E744942AB57}" name="Tabla461487182791797829861883892905930935957993" displayName="Tabla461487182791797829861883892905930935957993" ref="M239:M240" insertRow="1" totalsRowShown="0" headerRowDxfId="2856" dataDxfId="2855" tableBorderDxfId="2854">
  <autoFilter ref="M239:M240" xr:uid="{3938424B-C2C4-495D-9BB2-2E744942AB57}"/>
  <tableColumns count="1">
    <tableColumn id="1" xr3:uid="{2D4B7E51-0A6C-44A4-B6D4-A61B69A16231}" name="Preparacion" dataDxfId="2853"/>
  </tableColumns>
  <tableStyleInfo showFirstColumn="0" showLastColumn="0" showRowStripes="1" showColumnStripes="0"/>
</table>
</file>

<file path=xl/tables/table7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3" xr:uid="{88E3B003-0A3C-405B-B633-E762927E4998}" name="Tabla461487182791797829861883892905930935957994" displayName="Tabla461487182791797829861883892905930935957994" ref="M250:M251" insertRow="1" totalsRowShown="0" headerRowDxfId="2852" dataDxfId="2851" tableBorderDxfId="2850">
  <autoFilter ref="M250:M251" xr:uid="{88E3B003-0A3C-405B-B633-E762927E4998}"/>
  <tableColumns count="1">
    <tableColumn id="1" xr3:uid="{1906331E-F489-45C2-A7A1-4D240139D2AE}" name="Preparacion" dataDxfId="2849"/>
  </tableColumns>
  <tableStyleInfo showFirstColumn="0" showLastColumn="0" showRowStripes="1" showColumnStripes="0"/>
</table>
</file>

<file path=xl/tables/table7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4" xr:uid="{29E0F239-1585-4B62-8684-59CAAD0DFB55}" name="Tabla461487182791797829861883892905930935957995" displayName="Tabla461487182791797829861883892905930935957995" ref="M264:M265" insertRow="1" totalsRowShown="0" headerRowDxfId="2848" dataDxfId="2847" tableBorderDxfId="2846">
  <autoFilter ref="M264:M265" xr:uid="{29E0F239-1585-4B62-8684-59CAAD0DFB55}"/>
  <tableColumns count="1">
    <tableColumn id="1" xr3:uid="{153DF086-B1AE-4E58-8CCB-A80E630626FE}" name="Preparacion" dataDxfId="2845"/>
  </tableColumns>
  <tableStyleInfo showFirstColumn="0" showLastColumn="0" showRowStripes="1" showColumnStripes="0"/>
</table>
</file>

<file path=xl/tables/table7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5" xr:uid="{BF51377B-7F3F-42A2-9EC1-7BA27515600D}" name="Tabla461487182791797829861883892905930935957996" displayName="Tabla461487182791797829861883892905930935957996" ref="M278:M279" insertRow="1" totalsRowShown="0" headerRowDxfId="2844" dataDxfId="2843" tableBorderDxfId="2842">
  <autoFilter ref="M278:M279" xr:uid="{BF51377B-7F3F-42A2-9EC1-7BA27515600D}"/>
  <tableColumns count="1">
    <tableColumn id="1" xr3:uid="{78621514-00DC-4DE6-A188-40A53A0C3107}" name="Preparacion" dataDxfId="2841"/>
  </tableColumns>
  <tableStyleInfo showFirstColumn="0" showLastColumn="0" showRowStripes="1" showColumnStripes="0"/>
</table>
</file>

<file path=xl/tables/table7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6" xr:uid="{849D9EAB-55D1-45C6-A5BB-C1B511B7AB69}" name="Tabla461487182791797829861883892905930935957997" displayName="Tabla461487182791797829861883892905930935957997" ref="M291:M292" insertRow="1" totalsRowShown="0" headerRowDxfId="2840" dataDxfId="2839" tableBorderDxfId="2838">
  <autoFilter ref="M291:M292" xr:uid="{849D9EAB-55D1-45C6-A5BB-C1B511B7AB69}"/>
  <tableColumns count="1">
    <tableColumn id="1" xr3:uid="{BCA65BDF-005A-45CC-8D95-4B98826DC643}" name="Preparacion" dataDxfId="2837"/>
  </tableColumns>
  <tableStyleInfo showFirstColumn="0" showLastColumn="0" showRowStripes="1" showColumnStripes="0"/>
</table>
</file>

<file path=xl/tables/table7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7" xr:uid="{6C9C35E8-8D1C-452E-9652-8086AFA3D0D3}" name="Tabla461487182791797829861883892905930935957998" displayName="Tabla461487182791797829861883892905930935957998" ref="M303:M304" insertRow="1" totalsRowShown="0" headerRowDxfId="2836" dataDxfId="2835" tableBorderDxfId="2834">
  <autoFilter ref="M303:M304" xr:uid="{6C9C35E8-8D1C-452E-9652-8086AFA3D0D3}"/>
  <tableColumns count="1">
    <tableColumn id="1" xr3:uid="{72E71E73-E071-4910-BB3A-90CB28A448B8}" name="Preparacion" dataDxfId="2833"/>
  </tableColumns>
  <tableStyleInfo showFirstColumn="0" showLastColumn="0" showRowStripes="1" showColumnStripes="0"/>
</table>
</file>

<file path=xl/tables/table7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8" xr:uid="{6D47EEB4-686A-42BE-918D-70F9457DD093}" name="Tabla461487182791797829861883892905930935957999" displayName="Tabla461487182791797829861883892905930935957999" ref="M316:M317" insertRow="1" totalsRowShown="0" headerRowDxfId="2832" dataDxfId="2831" tableBorderDxfId="2830">
  <autoFilter ref="M316:M317" xr:uid="{6D47EEB4-686A-42BE-918D-70F9457DD093}"/>
  <tableColumns count="1">
    <tableColumn id="1" xr3:uid="{8A0915C8-D898-41C8-BB81-0EB113792073}" name="Preparacion" dataDxfId="2829"/>
  </tableColumns>
  <tableStyleInfo showFirstColumn="0" showLastColumn="0" showRowStripes="1" showColumnStripes="0"/>
</table>
</file>

<file path=xl/tables/table7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9" xr:uid="{7E6F4678-FAC2-409E-868C-F8E17A3DE7C7}" name="Tabla4614871827917978298618838929059309359571000" displayName="Tabla4614871827917978298618838929059309359571000" ref="M329:M330" insertRow="1" totalsRowShown="0" headerRowDxfId="2828" dataDxfId="2827" tableBorderDxfId="2826">
  <autoFilter ref="M329:M330" xr:uid="{7E6F4678-FAC2-409E-868C-F8E17A3DE7C7}"/>
  <tableColumns count="1">
    <tableColumn id="1" xr3:uid="{91F1ECCC-0ADA-4418-97F9-842ECC71F3DD}" name="Preparacion" dataDxfId="2825"/>
  </tableColumns>
  <tableStyleInfo showFirstColumn="0" showLastColumn="0" showRowStripes="1" showColumnStripes="0"/>
</table>
</file>

<file path=xl/tables/table7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4" xr:uid="{BEDC4D12-2630-4283-B3C0-DE464F49E34A}" name="Tabla110345345445545647945586877869510811712713622823724627233260269297315" displayName="Tabla110345345445545647945586877869510811712713622823724627233260269297315" ref="B7:F9" totalsRowCount="1" headerRowDxfId="7974" dataDxfId="7972" totalsRowDxfId="7970" headerRowBorderDxfId="7973" tableBorderDxfId="7971" totalsRowBorderDxfId="7969">
  <autoFilter ref="B7:F8" xr:uid="{25E24D6A-940D-4437-B263-679AE371D044}"/>
  <sortState xmlns:xlrd2="http://schemas.microsoft.com/office/spreadsheetml/2017/richdata2" ref="B8:F8">
    <sortCondition descending="1" ref="F192:F208"/>
  </sortState>
  <tableColumns count="5">
    <tableColumn id="2" xr3:uid="{5B27734D-ABFD-4272-A663-FBB773D993DE}" name="Ingrediente" dataDxfId="7968" totalsRowDxfId="7967"/>
    <tableColumn id="3" xr3:uid="{23C8E628-379E-425B-88F5-4AA051485638}" name="Und" dataDxfId="7966" totalsRowDxfId="7965"/>
    <tableColumn id="4" xr3:uid="{296C9AA4-B8AA-4BCD-BC84-8967A8DDC19E}" name="Cant." dataDxfId="7964" totalsRowDxfId="7963"/>
    <tableColumn id="5" xr3:uid="{A58DE63D-70F1-4DC4-9B87-39738F9E4F19}" name="Costo" dataDxfId="7962" totalsRowDxfId="7961" dataCellStyle="Moneda">
      <calculatedColumnFormula>+VLOOKUP(Tabla110345345445545647945586877869510811712713622823724627233260269297315[[#This Row],[Ingrediente]],Tabla34[#All],3,0)</calculatedColumnFormula>
    </tableColumn>
    <tableColumn id="6" xr3:uid="{2642155C-4336-416E-AC82-C0CB6697ADF8}" name="Total costo" totalsRowFunction="sum" dataDxfId="7960" totalsRowDxfId="7959" dataCellStyle="Moneda">
      <calculatedColumnFormula>+Tabla110345345445545647945586877869510811712713622823724627233260269297315[[#This Row],[Costo]]*Tabla110345345445545647945586877869510811712713622823724627233260269297315[[#This Row],[Cant.]]</calculatedColumnFormula>
    </tableColumn>
  </tableColumns>
  <tableStyleInfo name="TableStyleLight8" showFirstColumn="0" showLastColumn="0" showRowStripes="1" showColumnStripes="0"/>
</table>
</file>

<file path=xl/tables/table7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2" xr:uid="{E7457CC7-7B25-483E-AC02-A78A41E5DE27}" name="Tabla110345345445545647945586877869510811712713622823724627233260269297315333" displayName="Tabla110345345445545647945586877869510811712713622823724627233260269297315333" ref="B18:F20" totalsRowCount="1" headerRowDxfId="7958" dataDxfId="7956" totalsRowDxfId="7954" headerRowBorderDxfId="7957" tableBorderDxfId="7955" totalsRowBorderDxfId="7953">
  <autoFilter ref="B18:F19" xr:uid="{E7457CC7-7B25-483E-AC02-A78A41E5DE27}"/>
  <sortState xmlns:xlrd2="http://schemas.microsoft.com/office/spreadsheetml/2017/richdata2" ref="B19:F19">
    <sortCondition descending="1" ref="F192:F208"/>
  </sortState>
  <tableColumns count="5">
    <tableColumn id="2" xr3:uid="{E42B72C7-0643-47AA-BA00-5D3928E57545}" name="Ingrediente" dataDxfId="7952" totalsRowDxfId="7951"/>
    <tableColumn id="3" xr3:uid="{B38CACA1-E8AE-4BF8-ACF9-C5661A9566EA}" name="Und" dataDxfId="7950" totalsRowDxfId="7949"/>
    <tableColumn id="4" xr3:uid="{68A7C3A6-EECE-4340-B89B-6EB5EA03F919}" name="Cant." dataDxfId="7948" totalsRowDxfId="7947"/>
    <tableColumn id="5" xr3:uid="{490BBCFD-9CC6-472E-92A3-D9F370528FF7}" name="Costo" dataDxfId="7946" totalsRowDxfId="7945" dataCellStyle="Moneda">
      <calculatedColumnFormula>+VLOOKUP(Tabla110345345445545647945586877869510811712713622823724627233260269297315333[[#This Row],[Ingrediente]],Tabla34[#All],3,0)</calculatedColumnFormula>
    </tableColumn>
    <tableColumn id="6" xr3:uid="{281DAAB3-5632-4364-B22C-CD39A768CED9}" name="Total costo" totalsRowFunction="sum" dataDxfId="7944" totalsRowDxfId="7943" dataCellStyle="Moneda">
      <calculatedColumnFormula>+Tabla110345345445545647945586877869510811712713622823724627233260269297315333[[#This Row],[Costo]]*Tabla110345345445545647945586877869510811712713622823724627233260269297315333[[#This Row],[Cant.]]</calculatedColumnFormula>
    </tableColumn>
  </tableColumns>
  <tableStyleInfo name="TableStyleLight8" showFirstColumn="0" showLastColumn="0" showRowStripes="1" showColumnStripes="0"/>
</table>
</file>

<file path=xl/tables/table7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4" xr:uid="{8F5C28CC-728D-494F-BE8B-33067AB3F7E6}" name="Tabla110345345445545647945586877869510811712713622823724627233260269297315335" displayName="Tabla110345345445545647945586877869510811712713622823724627233260269297315335" ref="B42:F44" totalsRowCount="1" headerRowDxfId="7942" dataDxfId="7940" totalsRowDxfId="7938" headerRowBorderDxfId="7941" tableBorderDxfId="7939" totalsRowBorderDxfId="7937">
  <autoFilter ref="B42:F43" xr:uid="{8F5C28CC-728D-494F-BE8B-33067AB3F7E6}"/>
  <sortState xmlns:xlrd2="http://schemas.microsoft.com/office/spreadsheetml/2017/richdata2" ref="B43:F43">
    <sortCondition descending="1" ref="F204:F220"/>
  </sortState>
  <tableColumns count="5">
    <tableColumn id="2" xr3:uid="{2B24A2F7-9A5B-43A4-AD96-E7E326486172}" name="Ingrediente" dataDxfId="7936" totalsRowDxfId="7935"/>
    <tableColumn id="3" xr3:uid="{2CADBCDC-6B2A-48C3-A868-C64FAFB522AB}" name="Und" dataDxfId="7934" totalsRowDxfId="7933"/>
    <tableColumn id="4" xr3:uid="{4BBC67A8-6FCC-4A38-9079-04B67BF66CAE}" name="Cant." dataDxfId="7932" totalsRowDxfId="7931"/>
    <tableColumn id="5" xr3:uid="{CD60A428-79D8-44D9-A6DB-5F8095AAD43B}" name="Costo" dataDxfId="7930" totalsRowDxfId="7929" dataCellStyle="Moneda">
      <calculatedColumnFormula>+VLOOKUP(Tabla110345345445545647945586877869510811712713622823724627233260269297315335[[#This Row],[Ingrediente]],Tabla34[#All],3,0)</calculatedColumnFormula>
    </tableColumn>
    <tableColumn id="6" xr3:uid="{08F1BF72-4C91-4FC1-B3C4-583C9079D8AC}" name="Total costo" totalsRowFunction="sum" dataDxfId="7928" totalsRowDxfId="7927" dataCellStyle="Moneda">
      <calculatedColumnFormula>+Tabla110345345445545647945586877869510811712713622823724627233260269297315335[[#This Row],[Costo]]*Tabla110345345445545647945586877869510811712713622823724627233260269297315335[[#This Row],[Cant.]]</calculatedColumnFormula>
    </tableColumn>
  </tableColumns>
  <tableStyleInfo name="TableStyleLight8" showFirstColumn="0" showLastColumn="0" showRowStripes="1" showColumnStripes="0"/>
</table>
</file>

<file path=xl/tables/table8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6" xr:uid="{D660524B-CB14-4310-9B54-CF65D6923B19}" name="Tabla110345345445545647945586877869510811712713622823724627233260269297315337" displayName="Tabla110345345445545647945586877869510811712713622823724627233260269297315337" ref="B54:F56" totalsRowCount="1" headerRowDxfId="7926" dataDxfId="7924" totalsRowDxfId="7922" headerRowBorderDxfId="7925" tableBorderDxfId="7923" totalsRowBorderDxfId="7921">
  <autoFilter ref="B54:F55" xr:uid="{D660524B-CB14-4310-9B54-CF65D6923B19}"/>
  <sortState xmlns:xlrd2="http://schemas.microsoft.com/office/spreadsheetml/2017/richdata2" ref="B55:F55">
    <sortCondition descending="1" ref="F204:F220"/>
  </sortState>
  <tableColumns count="5">
    <tableColumn id="2" xr3:uid="{8CAEC8D7-D6D7-42C5-B00D-B97DE5668D4A}" name="Ingrediente" dataDxfId="7920" totalsRowDxfId="7919"/>
    <tableColumn id="3" xr3:uid="{F2B2EA2A-EE3B-4E1B-B29D-FA381F145519}" name="Und" dataDxfId="7918" totalsRowDxfId="7917"/>
    <tableColumn id="4" xr3:uid="{140E16E8-12BC-4617-9B44-60EEBFC0A52A}" name="Cant." dataDxfId="7916" totalsRowDxfId="7915"/>
    <tableColumn id="5" xr3:uid="{C9E67A8C-CB74-4F37-A197-28F7036AED2A}" name="Costo" dataDxfId="7914" totalsRowDxfId="7913" dataCellStyle="Moneda">
      <calculatedColumnFormula>+VLOOKUP(Tabla110345345445545647945586877869510811712713622823724627233260269297315337[[#This Row],[Ingrediente]],Tabla34[#All],3,0)</calculatedColumnFormula>
    </tableColumn>
    <tableColumn id="6" xr3:uid="{6CE302CD-9685-4F8D-BB81-E2F7D229488A}" name="Total costo" totalsRowFunction="sum" dataDxfId="7912" totalsRowDxfId="7911" dataCellStyle="Moneda">
      <calculatedColumnFormula>+Tabla110345345445545647945586877869510811712713622823724627233260269297315337[[#This Row],[Costo]]*Tabla110345345445545647945586877869510811712713622823724627233260269297315337[[#This Row],[Cant.]]</calculatedColumnFormula>
    </tableColumn>
  </tableColumns>
  <tableStyleInfo name="TableStyleLight8" showFirstColumn="0" showLastColumn="0" showRowStripes="1" showColumnStripes="0"/>
</table>
</file>

<file path=xl/tables/table8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8" xr:uid="{8141EC44-AD55-4985-A013-195FD74EA4B9}" name="Tabla110345345445545647945586877869510811712713622823724627233260269297315339" displayName="Tabla110345345445545647945586877869510811712713622823724627233260269297315339" ref="B65:F67" totalsRowCount="1" headerRowDxfId="7910" dataDxfId="7908" totalsRowDxfId="7906" headerRowBorderDxfId="7909" tableBorderDxfId="7907" totalsRowBorderDxfId="7905">
  <autoFilter ref="B65:F66" xr:uid="{8141EC44-AD55-4985-A013-195FD74EA4B9}"/>
  <sortState xmlns:xlrd2="http://schemas.microsoft.com/office/spreadsheetml/2017/richdata2" ref="B66:F66">
    <sortCondition descending="1" ref="F204:F220"/>
  </sortState>
  <tableColumns count="5">
    <tableColumn id="2" xr3:uid="{0FD9FFDD-BACD-4621-814B-E929E307C42E}" name="Ingrediente" dataDxfId="7904" totalsRowDxfId="7903"/>
    <tableColumn id="3" xr3:uid="{3E8628DF-5222-4D36-BB0C-63088485B822}" name="Und" dataDxfId="7902" totalsRowDxfId="7901"/>
    <tableColumn id="4" xr3:uid="{6F1AAB7B-2527-481D-94A0-1F326859B09B}" name="Cant." dataDxfId="7900" totalsRowDxfId="7899"/>
    <tableColumn id="5" xr3:uid="{925CD9F7-BE74-432D-9582-A147EC94EC24}" name="Costo" dataDxfId="7898" totalsRowDxfId="7897" dataCellStyle="Moneda">
      <calculatedColumnFormula>+VLOOKUP(Tabla110345345445545647945586877869510811712713622823724627233260269297315339[[#This Row],[Ingrediente]],Tabla34[#All],3,0)</calculatedColumnFormula>
    </tableColumn>
    <tableColumn id="6" xr3:uid="{CBB95723-950C-4BF4-AA85-10D576BECA87}" name="Total costo" totalsRowFunction="sum" dataDxfId="7896" totalsRowDxfId="7895" dataCellStyle="Moneda">
      <calculatedColumnFormula>+Tabla110345345445545647945586877869510811712713622823724627233260269297315339[[#This Row],[Costo]]*Tabla110345345445545647945586877869510811712713622823724627233260269297315339[[#This Row],[Cant.]]</calculatedColumnFormula>
    </tableColumn>
  </tableColumns>
  <tableStyleInfo name="TableStyleLight8" showFirstColumn="0" showLastColumn="0" showRowStripes="1" showColumnStripes="0"/>
</table>
</file>

<file path=xl/tables/table8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0" xr:uid="{DF1245C2-8C50-45AA-A968-D0204C8A09AD}" name="Tabla110345345445545647945586877869510811712713622823724627233260269297315341" displayName="Tabla110345345445545647945586877869510811712713622823724627233260269297315341" ref="B77:F79" totalsRowCount="1" headerRowDxfId="7894" dataDxfId="7892" totalsRowDxfId="7890" headerRowBorderDxfId="7893" tableBorderDxfId="7891" totalsRowBorderDxfId="7889">
  <autoFilter ref="B77:F78" xr:uid="{DF1245C2-8C50-45AA-A968-D0204C8A09AD}"/>
  <sortState xmlns:xlrd2="http://schemas.microsoft.com/office/spreadsheetml/2017/richdata2" ref="B78:F78">
    <sortCondition descending="1" ref="F204:F220"/>
  </sortState>
  <tableColumns count="5">
    <tableColumn id="2" xr3:uid="{14DC0824-90BC-49B0-A12F-925B7FBFA410}" name="Ingrediente" dataDxfId="7888" totalsRowDxfId="7887"/>
    <tableColumn id="3" xr3:uid="{72FDD881-D1F9-4F48-BF8F-DDE9B7286DCB}" name="Und" dataDxfId="7886" totalsRowDxfId="7885"/>
    <tableColumn id="4" xr3:uid="{4C05193B-B89C-4C30-90AC-9878AF2D7A82}" name="Cant." dataDxfId="7884" totalsRowDxfId="7883"/>
    <tableColumn id="5" xr3:uid="{73F5918D-02D1-41D2-B472-CBFBEC78AA70}" name="Costo" dataDxfId="7882" totalsRowDxfId="7881" dataCellStyle="Moneda">
      <calculatedColumnFormula>+VLOOKUP(Tabla110345345445545647945586877869510811712713622823724627233260269297315341[[#This Row],[Ingrediente]],Tabla34[#All],3,0)</calculatedColumnFormula>
    </tableColumn>
    <tableColumn id="6" xr3:uid="{3CF67B09-740C-44A9-B0DE-786A1BBF6332}" name="Total costo" totalsRowFunction="sum" dataDxfId="7880" totalsRowDxfId="7879" dataCellStyle="Moneda">
      <calculatedColumnFormula>+Tabla110345345445545647945586877869510811712713622823724627233260269297315341[[#This Row],[Costo]]*Tabla110345345445545647945586877869510811712713622823724627233260269297315341[[#This Row],[Cant.]]</calculatedColumnFormula>
    </tableColumn>
  </tableColumns>
  <tableStyleInfo name="TableStyleLight8" showFirstColumn="0" showLastColumn="0" showRowStripes="1" showColumnStripes="0"/>
</table>
</file>

<file path=xl/tables/table8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4" xr:uid="{574B2F60-3FC2-4C44-AADA-89CBF579251A}" name="Tabla110345345445545647945586877869510811712713622823724627233260269297315337345" displayName="Tabla110345345445545647945586877869510811712713622823724627233260269297315337345" ref="B29:F31" totalsRowCount="1" headerRowDxfId="7878" dataDxfId="7876" totalsRowDxfId="7874" headerRowBorderDxfId="7877" tableBorderDxfId="7875" totalsRowBorderDxfId="7873">
  <autoFilter ref="B29:F30" xr:uid="{574B2F60-3FC2-4C44-AADA-89CBF579251A}"/>
  <sortState xmlns:xlrd2="http://schemas.microsoft.com/office/spreadsheetml/2017/richdata2" ref="B30:F30">
    <sortCondition descending="1" ref="F204:F220"/>
  </sortState>
  <tableColumns count="5">
    <tableColumn id="2" xr3:uid="{E04AF883-1DD8-4E12-8EA5-0C282F091B43}" name="Ingrediente" dataDxfId="7872" totalsRowDxfId="7871"/>
    <tableColumn id="3" xr3:uid="{5F1E0358-F54F-44BD-9878-E46824A57305}" name="Und" dataDxfId="7870" totalsRowDxfId="7869"/>
    <tableColumn id="4" xr3:uid="{C05D6AD7-252C-49D2-9FFF-AE0A3A51AB5C}" name="Cant." dataDxfId="7868" totalsRowDxfId="7867"/>
    <tableColumn id="5" xr3:uid="{B894E9EC-EE8C-4BC8-98D5-D8B89E5FAE48}" name="Costo" dataDxfId="7866" totalsRowDxfId="7865" dataCellStyle="Moneda">
      <calculatedColumnFormula>+VLOOKUP(Tabla110345345445545647945586877869510811712713622823724627233260269297315337345[[#This Row],[Ingrediente]],Tabla34[#All],3,0)</calculatedColumnFormula>
    </tableColumn>
    <tableColumn id="6" xr3:uid="{26A030D4-66B4-404A-8C93-748788797ECC}" name="Total costo" totalsRowFunction="sum" dataDxfId="7864" totalsRowDxfId="7863" dataCellStyle="Moneda">
      <calculatedColumnFormula>+Tabla110345345445545647945586877869510811712713622823724627233260269297315337345[[#This Row],[Costo]]*Tabla110345345445545647945586877869510811712713622823724627233260269297315337345[[#This Row],[Cant.]]</calculatedColumnFormula>
    </tableColumn>
  </tableColumns>
  <tableStyleInfo name="TableStyleLight8" showFirstColumn="0" showLastColumn="0" showRowStripes="1" showColumnStripes="0"/>
</table>
</file>

<file path=xl/tables/table8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2014C3C-DB16-4484-9150-5D60643C9A30}" name="Tabla110345345445545647945586877869510811712713622823724627233260269297315343127" displayName="Tabla110345345445545647945586877869510811712713622823724627233260269297315343127" ref="B90:F92" totalsRowCount="1" headerRowDxfId="7862" dataDxfId="7860" totalsRowDxfId="7858" headerRowBorderDxfId="7861" tableBorderDxfId="7859" totalsRowBorderDxfId="7857">
  <autoFilter ref="B90:F91" xr:uid="{72014C3C-DB16-4484-9150-5D60643C9A30}"/>
  <sortState xmlns:xlrd2="http://schemas.microsoft.com/office/spreadsheetml/2017/richdata2" ref="B91:F91">
    <sortCondition descending="1" ref="F193:F209"/>
  </sortState>
  <tableColumns count="5">
    <tableColumn id="2" xr3:uid="{2ABF0536-60AA-4173-8EF3-356323D214C2}" name="Ingrediente" dataDxfId="7856" totalsRowDxfId="7855"/>
    <tableColumn id="3" xr3:uid="{B1FD8A1B-0354-487C-974E-8DA09EC3DFA9}" name="Und" dataDxfId="7854" totalsRowDxfId="7853"/>
    <tableColumn id="4" xr3:uid="{D87F5036-3EBF-4D2D-99D1-C1AA325C49B0}" name="Cant." dataDxfId="7852" totalsRowDxfId="7851"/>
    <tableColumn id="5" xr3:uid="{DBF08A76-71E8-4BFF-BC54-A5F1D7EA1947}" name="Costo" dataDxfId="7850" totalsRowDxfId="7849" dataCellStyle="Moneda">
      <calculatedColumnFormula>+VLOOKUP(Tabla110345345445545647945586877869510811712713622823724627233260269297315343127[[#This Row],[Ingrediente]],Tabla34[#All],3,0)</calculatedColumnFormula>
    </tableColumn>
    <tableColumn id="6" xr3:uid="{EAAA0D6C-7201-4B76-9A7D-A3C89A014B28}" name="Total costo" totalsRowFunction="sum" dataDxfId="7848" totalsRowDxfId="7847" dataCellStyle="Moneda">
      <calculatedColumnFormula>+Tabla110345345445545647945586877869510811712713622823724627233260269297315343127[[#This Row],[Costo]]*Tabla110345345445545647945586877869510811712713622823724627233260269297315343127[[#This Row],[Cant.]]</calculatedColumnFormula>
    </tableColumn>
  </tableColumns>
  <tableStyleInfo name="TableStyleLight8" showFirstColumn="0" showLastColumn="0" showRowStripes="1" showColumnStripes="0"/>
</table>
</file>

<file path=xl/tables/table8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8487B5B0-7ABA-4E2C-B7D5-D35988554285}" name="Tabla110345345445545647945586877869510811712713622823724627233260269297315343127146" displayName="Tabla110345345445545647945586877869510811712713622823724627233260269297315343127146" ref="B105:F107" totalsRowCount="1" headerRowDxfId="7846" dataDxfId="7844" totalsRowDxfId="7842" headerRowBorderDxfId="7845" tableBorderDxfId="7843" totalsRowBorderDxfId="7841">
  <autoFilter ref="B105:F106" xr:uid="{8487B5B0-7ABA-4E2C-B7D5-D35988554285}"/>
  <sortState xmlns:xlrd2="http://schemas.microsoft.com/office/spreadsheetml/2017/richdata2" ref="B106:F106">
    <sortCondition descending="1" ref="F193:F209"/>
  </sortState>
  <tableColumns count="5">
    <tableColumn id="2" xr3:uid="{FDF97B3A-1BE5-42EC-8330-705C72FB34C6}" name="Ingrediente" dataDxfId="7840" totalsRowDxfId="7839"/>
    <tableColumn id="3" xr3:uid="{CCF3EF8E-93B1-4D77-85FC-B0B0E19753EE}" name="Und" dataDxfId="7838" totalsRowDxfId="7837"/>
    <tableColumn id="4" xr3:uid="{3F251763-DBDF-48AB-8437-03846204EEEE}" name="Cant." dataDxfId="7836" totalsRowDxfId="7835"/>
    <tableColumn id="5" xr3:uid="{F4FCE6E6-5869-4385-85E6-98474A6EE167}" name="Costo" dataDxfId="7834" totalsRowDxfId="7833" dataCellStyle="Moneda">
      <calculatedColumnFormula>+VLOOKUP(Tabla110345345445545647945586877869510811712713622823724627233260269297315343127146[[#This Row],[Ingrediente]],Tabla34[#All],3,0)</calculatedColumnFormula>
    </tableColumn>
    <tableColumn id="6" xr3:uid="{18974AC7-4CFD-4514-B2D3-7BA3A64F2CC6}" name="Total costo" totalsRowFunction="sum" dataDxfId="7832" totalsRowDxfId="7831" dataCellStyle="Moneda">
      <calculatedColumnFormula>+Tabla110345345445545647945586877869510811712713622823724627233260269297315343127146[[#This Row],[Costo]]*Tabla110345345445545647945586877869510811712713622823724627233260269297315343127146[[#This Row],[Cant.]]</calculatedColumnFormula>
    </tableColumn>
  </tableColumns>
  <tableStyleInfo name="TableStyleLight8" showFirstColumn="0" showLastColumn="0" showRowStripes="1" showColumnStripes="0"/>
</table>
</file>

<file path=xl/tables/table8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536F6AA-B5EE-4FC5-9382-A842625C0E5B}" name="Tabla110345345445545647945586877869510811712713622823724627233260269297315343127146150" displayName="Tabla110345345445545647945586877869510811712713622823724627233260269297315343127146150" ref="B119:F121" totalsRowCount="1" headerRowDxfId="7830" dataDxfId="7828" totalsRowDxfId="7826" headerRowBorderDxfId="7829" tableBorderDxfId="7827" totalsRowBorderDxfId="7825">
  <autoFilter ref="B119:F120" xr:uid="{7536F6AA-B5EE-4FC5-9382-A842625C0E5B}"/>
  <sortState xmlns:xlrd2="http://schemas.microsoft.com/office/spreadsheetml/2017/richdata2" ref="B120:F120">
    <sortCondition descending="1" ref="F182:F198"/>
  </sortState>
  <tableColumns count="5">
    <tableColumn id="2" xr3:uid="{93AF5FC2-6794-45DE-90DC-DC3F2C3C8FE1}" name="Ingrediente" dataDxfId="7824" totalsRowDxfId="7823"/>
    <tableColumn id="3" xr3:uid="{11293CF1-24C8-400C-8696-B3DE8B66FB63}" name="Und" dataDxfId="7822" totalsRowDxfId="7821"/>
    <tableColumn id="4" xr3:uid="{51943C6C-21A8-47F2-8FE0-6C22013B0EC8}" name="Cant." dataDxfId="7820" totalsRowDxfId="7819"/>
    <tableColumn id="5" xr3:uid="{9C57DEA6-3CD3-4FA2-AC40-C34D187D8308}" name="Costo" dataDxfId="7818" totalsRowDxfId="7817" dataCellStyle="Moneda">
      <calculatedColumnFormula>+VLOOKUP(Tabla110345345445545647945586877869510811712713622823724627233260269297315343127146150[[#This Row],[Ingrediente]],Tabla34[#All],3,0)</calculatedColumnFormula>
    </tableColumn>
    <tableColumn id="6" xr3:uid="{855C7C33-017D-4685-A173-9A950694366A}" name="Total costo" totalsRowFunction="sum" dataDxfId="7816" totalsRowDxfId="7815" dataCellStyle="Moneda">
      <calculatedColumnFormula>+Tabla110345345445545647945586877869510811712713622823724627233260269297315343127146150[[#This Row],[Costo]]*Tabla110345345445545647945586877869510811712713622823724627233260269297315343127146150[[#This Row],[Cant.]]</calculatedColumnFormula>
    </tableColumn>
  </tableColumns>
  <tableStyleInfo name="TableStyleLight8" showFirstColumn="0" showLastColumn="0" showRowStripes="1" showColumnStripes="0"/>
</table>
</file>

<file path=xl/tables/table8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85BA4D2A-73BB-41C0-AD1D-F2182E40F08D}" name="Tabla110345345445545647945586877869510811712713622823724627233260269297315332199" displayName="Tabla110345345445545647945586877869510811712713622823724627233260269297315332199" ref="B132:F134" totalsRowCount="1" headerRowDxfId="7814" dataDxfId="7812" totalsRowDxfId="7810" headerRowBorderDxfId="7813" tableBorderDxfId="7811" totalsRowBorderDxfId="7809">
  <autoFilter ref="B132:F133" xr:uid="{85BA4D2A-73BB-41C0-AD1D-F2182E40F08D}"/>
  <sortState xmlns:xlrd2="http://schemas.microsoft.com/office/spreadsheetml/2017/richdata2" ref="B133:F133">
    <sortCondition descending="1" ref="F192:F208"/>
  </sortState>
  <tableColumns count="5">
    <tableColumn id="2" xr3:uid="{2CF96CFA-02F7-464A-8AB4-D825B6B2CD85}" name="Ingrediente" dataDxfId="7808" totalsRowDxfId="7807"/>
    <tableColumn id="3" xr3:uid="{F9C34659-7669-4B75-980F-D1B04E63B05F}" name="Und" dataDxfId="7806" totalsRowDxfId="7805"/>
    <tableColumn id="4" xr3:uid="{48A105EE-1B5C-46AF-81A5-8B5222845F30}" name="Cant." dataDxfId="7804" totalsRowDxfId="7803"/>
    <tableColumn id="5" xr3:uid="{243AC42A-A6E8-46C9-8CFA-B134BD1C0444}" name="Costo" dataDxfId="7802" totalsRowDxfId="7801" dataCellStyle="Moneda">
      <calculatedColumnFormula>+VLOOKUP(Tabla110345345445545647945586877869510811712713622823724627233260269297315332199[[#This Row],[Ingrediente]],Tabla34[#All],3,0)</calculatedColumnFormula>
    </tableColumn>
    <tableColumn id="6" xr3:uid="{3795A7DA-AC3F-4007-A4EC-3A50F5C0E08F}" name="Total costo" totalsRowFunction="sum" dataDxfId="7800" totalsRowDxfId="7799" dataCellStyle="Moneda">
      <calculatedColumnFormula>+Tabla110345345445545647945586877869510811712713622823724627233260269297315332199[[#This Row],[Costo]]*Tabla110345345445545647945586877869510811712713622823724627233260269297315332199[[#This Row],[Cant.]]</calculatedColumnFormula>
    </tableColumn>
  </tableColumns>
  <tableStyleInfo name="TableStyleLight8" showFirstColumn="0" showLastColumn="0" showRowStripes="1" showColumnStripes="0"/>
</table>
</file>

<file path=xl/tables/table8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7DE9B362-6BA4-40C8-9578-EA2A897B36D7}" name="Tabla110345345445545647945586877869510811712713622823724627233260269297315332334200" displayName="Tabla110345345445545647945586877869510811712713622823724627233260269297315332334200" ref="B143:F145" totalsRowCount="1" headerRowDxfId="7798" dataDxfId="7796" totalsRowDxfId="7794" headerRowBorderDxfId="7797" tableBorderDxfId="7795" totalsRowBorderDxfId="7793">
  <autoFilter ref="B143:F144" xr:uid="{7DE9B362-6BA4-40C8-9578-EA2A897B36D7}"/>
  <sortState xmlns:xlrd2="http://schemas.microsoft.com/office/spreadsheetml/2017/richdata2" ref="B144:F144">
    <sortCondition descending="1" ref="F192:F208"/>
  </sortState>
  <tableColumns count="5">
    <tableColumn id="2" xr3:uid="{E228C395-F5B7-4AEF-9200-97CC37922424}" name="Ingrediente" dataDxfId="7792" totalsRowDxfId="7791"/>
    <tableColumn id="3" xr3:uid="{0803FFB2-19D7-438B-9C49-14132645DD7B}" name="Und" dataDxfId="7790" totalsRowDxfId="7789"/>
    <tableColumn id="4" xr3:uid="{83E290E1-8E28-4617-8BF4-FAA3436226C1}" name="Cant." dataDxfId="7788" totalsRowDxfId="7787"/>
    <tableColumn id="5" xr3:uid="{23F6E916-58B9-41A2-B518-8C6FE9E50D39}" name="Costo" dataDxfId="7786" totalsRowDxfId="7785" dataCellStyle="Moneda">
      <calculatedColumnFormula>+VLOOKUP(Tabla110345345445545647945586877869510811712713622823724627233260269297315332334200[[#This Row],[Ingrediente]],Tabla34[#All],3,0)</calculatedColumnFormula>
    </tableColumn>
    <tableColumn id="6" xr3:uid="{A319BE06-D92E-41E5-B264-688D0AB9E09F}" name="Total costo" totalsRowFunction="sum" dataDxfId="7784" totalsRowDxfId="7783" dataCellStyle="Moneda">
      <calculatedColumnFormula>+Tabla110345345445545647945586877869510811712713622823724627233260269297315332334200[[#This Row],[Costo]]*Tabla110345345445545647945586877869510811712713622823724627233260269297315332334200[[#This Row],[Cant.]]</calculatedColumnFormula>
    </tableColumn>
  </tableColumns>
  <tableStyleInfo name="TableStyleLight8" showFirstColumn="0" showLastColumn="0" showRowStripes="1" showColumnStripes="0"/>
</table>
</file>

<file path=xl/tables/table8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A5E53147-A25C-4F9F-9B74-6D3E631BFF97}" name="Tabla110345345445545647945586877869510811712713622823724627233260269297315332336201" displayName="Tabla110345345445545647945586877869510811712713622823724627233260269297315332336201" ref="B167:F169" totalsRowCount="1" headerRowDxfId="7782" dataDxfId="7780" totalsRowDxfId="7778" headerRowBorderDxfId="7781" tableBorderDxfId="7779" totalsRowBorderDxfId="7777">
  <autoFilter ref="B167:F168" xr:uid="{A5E53147-A25C-4F9F-9B74-6D3E631BFF97}"/>
  <sortState xmlns:xlrd2="http://schemas.microsoft.com/office/spreadsheetml/2017/richdata2" ref="B168:F168">
    <sortCondition descending="1" ref="F204:F220"/>
  </sortState>
  <tableColumns count="5">
    <tableColumn id="2" xr3:uid="{63575942-FF10-4A63-BD0B-1B1B45667663}" name="Ingrediente" dataDxfId="7776" totalsRowDxfId="7775"/>
    <tableColumn id="3" xr3:uid="{09044650-034B-4FFB-BC61-8017ACF28E9F}" name="Und" dataDxfId="7774" totalsRowDxfId="7773"/>
    <tableColumn id="4" xr3:uid="{7B453460-AC86-438C-9E5A-6B9BB716D7EE}" name="Cant." dataDxfId="7772" totalsRowDxfId="7771"/>
    <tableColumn id="5" xr3:uid="{412DD203-9372-46E5-9937-2D57BBD7B50E}" name="Costo" dataDxfId="7770" totalsRowDxfId="7769" dataCellStyle="Moneda">
      <calculatedColumnFormula>+VLOOKUP(Tabla110345345445545647945586877869510811712713622823724627233260269297315332336201[[#This Row],[Ingrediente]],Tabla34[#All],3,0)</calculatedColumnFormula>
    </tableColumn>
    <tableColumn id="6" xr3:uid="{44ADF26B-140A-4D90-ACD1-952F84703AB6}" name="Total costo" totalsRowFunction="sum" dataDxfId="7768" totalsRowDxfId="7767" dataCellStyle="Moneda">
      <calculatedColumnFormula>+Tabla110345345445545647945586877869510811712713622823724627233260269297315332336201[[#This Row],[Costo]]*Tabla110345345445545647945586877869510811712713622823724627233260269297315332336201[[#This Row],[Cant.]]</calculatedColumnFormula>
    </tableColumn>
  </tableColumns>
  <tableStyleInfo name="TableStyleLight8" showFirstColumn="0" showLastColumn="0" showRowStripes="1" showColumnStripes="0"/>
</table>
</file>

<file path=xl/tables/table8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1C6A3BF4-CB0B-4C19-BA59-EAF30B0AD248}" name="Tabla110345345445545647945586877869510811712713622823724627233260269297315332338202" displayName="Tabla110345345445545647945586877869510811712713622823724627233260269297315332338202" ref="B179:F181" totalsRowCount="1" headerRowDxfId="7766" dataDxfId="7764" totalsRowDxfId="7762" headerRowBorderDxfId="7765" tableBorderDxfId="7763" totalsRowBorderDxfId="7761">
  <autoFilter ref="B179:F180" xr:uid="{1C6A3BF4-CB0B-4C19-BA59-EAF30B0AD248}"/>
  <sortState xmlns:xlrd2="http://schemas.microsoft.com/office/spreadsheetml/2017/richdata2" ref="B180:F180">
    <sortCondition descending="1" ref="F204:F220"/>
  </sortState>
  <tableColumns count="5">
    <tableColumn id="2" xr3:uid="{A8D715DF-CE41-4B8F-9EEC-E43FFD7BBD58}" name="Ingrediente" dataDxfId="7760" totalsRowDxfId="7759"/>
    <tableColumn id="3" xr3:uid="{A32822CF-9C44-4B51-825F-E1B914000B3B}" name="Und" dataDxfId="7758" totalsRowDxfId="7757"/>
    <tableColumn id="4" xr3:uid="{B46F34F6-E93B-4D54-9E55-73D4ADCE20BA}" name="Cant." dataDxfId="7756" totalsRowDxfId="7755"/>
    <tableColumn id="5" xr3:uid="{B74BDA12-B4E4-4D42-8265-1D4B43F65466}" name="Costo" dataDxfId="7754" totalsRowDxfId="7753" dataCellStyle="Moneda">
      <calculatedColumnFormula>+VLOOKUP(Tabla110345345445545647945586877869510811712713622823724627233260269297315332338202[[#This Row],[Ingrediente]],Tabla34[#All],3,0)</calculatedColumnFormula>
    </tableColumn>
    <tableColumn id="6" xr3:uid="{BD9B1FE5-C765-4A31-B525-AAFB242D0BD6}" name="Total costo" totalsRowFunction="sum" dataDxfId="7752" totalsRowDxfId="7751" dataCellStyle="Moneda">
      <calculatedColumnFormula>+Tabla110345345445545647945586877869510811712713622823724627233260269297315332338202[[#This Row],[Costo]]*Tabla110345345445545647945586877869510811712713622823724627233260269297315332338202[[#This Row],[Cant.]]</calculatedColumnFormula>
    </tableColumn>
  </tableColumns>
  <tableStyleInfo name="TableStyleLight8" showFirstColumn="0" showLastColumn="0" showRowStripes="1" showColumnStripes="0"/>
</table>
</file>

<file path=xl/tables/table8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CDE07CC1-DB7B-4D0D-8D9D-C6EF6A06B503}" name="Tabla110345345445545647945586877869510811712713622823724627233260269297315332340203" displayName="Tabla110345345445545647945586877869510811712713622823724627233260269297315332340203" ref="B190:F192" totalsRowCount="1" headerRowDxfId="7750" dataDxfId="7748" totalsRowDxfId="7746" headerRowBorderDxfId="7749" tableBorderDxfId="7747" totalsRowBorderDxfId="7745">
  <autoFilter ref="B190:F191" xr:uid="{CDE07CC1-DB7B-4D0D-8D9D-C6EF6A06B503}"/>
  <sortState xmlns:xlrd2="http://schemas.microsoft.com/office/spreadsheetml/2017/richdata2" ref="B191:F191">
    <sortCondition descending="1" ref="F204:F220"/>
  </sortState>
  <tableColumns count="5">
    <tableColumn id="2" xr3:uid="{664F00E4-D9D7-41E4-88D9-05AB87134D9D}" name="Ingrediente" dataDxfId="7744" totalsRowDxfId="7743"/>
    <tableColumn id="3" xr3:uid="{F56AF621-0805-4E5E-827E-92047F8D64FF}" name="Und" dataDxfId="7742" totalsRowDxfId="7741"/>
    <tableColumn id="4" xr3:uid="{DABE9626-C1B8-4CB7-AA60-5629B6629EB2}" name="Cant." dataDxfId="7740" totalsRowDxfId="7739"/>
    <tableColumn id="5" xr3:uid="{1DEB34C9-160D-419B-B2AC-C61044C339B0}" name="Costo" dataDxfId="7738" totalsRowDxfId="7737" dataCellStyle="Moneda">
      <calculatedColumnFormula>+VLOOKUP(Tabla110345345445545647945586877869510811712713622823724627233260269297315332340203[[#This Row],[Ingrediente]],Tabla34[#All],3,0)</calculatedColumnFormula>
    </tableColumn>
    <tableColumn id="6" xr3:uid="{E2205931-AFAC-41F5-9150-B32AFABAB0AA}" name="Total costo" totalsRowFunction="sum" dataDxfId="7736" totalsRowDxfId="7735" dataCellStyle="Moneda">
      <calculatedColumnFormula>+Tabla110345345445545647945586877869510811712713622823724627233260269297315332340203[[#This Row],[Costo]]*Tabla110345345445545647945586877869510811712713622823724627233260269297315332340203[[#This Row],[Cant.]]</calculatedColumnFormula>
    </tableColumn>
  </tableColumns>
  <tableStyleInfo name="TableStyleLight8" showFirstColumn="0" showLastColumn="0" showRowStripes="1" showColumnStripes="0"/>
</table>
</file>

<file path=xl/tables/table8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E1E5A558-8BC0-40E1-A8EF-F1A9B3FCF98D}" name="Tabla110345345445545647945586877869510811712713622823724627233260269297315332342204" displayName="Tabla110345345445545647945586877869510811712713622823724627233260269297315332342204" ref="B202:F204" totalsRowCount="1" headerRowDxfId="7734" dataDxfId="7732" totalsRowDxfId="7730" headerRowBorderDxfId="7733" tableBorderDxfId="7731" totalsRowBorderDxfId="7729">
  <autoFilter ref="B202:F203" xr:uid="{E1E5A558-8BC0-40E1-A8EF-F1A9B3FCF98D}"/>
  <sortState xmlns:xlrd2="http://schemas.microsoft.com/office/spreadsheetml/2017/richdata2" ref="B203:F203">
    <sortCondition descending="1" ref="F204:F220"/>
  </sortState>
  <tableColumns count="5">
    <tableColumn id="2" xr3:uid="{C3F68880-D861-4108-904E-2721C359976D}" name="Ingrediente" dataDxfId="7728" totalsRowDxfId="7727"/>
    <tableColumn id="3" xr3:uid="{78606571-913A-4727-8185-5C4BB01B2606}" name="Und" dataDxfId="7726" totalsRowDxfId="7725"/>
    <tableColumn id="4" xr3:uid="{746F7CDD-7E15-4114-8168-13153E80ADAB}" name="Cant." dataDxfId="7724" totalsRowDxfId="7723"/>
    <tableColumn id="5" xr3:uid="{036B2305-2BFE-42F2-A1F9-B0EC0C55DE3E}" name="Costo" dataDxfId="7722" totalsRowDxfId="7721" dataCellStyle="Moneda">
      <calculatedColumnFormula>+VLOOKUP(Tabla110345345445545647945586877869510811712713622823724627233260269297315332342204[[#This Row],[Ingrediente]],Tabla34[#All],3,0)</calculatedColumnFormula>
    </tableColumn>
    <tableColumn id="6" xr3:uid="{61B8AE1D-EFC4-41DC-871E-9C47BBB19989}" name="Total costo" totalsRowFunction="sum" dataDxfId="7720" totalsRowDxfId="7719" dataCellStyle="Moneda">
      <calculatedColumnFormula>+Tabla110345345445545647945586877869510811712713622823724627233260269297315332342204[[#This Row],[Costo]]*Tabla110345345445545647945586877869510811712713622823724627233260269297315332342204[[#This Row],[Cant.]]</calculatedColumnFormula>
    </tableColumn>
  </tableColumns>
  <tableStyleInfo name="TableStyleLight8" showFirstColumn="0" showLastColumn="0" showRowStripes="1" showColumnStripes="0"/>
</table>
</file>

<file path=xl/tables/table8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A8283CC1-F96A-4538-B4E0-3C6772BC496F}" name="Tabla110345345445545647945586877869510811712713622823724627233260269297315332338346205" displayName="Tabla110345345445545647945586877869510811712713622823724627233260269297315332338346205" ref="B154:F156" totalsRowCount="1" headerRowDxfId="7718" dataDxfId="7716" totalsRowDxfId="7714" headerRowBorderDxfId="7717" tableBorderDxfId="7715" totalsRowBorderDxfId="7713">
  <autoFilter ref="B154:F155" xr:uid="{A8283CC1-F96A-4538-B4E0-3C6772BC496F}"/>
  <sortState xmlns:xlrd2="http://schemas.microsoft.com/office/spreadsheetml/2017/richdata2" ref="B155:F155">
    <sortCondition descending="1" ref="F204:F220"/>
  </sortState>
  <tableColumns count="5">
    <tableColumn id="2" xr3:uid="{AA825676-8E8A-47F8-B98B-3E71706944FD}" name="Ingrediente" dataDxfId="7712" totalsRowDxfId="7711"/>
    <tableColumn id="3" xr3:uid="{8D0D643B-16A8-4275-888B-E655C1213484}" name="Und" dataDxfId="7710" totalsRowDxfId="7709"/>
    <tableColumn id="4" xr3:uid="{DAEBAD1D-02D9-48C2-BBC9-9D339C635268}" name="Cant." dataDxfId="7708" totalsRowDxfId="7707"/>
    <tableColumn id="5" xr3:uid="{F96367D3-0378-4CBC-8A98-242FEB11690C}" name="Costo" dataDxfId="7706" totalsRowDxfId="7705" dataCellStyle="Moneda">
      <calculatedColumnFormula>+VLOOKUP(Tabla110345345445545647945586877869510811712713622823724627233260269297315332338346205[[#This Row],[Ingrediente]],Tabla34[#All],3,0)</calculatedColumnFormula>
    </tableColumn>
    <tableColumn id="6" xr3:uid="{859FB650-8E0D-415F-9086-2D24399EE173}" name="Total costo" totalsRowFunction="sum" dataDxfId="7704" totalsRowDxfId="7703" dataCellStyle="Moneda">
      <calculatedColumnFormula>+Tabla110345345445545647945586877869510811712713622823724627233260269297315332338346205[[#This Row],[Costo]]*Tabla110345345445545647945586877869510811712713622823724627233260269297315332338346205[[#This Row],[Cant.]]</calculatedColumnFormula>
    </tableColumn>
  </tableColumns>
  <tableStyleInfo name="TableStyleLight8" showFirstColumn="0" showLastColumn="0" showRowStripes="1" showColumnStripes="0"/>
</table>
</file>

<file path=xl/tables/table8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47625508-9CE7-4A32-B5BB-31A5E2DC0609}" name="Tabla110345345445545647945586877869510811712713622823724627233260269297315332344145206" displayName="Tabla110345345445545647945586877869510811712713622823724627233260269297315332344145206" ref="B215:F217" totalsRowCount="1" headerRowDxfId="7702" dataDxfId="7700" totalsRowDxfId="7698" headerRowBorderDxfId="7701" tableBorderDxfId="7699" totalsRowBorderDxfId="7697">
  <autoFilter ref="B215:F216" xr:uid="{47625508-9CE7-4A32-B5BB-31A5E2DC0609}"/>
  <sortState xmlns:xlrd2="http://schemas.microsoft.com/office/spreadsheetml/2017/richdata2" ref="B216:F216">
    <sortCondition descending="1" ref="F193:F209"/>
  </sortState>
  <tableColumns count="5">
    <tableColumn id="2" xr3:uid="{72FBE6F6-48BA-463B-95F0-D9AE841FEA6F}" name="Ingrediente" dataDxfId="7696" totalsRowDxfId="7695"/>
    <tableColumn id="3" xr3:uid="{02B92F58-A0B8-4428-B0E1-0FDA95E3F6C5}" name="Und" dataDxfId="7694" totalsRowDxfId="7693"/>
    <tableColumn id="4" xr3:uid="{943998BA-7CC9-4F52-9115-A60102D05AEF}" name="Cant." dataDxfId="7692" totalsRowDxfId="7691"/>
    <tableColumn id="5" xr3:uid="{CCBF9984-9FC5-4411-A38F-DF6E946C7E37}" name="Costo" dataDxfId="7690" totalsRowDxfId="7689" dataCellStyle="Moneda">
      <calculatedColumnFormula>+VLOOKUP(Tabla110345345445545647945586877869510811712713622823724627233260269297315332344145206[[#This Row],[Ingrediente]],Tabla34[#All],3,0)</calculatedColumnFormula>
    </tableColumn>
    <tableColumn id="6" xr3:uid="{913C2D29-E871-469B-A7A4-3D0FEDF9A768}" name="Total costo" totalsRowFunction="sum" dataDxfId="7688" totalsRowDxfId="7687" dataCellStyle="Moneda">
      <calculatedColumnFormula>+Tabla110345345445545647945586877869510811712713622823724627233260269297315332344145206[[#This Row],[Costo]]*Tabla110345345445545647945586877869510811712713622823724627233260269297315332344145206[[#This Row],[Cant.]]</calculatedColumnFormula>
    </tableColumn>
  </tableColumns>
  <tableStyleInfo name="TableStyleLight8" showFirstColumn="0" showLastColumn="0" showRowStripes="1" showColumnStripes="0"/>
</table>
</file>

<file path=xl/tables/table8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CF511EE3-67AD-495B-8C95-3A5BCD4A1F07}" name="Tabla110345345445545647945586877869510811712713622823724627233260269297315332344145147207" displayName="Tabla110345345445545647945586877869510811712713622823724627233260269297315332344145147207" ref="B230:F232" totalsRowCount="1" headerRowDxfId="7686" dataDxfId="7684" totalsRowDxfId="7682" headerRowBorderDxfId="7685" tableBorderDxfId="7683" totalsRowBorderDxfId="7681">
  <autoFilter ref="B230:F231" xr:uid="{CF511EE3-67AD-495B-8C95-3A5BCD4A1F07}"/>
  <sortState xmlns:xlrd2="http://schemas.microsoft.com/office/spreadsheetml/2017/richdata2" ref="B231:F231">
    <sortCondition descending="1" ref="F193:F209"/>
  </sortState>
  <tableColumns count="5">
    <tableColumn id="2" xr3:uid="{87A097BA-735E-4204-8CE1-6E8608389E5D}" name="Ingrediente" dataDxfId="7680" totalsRowDxfId="7679"/>
    <tableColumn id="3" xr3:uid="{15F9B301-79A6-47B2-8340-D8DEB505C647}" name="Und" dataDxfId="7678" totalsRowDxfId="7677"/>
    <tableColumn id="4" xr3:uid="{7E093C26-3029-48F3-8661-6B901D2B2CCE}" name="Cant." dataDxfId="7676" totalsRowDxfId="7675"/>
    <tableColumn id="5" xr3:uid="{B494DC3B-15BA-484C-B545-46EA142EA1F5}" name="Costo" dataDxfId="7674" totalsRowDxfId="7673" dataCellStyle="Moneda">
      <calculatedColumnFormula>+VLOOKUP(Tabla110345345445545647945586877869510811712713622823724627233260269297315332344145147207[[#This Row],[Ingrediente]],Tabla34[#All],3,0)</calculatedColumnFormula>
    </tableColumn>
    <tableColumn id="6" xr3:uid="{A1FA018D-F24D-4F06-8BD6-15787ABAABC3}" name="Total costo" totalsRowFunction="sum" dataDxfId="7672" totalsRowDxfId="7671" dataCellStyle="Moneda">
      <calculatedColumnFormula>+Tabla110345345445545647945586877869510811712713622823724627233260269297315332344145147207[[#This Row],[Costo]]*Tabla110345345445545647945586877869510811712713622823724627233260269297315332344145147207[[#This Row],[Cant.]]</calculatedColumnFormula>
    </tableColumn>
  </tableColumns>
  <tableStyleInfo name="TableStyleLight8" showFirstColumn="0" showLastColumn="0" showRowStripes="1" showColumnStripes="0"/>
</table>
</file>

<file path=xl/tables/table8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E8C97815-1134-485E-A808-CD979F1A1E2A}" name="Tabla110345345445545647945586877869510811712713622823724627233260269297315332344145147151208" displayName="Tabla110345345445545647945586877869510811712713622823724627233260269297315332344145147151208" ref="B244:F246" totalsRowCount="1" headerRowDxfId="7670" dataDxfId="7668" totalsRowDxfId="7666" headerRowBorderDxfId="7669" tableBorderDxfId="7667" totalsRowBorderDxfId="7665">
  <autoFilter ref="B244:F245" xr:uid="{E8C97815-1134-485E-A808-CD979F1A1E2A}"/>
  <sortState xmlns:xlrd2="http://schemas.microsoft.com/office/spreadsheetml/2017/richdata2" ref="B245:F245">
    <sortCondition descending="1" ref="F182:F198"/>
  </sortState>
  <tableColumns count="5">
    <tableColumn id="2" xr3:uid="{00959BB8-F66C-458B-B6AA-B20348C7EB85}" name="Ingrediente" dataDxfId="7664" totalsRowDxfId="7663"/>
    <tableColumn id="3" xr3:uid="{3DE59A4B-CB5F-4A9F-A33D-60BAF78B8581}" name="Und" dataDxfId="7662" totalsRowDxfId="7661"/>
    <tableColumn id="4" xr3:uid="{5B43A294-7B18-40E9-9254-09095BF31E1B}" name="Cant." dataDxfId="7660" totalsRowDxfId="7659"/>
    <tableColumn id="5" xr3:uid="{EDE12CF1-7817-44D8-B11E-67DEAE6C44BF}" name="Costo" dataDxfId="7658" totalsRowDxfId="7657" dataCellStyle="Moneda">
      <calculatedColumnFormula>+VLOOKUP(Tabla110345345445545647945586877869510811712713622823724627233260269297315332344145147151208[[#This Row],[Ingrediente]],Tabla34[#All],3,0)</calculatedColumnFormula>
    </tableColumn>
    <tableColumn id="6" xr3:uid="{8ADC407E-9006-43A2-8DB2-B175DBFF3B13}" name="Total costo" totalsRowFunction="sum" dataDxfId="7656" totalsRowDxfId="7655" dataCellStyle="Moneda">
      <calculatedColumnFormula>+Tabla110345345445545647945586877869510811712713622823724627233260269297315332344145147151208[[#This Row],[Costo]]*Tabla110345345445545647945586877869510811712713622823724627233260269297315332344145147151208[[#This Row],[Cant.]]</calculatedColumnFormula>
    </tableColumn>
  </tableColumns>
  <tableStyleInfo name="TableStyleLight8" showFirstColumn="0" showLastColumn="0" showRowStripes="1" showColumnStripes="0"/>
</table>
</file>

<file path=xl/tables/table8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5" xr:uid="{3ED6873A-AFA7-4CBC-8BAC-86A0360DA293}" name="Tabla110345345445545647945586877869510811712713622823724627233260269297315316384392394396" displayName="Tabla110345345445545647945586877869510811712713622823724627233260269297315316384392394396" ref="B7:F9" totalsRowCount="1" headerRowDxfId="7654" dataDxfId="7652" totalsRowDxfId="7650" headerRowBorderDxfId="7653" tableBorderDxfId="7651" totalsRowBorderDxfId="7649">
  <autoFilter ref="B7:F8" xr:uid="{25E24D6A-940D-4437-B263-679AE371D044}"/>
  <sortState xmlns:xlrd2="http://schemas.microsoft.com/office/spreadsheetml/2017/richdata2" ref="B8:F8">
    <sortCondition descending="1" ref="F192:F208"/>
  </sortState>
  <tableColumns count="5">
    <tableColumn id="2" xr3:uid="{4C731993-364E-4F57-8CDB-2619FA6CCF4A}" name="Ingrediente" dataDxfId="7648" totalsRowDxfId="7647"/>
    <tableColumn id="3" xr3:uid="{8B624C17-3423-4F3A-8022-8F1EB1E4AEAA}" name="Und" dataDxfId="7646" totalsRowDxfId="7645"/>
    <tableColumn id="4" xr3:uid="{79721035-DDAC-4797-9F49-3767845603AA}" name="Cant." dataDxfId="7644" totalsRowDxfId="7643"/>
    <tableColumn id="5" xr3:uid="{980962E8-EFDF-49BC-BC58-4DA1A4EA57E9}" name="Costo" dataDxfId="7642" totalsRowDxfId="7641" dataCellStyle="Moneda">
      <calculatedColumnFormula>+VLOOKUP(Tabla110345345445545647945586877869510811712713622823724627233260269297315316384392394396[[#This Row],[Ingrediente]],Tabla34[#All],3,0)</calculatedColumnFormula>
    </tableColumn>
    <tableColumn id="6" xr3:uid="{C1526603-9832-4E87-8103-8C21399B80CF}" name="Total costo" totalsRowFunction="sum" dataDxfId="7640" totalsRowDxfId="7639" dataCellStyle="Moneda">
      <calculatedColumnFormula>+Tabla110345345445545647945586877869510811712713622823724627233260269297315316384392394396[[#This Row],[Costo]]*Tabla110345345445545647945586877869510811712713622823724627233260269297315316384392394396[[#This Row],[Cant.]]</calculatedColumnFormula>
    </tableColumn>
  </tableColumns>
  <tableStyleInfo name="TableStyleLight8" showFirstColumn="0" showLastColumn="0" showRowStripes="1" showColumnStripes="0"/>
</table>
</file>

<file path=xl/tables/table8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15F5BFFC-43F9-4BDA-B03D-7BF66DCB8979}" name="Tabla110345345445545647945586877869510811712713622823724627233260269297315316384392394396169" displayName="Tabla110345345445545647945586877869510811712713622823724627233260269297315316384392394396169" ref="B22:F24" totalsRowCount="1" headerRowDxfId="7638" dataDxfId="7636" totalsRowDxfId="7634" headerRowBorderDxfId="7637" tableBorderDxfId="7635" totalsRowBorderDxfId="7633">
  <autoFilter ref="B22:F23" xr:uid="{15F5BFFC-43F9-4BDA-B03D-7BF66DCB8979}"/>
  <sortState xmlns:xlrd2="http://schemas.microsoft.com/office/spreadsheetml/2017/richdata2" ref="B23:F23">
    <sortCondition descending="1" ref="F192:F208"/>
  </sortState>
  <tableColumns count="5">
    <tableColumn id="2" xr3:uid="{6CC68553-6245-49EB-944D-051CE7977440}" name="Ingrediente" dataDxfId="7632" totalsRowDxfId="7631"/>
    <tableColumn id="3" xr3:uid="{18B1D669-8F1C-437D-8060-24C63318F05C}" name="Und" dataDxfId="7630" totalsRowDxfId="7629"/>
    <tableColumn id="4" xr3:uid="{6E1C3337-F1F8-479C-AAB1-6929F241127C}" name="Cant." dataDxfId="7628" totalsRowDxfId="7627"/>
    <tableColumn id="5" xr3:uid="{B420CFFC-E4EA-4088-B2E1-E7BF3B700E30}" name="Costo" dataDxfId="7626" totalsRowDxfId="7625" dataCellStyle="Moneda">
      <calculatedColumnFormula>+VLOOKUP(Tabla110345345445545647945586877869510811712713622823724627233260269297315316384392394396169[[#This Row],[Ingrediente]],Tabla34[#All],3,0)</calculatedColumnFormula>
    </tableColumn>
    <tableColumn id="6" xr3:uid="{862BB084-73D3-4149-A289-6CFEBD7BF293}" name="Total costo" totalsRowFunction="sum" dataDxfId="7624" totalsRowDxfId="7623" dataCellStyle="Moneda">
      <calculatedColumnFormula>+Tabla110345345445545647945586877869510811712713622823724627233260269297315316384392394396169[[#This Row],[Costo]]*Tabla110345345445545647945586877869510811712713622823724627233260269297315316384392394396169[[#This Row],[Cant.]]</calculatedColumnFormula>
    </tableColumn>
  </tableColumns>
  <tableStyleInfo name="TableStyleLight8" showFirstColumn="0" showLastColumn="0" showRowStripes="1" showColumnStripes="0"/>
</table>
</file>

<file path=xl/tables/table8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CB165175-9EB3-445A-B9FB-658035944D92}" name="Tabla110345345445545647945586877869510811712713622823724627233260269297315316347385393395397192" displayName="Tabla110345345445545647945586877869510811712713622823724627233260269297315316347385393395397192" ref="B34:F36" totalsRowCount="1" headerRowDxfId="7622" dataDxfId="7620" totalsRowDxfId="7618" headerRowBorderDxfId="7621" tableBorderDxfId="7619" totalsRowBorderDxfId="7617">
  <autoFilter ref="B34:F35" xr:uid="{CB165175-9EB3-445A-B9FB-658035944D92}"/>
  <sortState xmlns:xlrd2="http://schemas.microsoft.com/office/spreadsheetml/2017/richdata2" ref="B35:F35">
    <sortCondition descending="1" ref="F160:F176"/>
  </sortState>
  <tableColumns count="5">
    <tableColumn id="2" xr3:uid="{F82BA8D8-DC16-459A-A6E8-2C31D643DF1F}" name="Ingrediente" dataDxfId="7616" totalsRowDxfId="7615"/>
    <tableColumn id="3" xr3:uid="{F1F1EE6B-FE00-48A2-879B-94069FCC79B0}" name="Und" dataDxfId="7614" totalsRowDxfId="7613"/>
    <tableColumn id="4" xr3:uid="{0A1B9270-49EF-4A39-B1F6-F37F9D13D2A9}" name="Cant." dataDxfId="7612" totalsRowDxfId="7611"/>
    <tableColumn id="5" xr3:uid="{E73D678E-84F8-486C-94DE-8B37ECAD2547}" name="Costo" dataDxfId="7610" totalsRowDxfId="7609" dataCellStyle="Moneda">
      <calculatedColumnFormula>+VLOOKUP(Tabla110345345445545647945586877869510811712713622823724627233260269297315316347385393395397192[[#This Row],[Ingrediente]],Tabla34[#All],3,0)</calculatedColumnFormula>
    </tableColumn>
    <tableColumn id="6" xr3:uid="{DC969D70-EE38-44C5-A746-F9394A1F1C6F}" name="Total costo" totalsRowFunction="sum" dataDxfId="7608" totalsRowDxfId="7607" dataCellStyle="Moneda">
      <calculatedColumnFormula>+Tabla110345345445545647945586877869510811712713622823724627233260269297315316347385393395397192[[#This Row],[Costo]]*Tabla110345345445545647945586877869510811712713622823724627233260269297315316347385393395397192[[#This Row],[Cant.]]</calculatedColumnFormula>
    </tableColumn>
  </tableColumns>
  <tableStyleInfo name="TableStyleLight8" showFirstColumn="0" showLastColumn="0" showRowStripes="1" showColumnStripes="0"/>
</table>
</file>

<file path=xl/tables/table8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F29CC45F-C944-4FF1-918F-DDC66478834F}" name="Tabla110345345445545647945586877869510811712713622823724627233260269297315316347385393395397170193" displayName="Tabla110345345445545647945586877869510811712713622823724627233260269297315316347385393395397170193" ref="B49:F51" totalsRowCount="1" headerRowDxfId="7606" dataDxfId="7604" totalsRowDxfId="7602" headerRowBorderDxfId="7605" tableBorderDxfId="7603" totalsRowBorderDxfId="7601">
  <autoFilter ref="B49:F50" xr:uid="{F29CC45F-C944-4FF1-918F-DDC66478834F}"/>
  <sortState xmlns:xlrd2="http://schemas.microsoft.com/office/spreadsheetml/2017/richdata2" ref="B50:F50">
    <sortCondition descending="1" ref="F160:F176"/>
  </sortState>
  <tableColumns count="5">
    <tableColumn id="2" xr3:uid="{B9AA0203-85C0-4A86-AD7F-7084E8E0B30E}" name="Ingrediente" dataDxfId="7600" totalsRowDxfId="7599"/>
    <tableColumn id="3" xr3:uid="{71BD7478-D30F-43C2-B46B-A4037C7E2FA0}" name="Und" dataDxfId="7598" totalsRowDxfId="7597"/>
    <tableColumn id="4" xr3:uid="{31E53E36-5876-4514-B4F8-AE2182F2B05C}" name="Cant." dataDxfId="7596" totalsRowDxfId="7595"/>
    <tableColumn id="5" xr3:uid="{4BC8DAA6-748F-47C6-BB6E-E87933719404}" name="Costo" dataDxfId="7594" totalsRowDxfId="7593" dataCellStyle="Moneda">
      <calculatedColumnFormula>+VLOOKUP(Tabla110345345445545647945586877869510811712713622823724627233260269297315316347385393395397170193[[#This Row],[Ingrediente]],Tabla34[#All],3,0)</calculatedColumnFormula>
    </tableColumn>
    <tableColumn id="6" xr3:uid="{8854F19A-3AD8-4D3A-9F38-F78FEE7BA2C0}" name="Total costo" totalsRowFunction="sum" dataDxfId="7592" totalsRowDxfId="7591" dataCellStyle="Moneda">
      <calculatedColumnFormula>+Tabla110345345445545647945586877869510811712713622823724627233260269297315316347385393395397170193[[#This Row],[Costo]]*Tabla110345345445545647945586877869510811712713622823724627233260269297315316347385393395397170193[[#This Row],[Cant.]]</calculatedColumnFormula>
    </tableColumn>
  </tableColumns>
  <tableStyleInfo name="TableStyleLight8" showFirstColumn="0" showLastColumn="0" showRowStripes="1" showColumnStripes="0"/>
</table>
</file>

<file path=xl/tables/table8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3" xr:uid="{9C120F6A-89B3-458D-BF04-5E9C18BEDFC1}" name="Tabla110345345445545647945586877869510811712713622823724627233260269297315316384392394" displayName="Tabla110345345445545647945586877869510811712713622823724627233260269297315316384392394" ref="B7:F9" totalsRowCount="1" headerRowDxfId="7590" dataDxfId="7588" totalsRowDxfId="7586" headerRowBorderDxfId="7589" tableBorderDxfId="7587" totalsRowBorderDxfId="7585">
  <autoFilter ref="B7:F8" xr:uid="{25E24D6A-940D-4437-B263-679AE371D044}"/>
  <sortState xmlns:xlrd2="http://schemas.microsoft.com/office/spreadsheetml/2017/richdata2" ref="B8:F8">
    <sortCondition descending="1" ref="F192:F208"/>
  </sortState>
  <tableColumns count="5">
    <tableColumn id="2" xr3:uid="{F97D62F8-22F1-4289-BFB6-F27A97E0597D}" name="Ingrediente" dataDxfId="7584" totalsRowDxfId="7583"/>
    <tableColumn id="3" xr3:uid="{EA4F022B-45CC-4459-8972-31D8CA5352F8}" name="Und" dataDxfId="7582" totalsRowDxfId="7581"/>
    <tableColumn id="4" xr3:uid="{7AEFE523-0CD8-430F-ABA1-1252CC3F83F1}" name="Cant." dataDxfId="7580" totalsRowDxfId="7579"/>
    <tableColumn id="5" xr3:uid="{5D1362A7-FA25-4E88-A8B6-5A3D78BFED02}" name="Costo" dataDxfId="7578" totalsRowDxfId="7577" dataCellStyle="Moneda">
      <calculatedColumnFormula>+VLOOKUP(Tabla110345345445545647945586877869510811712713622823724627233260269297315316384392394[[#This Row],[Ingrediente]],Tabla34[#All],3,0)</calculatedColumnFormula>
    </tableColumn>
    <tableColumn id="6" xr3:uid="{9A0D7865-F37F-4B9A-8790-6F28DDCC551D}" name="Total costo" totalsRowFunction="sum" dataDxfId="7576" totalsRowDxfId="7575" dataCellStyle="Moneda">
      <calculatedColumnFormula>+Tabla110345345445545647945586877869510811712713622823724627233260269297315316384392394[[#This Row],[Costo]]*Tabla110345345445545647945586877869510811712713622823724627233260269297315316384392394[[#This Row],[Cant.]]</calculatedColumnFormula>
    </tableColumn>
  </tableColumns>
  <tableStyleInfo name="TableStyleLight8" showFirstColumn="0" showLastColumn="0" showRowStripes="1" showColumnStripes="0"/>
</table>
</file>

<file path=xl/tables/table8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1" xr:uid="{6063FD31-2A03-4BCC-AE00-DCA240702C75}" name="Tabla110345345445545647945586877869510811712713622823724627233260269297315316384392394412" displayName="Tabla110345345445545647945586877869510811712713622823724627233260269297315316384392394412" ref="B22:F24" totalsRowCount="1" headerRowDxfId="7574" dataDxfId="7572" totalsRowDxfId="7570" headerRowBorderDxfId="7573" tableBorderDxfId="7571" totalsRowBorderDxfId="7569">
  <autoFilter ref="B22:F23" xr:uid="{6063FD31-2A03-4BCC-AE00-DCA240702C75}"/>
  <sortState xmlns:xlrd2="http://schemas.microsoft.com/office/spreadsheetml/2017/richdata2" ref="B23:F23">
    <sortCondition descending="1" ref="F192:F208"/>
  </sortState>
  <tableColumns count="5">
    <tableColumn id="2" xr3:uid="{D7CD3671-9A20-44C9-9AEB-57692A6E3FDA}" name="Ingrediente" dataDxfId="7568" totalsRowDxfId="7567"/>
    <tableColumn id="3" xr3:uid="{4250DAAA-7327-43B5-BB5F-5B37272F789C}" name="Und" dataDxfId="7566" totalsRowDxfId="7565"/>
    <tableColumn id="4" xr3:uid="{3D153BEF-301F-431E-AC3D-92D89BB69E43}" name="Cant." dataDxfId="7564" totalsRowDxfId="7563"/>
    <tableColumn id="5" xr3:uid="{55F018BF-C063-4F47-8359-0A182480FF90}" name="Costo" dataDxfId="7562" totalsRowDxfId="7561" dataCellStyle="Moneda">
      <calculatedColumnFormula>+VLOOKUP(Tabla110345345445545647945586877869510811712713622823724627233260269297315316384392394412[[#This Row],[Ingrediente]],Tabla34[#All],3,0)</calculatedColumnFormula>
    </tableColumn>
    <tableColumn id="6" xr3:uid="{F9CCE633-8A68-436A-A058-C8E1DA8B3A89}" name="Total costo" totalsRowFunction="sum" dataDxfId="7560" totalsRowDxfId="7559" dataCellStyle="Moneda">
      <calculatedColumnFormula>+Tabla110345345445545647945586877869510811712713622823724627233260269297315316384392394412[[#This Row],[Costo]]*Tabla110345345445545647945586877869510811712713622823724627233260269297315316384392394412[[#This Row],[Cant.]]</calculatedColumnFormula>
    </tableColumn>
  </tableColumns>
  <tableStyleInfo name="TableStyleLight8" showFirstColumn="0" showLastColumn="0" showRowStripes="1" showColumnStripes="0"/>
</table>
</file>

<file path=xl/tables/table8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3" xr:uid="{2CD85FEF-83D9-44AD-977E-CDBF56FF0910}" name="Tabla110345345445545647945586877869510811712713622823724627233260269297315316384392394414" displayName="Tabla110345345445545647945586877869510811712713622823724627233260269297315316384392394414" ref="B35:F37" totalsRowCount="1" headerRowDxfId="7558" dataDxfId="7556" totalsRowDxfId="7554" headerRowBorderDxfId="7557" tableBorderDxfId="7555" totalsRowBorderDxfId="7553">
  <autoFilter ref="B35:F36" xr:uid="{2CD85FEF-83D9-44AD-977E-CDBF56FF0910}"/>
  <sortState xmlns:xlrd2="http://schemas.microsoft.com/office/spreadsheetml/2017/richdata2" ref="B36:F36">
    <sortCondition descending="1" ref="F192:F208"/>
  </sortState>
  <tableColumns count="5">
    <tableColumn id="2" xr3:uid="{FAA979DB-6EED-46F7-8E02-21D19409484C}" name="Ingrediente" dataDxfId="7552" totalsRowDxfId="7551"/>
    <tableColumn id="3" xr3:uid="{AA54875F-0F77-4269-94C2-568AE57C34D8}" name="Und" dataDxfId="7550" totalsRowDxfId="7549"/>
    <tableColumn id="4" xr3:uid="{7427187A-2B33-4234-9FAB-27EAE182ADD5}" name="Cant." dataDxfId="7548" totalsRowDxfId="7547"/>
    <tableColumn id="5" xr3:uid="{16B7D581-5B8E-41CC-8D99-F6F5EC99A5D5}" name="Costo" dataDxfId="7546" totalsRowDxfId="7545" dataCellStyle="Moneda">
      <calculatedColumnFormula>+VLOOKUP(Tabla110345345445545647945586877869510811712713622823724627233260269297315316384392394414[[#This Row],[Ingrediente]],Tabla34[#All],3,0)</calculatedColumnFormula>
    </tableColumn>
    <tableColumn id="6" xr3:uid="{B095551D-F344-4EE8-A593-B41C67B58133}" name="Total costo" totalsRowFunction="sum" dataDxfId="7544" totalsRowDxfId="7543" dataCellStyle="Moneda">
      <calculatedColumnFormula>+Tabla110345345445545647945586877869510811712713622823724627233260269297315316384392394414[[#This Row],[Costo]]*Tabla110345345445545647945586877869510811712713622823724627233260269297315316384392394414[[#This Row],[Cant.]]</calculatedColumnFormula>
    </tableColumn>
  </tableColumns>
  <tableStyleInfo name="TableStyleLight8" showFirstColumn="0" showLastColumn="0" showRowStripes="1" showColumnStripes="0"/>
</table>
</file>

<file path=xl/tables/table8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F0F3ED3C-3612-4AEE-A535-243930253D9D}" name="Tabla110345345445545647945586877869510811712713622823724627233260269297315316347385393395158" displayName="Tabla110345345445545647945586877869510811712713622823724627233260269297315316347385393395158" ref="B49:F51" totalsRowCount="1" headerRowDxfId="7542" dataDxfId="7540" totalsRowDxfId="7538" headerRowBorderDxfId="7541" tableBorderDxfId="7539" totalsRowBorderDxfId="7537">
  <autoFilter ref="B49:F50" xr:uid="{F0F3ED3C-3612-4AEE-A535-243930253D9D}"/>
  <sortState xmlns:xlrd2="http://schemas.microsoft.com/office/spreadsheetml/2017/richdata2" ref="B50:F50">
    <sortCondition descending="1" ref="F192:F208"/>
  </sortState>
  <tableColumns count="5">
    <tableColumn id="2" xr3:uid="{2DCB718D-A939-4F7A-8F50-768FB9CFCCB2}" name="Ingrediente" dataDxfId="7536" totalsRowDxfId="7535"/>
    <tableColumn id="3" xr3:uid="{F51BC72F-8AC2-4421-ABD4-ACC784D9D072}" name="Und" dataDxfId="7534" totalsRowDxfId="7533"/>
    <tableColumn id="4" xr3:uid="{E26431C1-9B0C-4A43-8AB6-281F2453632E}" name="Cant." dataDxfId="7532" totalsRowDxfId="7531"/>
    <tableColumn id="5" xr3:uid="{EB258C8E-3085-4BEF-B65F-AB2E0E71B0C2}" name="Costo" dataDxfId="7530" totalsRowDxfId="7529" dataCellStyle="Moneda">
      <calculatedColumnFormula>+VLOOKUP(Tabla110345345445545647945586877869510811712713622823724627233260269297315316347385393395158[[#This Row],[Ingrediente]],Tabla34[#All],3,0)</calculatedColumnFormula>
    </tableColumn>
    <tableColumn id="6" xr3:uid="{86D36E4D-6A54-4B24-8C96-DFE1305F40F4}" name="Total costo" totalsRowFunction="sum" dataDxfId="7528" totalsRowDxfId="7527" dataCellStyle="Moneda">
      <calculatedColumnFormula>+Tabla110345345445545647945586877869510811712713622823724627233260269297315316347385393395158[[#This Row],[Costo]]*Tabla110345345445545647945586877869510811712713622823724627233260269297315316347385393395158[[#This Row],[Cant.]]</calculatedColumnFormula>
    </tableColumn>
  </tableColumns>
  <tableStyleInfo name="TableStyleLight8" showFirstColumn="0" showLastColumn="0" showRowStripes="1" showColumnStripes="0"/>
</table>
</file>

<file path=xl/tables/table8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2E4DCEB2-888F-4FB1-A920-70FA5FFB8091}" name="Tabla110345345445545647945586877869510811712713622823724627233260269297315316347385393395413159" displayName="Tabla110345345445545647945586877869510811712713622823724627233260269297315316347385393395413159" ref="B64:F66" totalsRowCount="1" headerRowDxfId="7526" dataDxfId="7524" totalsRowDxfId="7522" headerRowBorderDxfId="7525" tableBorderDxfId="7523" totalsRowBorderDxfId="7521">
  <autoFilter ref="B64:F65" xr:uid="{2E4DCEB2-888F-4FB1-A920-70FA5FFB8091}"/>
  <sortState xmlns:xlrd2="http://schemas.microsoft.com/office/spreadsheetml/2017/richdata2" ref="B65:F65">
    <sortCondition descending="1" ref="F192:F208"/>
  </sortState>
  <tableColumns count="5">
    <tableColumn id="2" xr3:uid="{4576493A-9712-41F9-8DF9-21579557FBA8}" name="Ingrediente" dataDxfId="7520" totalsRowDxfId="7519"/>
    <tableColumn id="3" xr3:uid="{8E3CBA71-EE74-41BC-8C7D-B4CAAC148331}" name="Und" dataDxfId="7518" totalsRowDxfId="7517"/>
    <tableColumn id="4" xr3:uid="{1390A036-E9B4-4B1E-BB18-E4430C05EA63}" name="Cant." dataDxfId="7516" totalsRowDxfId="7515"/>
    <tableColumn id="5" xr3:uid="{9F8BFA31-300D-4156-971E-06EEA1213EFA}" name="Costo" dataDxfId="7514" totalsRowDxfId="7513" dataCellStyle="Moneda">
      <calculatedColumnFormula>+VLOOKUP(Tabla110345345445545647945586877869510811712713622823724627233260269297315316347385393395413159[[#This Row],[Ingrediente]],Tabla34[#All],3,0)</calculatedColumnFormula>
    </tableColumn>
    <tableColumn id="6" xr3:uid="{21695205-060E-4D37-9603-9163964A7193}" name="Total costo" totalsRowFunction="sum" dataDxfId="7512" totalsRowDxfId="7511" dataCellStyle="Moneda">
      <calculatedColumnFormula>+Tabla110345345445545647945586877869510811712713622823724627233260269297315316347385393395413159[[#This Row],[Costo]]*Tabla110345345445545647945586877869510811712713622823724627233260269297315316347385393395413159[[#This Row],[Cant.]]</calculatedColumnFormula>
    </tableColumn>
  </tableColumns>
  <tableStyleInfo name="TableStyleLight8" showFirstColumn="0" showLastColumn="0" showRowStripes="1" showColumnStripes="0"/>
</table>
</file>

<file path=xl/tables/table8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E26D23B9-F3F9-4BCE-AE56-120CBD65CE13}" name="Tabla110345345445545647945586877869510811712713622823724627233260269297315316347385393395413159160" displayName="Tabla110345345445545647945586877869510811712713622823724627233260269297315316347385393395413159160" ref="B79:F81" totalsRowCount="1" headerRowDxfId="7510" dataDxfId="7508" totalsRowDxfId="7506" headerRowBorderDxfId="7509" tableBorderDxfId="7507" totalsRowBorderDxfId="7505">
  <autoFilter ref="B79:F80" xr:uid="{E26D23B9-F3F9-4BCE-AE56-120CBD65CE13}"/>
  <sortState xmlns:xlrd2="http://schemas.microsoft.com/office/spreadsheetml/2017/richdata2" ref="B80:F80">
    <sortCondition descending="1" ref="F192:F208"/>
  </sortState>
  <tableColumns count="5">
    <tableColumn id="2" xr3:uid="{1BCC67C4-E3C3-4051-AC77-86A2CDE4942A}" name="Ingrediente" dataDxfId="7504" totalsRowDxfId="7503"/>
    <tableColumn id="3" xr3:uid="{ED6E8958-7333-4106-A7C3-11909016BA86}" name="Und" dataDxfId="7502" totalsRowDxfId="7501"/>
    <tableColumn id="4" xr3:uid="{EA33BA8D-49F3-46A0-BB87-E9C5F8CB721C}" name="Cant." dataDxfId="7500" totalsRowDxfId="7499"/>
    <tableColumn id="5" xr3:uid="{92D8DB00-9F82-4871-93D5-7156A6A99867}" name="Costo" dataDxfId="7498" totalsRowDxfId="7497" dataCellStyle="Moneda">
      <calculatedColumnFormula>+VLOOKUP(Tabla110345345445545647945586877869510811712713622823724627233260269297315316347385393395413159160[[#This Row],[Ingrediente]],Tabla34[#All],3,0)</calculatedColumnFormula>
    </tableColumn>
    <tableColumn id="6" xr3:uid="{7643154A-28AB-4FB8-82ED-06CEE29A33C5}" name="Total costo" totalsRowFunction="sum" dataDxfId="7496" totalsRowDxfId="7495" dataCellStyle="Moneda">
      <calculatedColumnFormula>+Tabla110345345445545647945586877869510811712713622823724627233260269297315316347385393395413159160[[#This Row],[Costo]]*Tabla110345345445545647945586877869510811712713622823724627233260269297315316347385393395413159160[[#This Row],[Cant.]]</calculatedColumnFormula>
    </tableColumn>
  </tableColumns>
  <tableStyleInfo name="TableStyleLight8" showFirstColumn="0" showLastColumn="0" showRowStripes="1" showColumnStripes="0"/>
</table>
</file>

<file path=xl/tables/table8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6B40E48-DF4C-496D-A7DA-3DB7D28232B1}" name="Tabla110345345445545647945586877869510811712713622823724627233260269297315316347385393395189" displayName="Tabla110345345445545647945586877869510811712713622823724627233260269297315316347385393395189" ref="B94:F96" totalsRowCount="1" headerRowDxfId="7494" dataDxfId="7492" totalsRowDxfId="7490" headerRowBorderDxfId="7493" tableBorderDxfId="7491" totalsRowBorderDxfId="7489">
  <autoFilter ref="B94:F95" xr:uid="{16B40E48-DF4C-496D-A7DA-3DB7D28232B1}"/>
  <sortState xmlns:xlrd2="http://schemas.microsoft.com/office/spreadsheetml/2017/richdata2" ref="B95:F95">
    <sortCondition descending="1" ref="F192:F208"/>
  </sortState>
  <tableColumns count="5">
    <tableColumn id="2" xr3:uid="{1BB301BC-274C-4411-A715-75EEF78BA358}" name="Ingrediente" dataDxfId="7488" totalsRowDxfId="7487"/>
    <tableColumn id="3" xr3:uid="{60C0031A-5977-4656-B80A-EAC63B6DD4C6}" name="Und" dataDxfId="7486" totalsRowDxfId="7485"/>
    <tableColumn id="4" xr3:uid="{6E55CC24-61E7-4E11-8D2B-F7A9B0D8028E}" name="Cant." dataDxfId="7484" totalsRowDxfId="7483"/>
    <tableColumn id="5" xr3:uid="{AB64C965-D558-4FE3-ADA4-4CD06BB8D14D}" name="Costo" dataDxfId="7482" totalsRowDxfId="7481" dataCellStyle="Moneda">
      <calculatedColumnFormula>+VLOOKUP(Tabla110345345445545647945586877869510811712713622823724627233260269297315316347385393395189[[#This Row],[Ingrediente]],Tabla34[#All],3,0)</calculatedColumnFormula>
    </tableColumn>
    <tableColumn id="6" xr3:uid="{28687D46-606A-448A-873B-747A24CB4F6B}" name="Total costo" totalsRowFunction="sum" dataDxfId="7480" totalsRowDxfId="7479" dataCellStyle="Moneda">
      <calculatedColumnFormula>+Tabla110345345445545647945586877869510811712713622823724627233260269297315316347385393395189[[#This Row],[Costo]]*Tabla110345345445545647945586877869510811712713622823724627233260269297315316347385393395189[[#This Row],[Cant.]]</calculatedColumnFormula>
    </tableColumn>
  </tableColumns>
  <tableStyleInfo name="TableStyleLight8" showFirstColumn="0" showLastColumn="0" showRowStripes="1" showColumnStripes="0"/>
</table>
</file>

<file path=xl/tables/table8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9E0FE4DE-260B-44B7-8438-D834F56FF9C7}" name="Tabla110345345445545647945586877869510811712713622823724627233260269297315316347385393395413190" displayName="Tabla110345345445545647945586877869510811712713622823724627233260269297315316347385393395413190" ref="B109:F111" totalsRowCount="1" headerRowDxfId="7478" dataDxfId="7476" totalsRowDxfId="7474" headerRowBorderDxfId="7477" tableBorderDxfId="7475" totalsRowBorderDxfId="7473">
  <autoFilter ref="B109:F110" xr:uid="{9E0FE4DE-260B-44B7-8438-D834F56FF9C7}"/>
  <sortState xmlns:xlrd2="http://schemas.microsoft.com/office/spreadsheetml/2017/richdata2" ref="B110:F110">
    <sortCondition descending="1" ref="F192:F208"/>
  </sortState>
  <tableColumns count="5">
    <tableColumn id="2" xr3:uid="{5DB10B38-BD2F-4497-81A1-B8FC4800D7C0}" name="Ingrediente" dataDxfId="7472" totalsRowDxfId="7471"/>
    <tableColumn id="3" xr3:uid="{9844878B-2933-4871-9A27-EFFAD5A19B9C}" name="Und" dataDxfId="7470" totalsRowDxfId="7469"/>
    <tableColumn id="4" xr3:uid="{42095845-2617-4300-B51B-AB1F3298F390}" name="Cant." dataDxfId="7468" totalsRowDxfId="7467"/>
    <tableColumn id="5" xr3:uid="{98FCAE75-A47D-4429-B5E6-9E32062E613F}" name="Costo" dataDxfId="7466" totalsRowDxfId="7465" dataCellStyle="Moneda">
      <calculatedColumnFormula>+VLOOKUP(Tabla110345345445545647945586877869510811712713622823724627233260269297315316347385393395413190[[#This Row],[Ingrediente]],Tabla34[#All],3,0)</calculatedColumnFormula>
    </tableColumn>
    <tableColumn id="6" xr3:uid="{4846EC1D-482F-4791-AAC2-27DAB527C441}" name="Total costo" totalsRowFunction="sum" dataDxfId="7464" totalsRowDxfId="7463" dataCellStyle="Moneda">
      <calculatedColumnFormula>+Tabla110345345445545647945586877869510811712713622823724627233260269297315316347385393395413190[[#This Row],[Costo]]*Tabla110345345445545647945586877869510811712713622823724627233260269297315316347385393395413190[[#This Row],[Cant.]]</calculatedColumnFormula>
    </tableColumn>
  </tableColumns>
  <tableStyleInfo name="TableStyleLight8" showFirstColumn="0" showLastColumn="0" showRowStripes="1" showColumnStripes="0"/>
</table>
</file>

<file path=xl/tables/table8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718E0589-2BE7-4E49-B886-01E5EDE778E4}" name="Tabla110345345445545647945586877869510811712713622823724627233260269297315316347385393395413159160168191" displayName="Tabla110345345445545647945586877869510811712713622823724627233260269297315316347385393395413159160168191" ref="B166:F168" totalsRowCount="1" headerRowDxfId="7462" dataDxfId="7460" totalsRowDxfId="7458" headerRowBorderDxfId="7461" tableBorderDxfId="7459" totalsRowBorderDxfId="7457">
  <autoFilter ref="B166:F167" xr:uid="{718E0589-2BE7-4E49-B886-01E5EDE778E4}"/>
  <sortState xmlns:xlrd2="http://schemas.microsoft.com/office/spreadsheetml/2017/richdata2" ref="B167:F167">
    <sortCondition descending="1" ref="F192:F208"/>
  </sortState>
  <tableColumns count="5">
    <tableColumn id="2" xr3:uid="{5C1B8B8B-0B2A-422D-B808-F8D5ED66F5EE}" name="Ingrediente" dataDxfId="7456" totalsRowDxfId="7455"/>
    <tableColumn id="3" xr3:uid="{158A0809-73B2-4A2F-96B7-991E7E93FE42}" name="Und" dataDxfId="7454" totalsRowDxfId="7453"/>
    <tableColumn id="4" xr3:uid="{080FDE55-8829-48B9-B21E-9AE3A9D0B325}" name="Cant." dataDxfId="7452" totalsRowDxfId="7451"/>
    <tableColumn id="5" xr3:uid="{99411C91-D461-4B15-BA56-11040153C989}" name="Costo" dataDxfId="7450" totalsRowDxfId="7449" dataCellStyle="Moneda">
      <calculatedColumnFormula>+VLOOKUP(Tabla110345345445545647945586877869510811712713622823724627233260269297315316347385393395413159160168191[[#This Row],[Ingrediente]],Tabla34[#All],3,0)</calculatedColumnFormula>
    </tableColumn>
    <tableColumn id="6" xr3:uid="{7D0E4279-4BBA-4A98-B504-BED8BCD97F13}" name="Total costo" totalsRowFunction="sum" dataDxfId="7448" totalsRowDxfId="7447" dataCellStyle="Moneda">
      <calculatedColumnFormula>+Tabla110345345445545647945586877869510811712713622823724627233260269297315316347385393395413159160168191[[#This Row],[Costo]]*Tabla110345345445545647945586877869510811712713622823724627233260269297315316347385393395413159160168191[[#This Row],[Cant.]]</calculatedColumnFormula>
    </tableColumn>
  </tableColumns>
  <tableStyleInfo name="TableStyleLight8" showFirstColumn="0" showLastColumn="0" showRowStripes="1" showColumnStripes="0"/>
</table>
</file>

<file path=xl/tables/table8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1" xr:uid="{8A697152-E344-466E-BBC7-024DA9F02E96}" name="Tabla110345345445545647945586877869510811712713622823724627233260269297315316384392" displayName="Tabla110345345445545647945586877869510811712713622823724627233260269297315316384392" ref="B7:F9" totalsRowCount="1" headerRowDxfId="7446" dataDxfId="7444" totalsRowDxfId="7442" headerRowBorderDxfId="7445" tableBorderDxfId="7443" totalsRowBorderDxfId="7441">
  <autoFilter ref="B7:F8" xr:uid="{25E24D6A-940D-4437-B263-679AE371D044}"/>
  <sortState xmlns:xlrd2="http://schemas.microsoft.com/office/spreadsheetml/2017/richdata2" ref="B8:F8">
    <sortCondition descending="1" ref="F192:F208"/>
  </sortState>
  <tableColumns count="5">
    <tableColumn id="2" xr3:uid="{23071CB4-82EC-4FBE-AAA7-B977E4E0D2F8}" name="Ingrediente" dataDxfId="7440" totalsRowDxfId="7439"/>
    <tableColumn id="3" xr3:uid="{FF787A30-E00A-4E6B-AB78-EA6B568998D4}" name="Und" dataDxfId="7438" totalsRowDxfId="7437"/>
    <tableColumn id="4" xr3:uid="{BCB69440-1568-44D5-9856-529AE544AA32}" name="Cant." dataDxfId="7436" totalsRowDxfId="7435"/>
    <tableColumn id="5" xr3:uid="{B7C9CD4A-CB63-4267-8731-770615D7DA75}" name="Costo" dataDxfId="7434" totalsRowDxfId="7433" dataCellStyle="Moneda">
      <calculatedColumnFormula>+VLOOKUP(Tabla110345345445545647945586877869510811712713622823724627233260269297315316384392[[#This Row],[Ingrediente]],Tabla34[#All],3,0)</calculatedColumnFormula>
    </tableColumn>
    <tableColumn id="6" xr3:uid="{431ADC08-0FD9-42D2-A536-1D3699FDADB6}" name="Total costo" totalsRowFunction="sum" dataDxfId="7432" totalsRowDxfId="7431" dataCellStyle="Moneda">
      <calculatedColumnFormula>+Tabla110345345445545647945586877869510811712713622823724627233260269297315316384392[[#This Row],[Costo]]*Tabla110345345445545647945586877869510811712713622823724627233260269297315316384392[[#This Row],[Cant.]]</calculatedColumnFormula>
    </tableColumn>
  </tableColumns>
  <tableStyleInfo name="TableStyleLight8" showFirstColumn="0" showLastColumn="0" showRowStripes="1" showColumnStripes="0"/>
</table>
</file>

<file path=xl/tables/table8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7" xr:uid="{E99E59E5-DF22-4827-B457-7B79A43A660E}" name="Tabla110345345445545647945586877869510811712713622823724627233260269297315316384392398" displayName="Tabla110345345445545647945586877869510811712713622823724627233260269297315316384392398" ref="B20:F22" totalsRowCount="1" headerRowDxfId="7430" dataDxfId="7428" totalsRowDxfId="7426" headerRowBorderDxfId="7429" tableBorderDxfId="7427" totalsRowBorderDxfId="7425">
  <autoFilter ref="B20:F21" xr:uid="{E99E59E5-DF22-4827-B457-7B79A43A660E}"/>
  <sortState xmlns:xlrd2="http://schemas.microsoft.com/office/spreadsheetml/2017/richdata2" ref="B21:F21">
    <sortCondition descending="1" ref="F192:F208"/>
  </sortState>
  <tableColumns count="5">
    <tableColumn id="2" xr3:uid="{AECCA839-9A51-4011-B16F-84CDEE343003}" name="Ingrediente" dataDxfId="7424" totalsRowDxfId="7423"/>
    <tableColumn id="3" xr3:uid="{0A9964D8-B578-45EB-9A7D-891D2EB59B17}" name="Und" dataDxfId="7422" totalsRowDxfId="7421"/>
    <tableColumn id="4" xr3:uid="{9810F165-F2B2-4F88-A983-C352956187B6}" name="Cant." dataDxfId="7420" totalsRowDxfId="7419"/>
    <tableColumn id="5" xr3:uid="{33BC2063-61A9-44BD-814A-AE7DC3C52973}" name="Costo" dataDxfId="7418" totalsRowDxfId="7417" dataCellStyle="Moneda">
      <calculatedColumnFormula>+VLOOKUP(Tabla110345345445545647945586877869510811712713622823724627233260269297315316384392398[[#This Row],[Ingrediente]],Tabla34[#All],3,0)</calculatedColumnFormula>
    </tableColumn>
    <tableColumn id="6" xr3:uid="{81E3942B-DFB3-4C26-B00F-0D5891D9F554}" name="Total costo" totalsRowFunction="sum" dataDxfId="7416" totalsRowDxfId="7415" dataCellStyle="Moneda">
      <calculatedColumnFormula>+Tabla110345345445545647945586877869510811712713622823724627233260269297315316384392398[[#This Row],[Costo]]*Tabla110345345445545647945586877869510811712713622823724627233260269297315316384392398[[#This Row],[Cant.]]</calculatedColumnFormula>
    </tableColumn>
  </tableColumns>
  <tableStyleInfo name="TableStyleLight8" showFirstColumn="0" showLastColumn="0" showRowStripes="1" showColumnStripes="0"/>
</table>
</file>

<file path=xl/tables/table8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9" xr:uid="{53A8C7CE-6FD3-4BE7-AD34-43CFE640250F}" name="Tabla110345345445545647945586877869510811712713622823724627233260269297315316384392400" displayName="Tabla110345345445545647945586877869510811712713622823724627233260269297315316384392400" ref="B33:F35" totalsRowCount="1" headerRowDxfId="7414" dataDxfId="7412" totalsRowDxfId="7410" headerRowBorderDxfId="7413" tableBorderDxfId="7411" totalsRowBorderDxfId="7409">
  <autoFilter ref="B33:F34" xr:uid="{53A8C7CE-6FD3-4BE7-AD34-43CFE640250F}"/>
  <sortState xmlns:xlrd2="http://schemas.microsoft.com/office/spreadsheetml/2017/richdata2" ref="B34:F34">
    <sortCondition descending="1" ref="F192:F208"/>
  </sortState>
  <tableColumns count="5">
    <tableColumn id="2" xr3:uid="{743B2ED9-628E-4A42-A6AC-3CF55C026951}" name="Ingrediente" dataDxfId="7408" totalsRowDxfId="7407"/>
    <tableColumn id="3" xr3:uid="{0E77FA92-5CFC-4BBF-8B63-154865A6DAC6}" name="Und" dataDxfId="7406" totalsRowDxfId="7405"/>
    <tableColumn id="4" xr3:uid="{FE3BD2E7-DD11-4EC4-8DB4-AE04B661DCDA}" name="Cant." dataDxfId="7404" totalsRowDxfId="7403"/>
    <tableColumn id="5" xr3:uid="{102B9018-FE51-4965-8172-6AEE8531A80B}" name="Costo" dataDxfId="7402" totalsRowDxfId="7401" dataCellStyle="Moneda">
      <calculatedColumnFormula>+VLOOKUP(Tabla110345345445545647945586877869510811712713622823724627233260269297315316384392400[[#This Row],[Ingrediente]],Tabla34[#All],3,0)</calculatedColumnFormula>
    </tableColumn>
    <tableColumn id="6" xr3:uid="{79113DE4-177E-45C0-B992-354E9E4FA19F}" name="Total costo" totalsRowFunction="sum" dataDxfId="7400" totalsRowDxfId="7399" dataCellStyle="Moneda">
      <calculatedColumnFormula>+Tabla110345345445545647945586877869510811712713622823724627233260269297315316384392400[[#This Row],[Costo]]*Tabla110345345445545647945586877869510811712713622823724627233260269297315316384392400[[#This Row],[Cant.]]</calculatedColumnFormula>
    </tableColumn>
  </tableColumns>
  <tableStyleInfo name="TableStyleLight8" showFirstColumn="0" showLastColumn="0" showRowStripes="1" showColumnStripes="0"/>
</table>
</file>

<file path=xl/tables/table8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1" xr:uid="{5C9FCE40-6414-42BC-A6FC-BD4285A9FA0D}" name="Tabla110345345445545647945586877869510811712713622823724627233260269297315316384392402" displayName="Tabla110345345445545647945586877869510811712713622823724627233260269297315316384392402" ref="B45:F47" totalsRowCount="1" headerRowDxfId="7398" dataDxfId="7396" totalsRowDxfId="7394" headerRowBorderDxfId="7397" tableBorderDxfId="7395" totalsRowBorderDxfId="7393">
  <autoFilter ref="B45:F46" xr:uid="{5C9FCE40-6414-42BC-A6FC-BD4285A9FA0D}"/>
  <sortState xmlns:xlrd2="http://schemas.microsoft.com/office/spreadsheetml/2017/richdata2" ref="B46:F46">
    <sortCondition descending="1" ref="F192:F208"/>
  </sortState>
  <tableColumns count="5">
    <tableColumn id="2" xr3:uid="{18D25758-B3B5-45DD-B82E-96E337449A95}" name="Ingrediente" dataDxfId="7392" totalsRowDxfId="7391"/>
    <tableColumn id="3" xr3:uid="{BBEC9B6D-3EF2-4E8C-B885-56884563CAA4}" name="Und" dataDxfId="7390" totalsRowDxfId="7389"/>
    <tableColumn id="4" xr3:uid="{1A4FFD1D-9B91-47BA-B24D-8BCE72733E86}" name="Cant." dataDxfId="7388" totalsRowDxfId="7387"/>
    <tableColumn id="5" xr3:uid="{265A33D4-D11F-41A7-A733-ABBCE76A5D50}" name="Costo" dataDxfId="7386" totalsRowDxfId="7385" dataCellStyle="Moneda">
      <calculatedColumnFormula>+VLOOKUP(Tabla110345345445545647945586877869510811712713622823724627233260269297315316384392402[[#This Row],[Ingrediente]],Tabla34[#All],3,0)</calculatedColumnFormula>
    </tableColumn>
    <tableColumn id="6" xr3:uid="{962978CC-AB9E-4445-AF15-C110DA87496A}" name="Total costo" totalsRowFunction="sum" dataDxfId="7384" totalsRowDxfId="7383" dataCellStyle="Moneda">
      <calculatedColumnFormula>+Tabla110345345445545647945586877869510811712713622823724627233260269297315316384392402[[#This Row],[Costo]]*Tabla110345345445545647945586877869510811712713622823724627233260269297315316384392402[[#This Row],[Cant.]]</calculatedColumnFormula>
    </tableColumn>
  </tableColumns>
  <tableStyleInfo name="TableStyleLight8" showFirstColumn="0" showLastColumn="0" showRowStripes="1" showColumnStripes="0"/>
</table>
</file>

<file path=xl/tables/table8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3" xr:uid="{BD06F30C-79C0-4D20-A5BA-E2C61B80BA38}" name="Tabla110345345445545647945586877869510811712713622823724627233260269297315316384392404" displayName="Tabla110345345445545647945586877869510811712713622823724627233260269297315316384392404" ref="B59:F61" totalsRowCount="1" headerRowDxfId="7382" dataDxfId="7380" totalsRowDxfId="7378" headerRowBorderDxfId="7381" tableBorderDxfId="7379" totalsRowBorderDxfId="7377">
  <autoFilter ref="B59:F60" xr:uid="{BD06F30C-79C0-4D20-A5BA-E2C61B80BA38}"/>
  <sortState xmlns:xlrd2="http://schemas.microsoft.com/office/spreadsheetml/2017/richdata2" ref="B60:F60">
    <sortCondition descending="1" ref="F192:F208"/>
  </sortState>
  <tableColumns count="5">
    <tableColumn id="2" xr3:uid="{406387CF-C3D8-4942-80B4-D359AFA4F11E}" name="Ingrediente" dataDxfId="7376" totalsRowDxfId="7375"/>
    <tableColumn id="3" xr3:uid="{F98DC3FD-4EBF-493D-80BF-5FFAA85420A7}" name="Und" dataDxfId="7374" totalsRowDxfId="7373"/>
    <tableColumn id="4" xr3:uid="{1123EBC5-89E1-4AAB-BF0F-55334F616011}" name="Cant." dataDxfId="7372" totalsRowDxfId="7371"/>
    <tableColumn id="5" xr3:uid="{D839D6A1-6459-4816-A1F8-2E7A57B61A60}" name="Costo" dataDxfId="7370" totalsRowDxfId="7369" dataCellStyle="Moneda">
      <calculatedColumnFormula>+VLOOKUP(Tabla110345345445545647945586877869510811712713622823724627233260269297315316384392404[[#This Row],[Ingrediente]],Tabla34[#All],3,0)</calculatedColumnFormula>
    </tableColumn>
    <tableColumn id="6" xr3:uid="{18BD99AB-45CB-4CD1-B803-A7B328C7221B}" name="Total costo" totalsRowFunction="sum" dataDxfId="7368" totalsRowDxfId="7367" dataCellStyle="Moneda">
      <calculatedColumnFormula>+Tabla110345345445545647945586877869510811712713622823724627233260269297315316384392404[[#This Row],[Costo]]*Tabla110345345445545647945586877869510811712713622823724627233260269297315316384392404[[#This Row],[Cant.]]</calculatedColumnFormula>
    </tableColumn>
  </tableColumns>
  <tableStyleInfo name="TableStyleLight8" showFirstColumn="0" showLastColumn="0" showRowStripes="1" showColumnStripes="0"/>
</table>
</file>

<file path=xl/tables/table8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44862177-0CED-4FC9-890E-BADCA33EAC43}" name="Tabla110345345445545647945586877869510811712713622823724627233260269297315316347385393194" displayName="Tabla110345345445545647945586877869510811712713622823724627233260269297315316347385393194" ref="B71:F73" totalsRowCount="1" headerRowDxfId="7366" dataDxfId="7364" totalsRowDxfId="7362" headerRowBorderDxfId="7365" tableBorderDxfId="7363" totalsRowBorderDxfId="7361">
  <autoFilter ref="B71:F72" xr:uid="{44862177-0CED-4FC9-890E-BADCA33EAC43}"/>
  <sortState xmlns:xlrd2="http://schemas.microsoft.com/office/spreadsheetml/2017/richdata2" ref="B72:F72">
    <sortCondition descending="1" ref="F192:F208"/>
  </sortState>
  <tableColumns count="5">
    <tableColumn id="2" xr3:uid="{E08EF9F5-65D3-47D2-A081-BDB6227B9998}" name="Ingrediente" dataDxfId="7360" totalsRowDxfId="7359"/>
    <tableColumn id="3" xr3:uid="{7706119D-7BB1-4C9B-A978-52249D0FD1EB}" name="Und" dataDxfId="7358" totalsRowDxfId="7357"/>
    <tableColumn id="4" xr3:uid="{3B1AF7C1-6ED2-45F3-AF0B-9369DDFE3159}" name="Cant." dataDxfId="7356" totalsRowDxfId="7355"/>
    <tableColumn id="5" xr3:uid="{E180A5C5-7CB5-4594-9BB8-402AEC0A93AE}" name="Costo" dataDxfId="7354" totalsRowDxfId="7353" dataCellStyle="Moneda">
      <calculatedColumnFormula>+VLOOKUP(Tabla110345345445545647945586877869510811712713622823724627233260269297315316347385393194[[#This Row],[Ingrediente]],Tabla34[#All],3,0)</calculatedColumnFormula>
    </tableColumn>
    <tableColumn id="6" xr3:uid="{6C55F3C2-71C8-4FC7-A8C2-103FFB02B8E5}" name="Total costo" totalsRowFunction="sum" dataDxfId="7352" totalsRowDxfId="7351" dataCellStyle="Moneda">
      <calculatedColumnFormula>+Tabla110345345445545647945586877869510811712713622823724627233260269297315316347385393194[[#This Row],[Costo]]*Tabla110345345445545647945586877869510811712713622823724627233260269297315316347385393194[[#This Row],[Cant.]]</calculatedColumnFormula>
    </tableColumn>
  </tableColumns>
  <tableStyleInfo name="TableStyleLight8" showFirstColumn="0" showLastColumn="0" showRowStripes="1" showColumnStripes="0"/>
</table>
</file>

<file path=xl/tables/table8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6699C72E-66D7-47CE-A7CE-6759BE1F90E0}" name="Tabla110345345445545647945586877869510811712713622823724627233260269297315316347385393399195" displayName="Tabla110345345445545647945586877869510811712713622823724627233260269297315316347385393399195" ref="B84:F86" totalsRowCount="1" headerRowDxfId="7350" dataDxfId="7348" totalsRowDxfId="7346" headerRowBorderDxfId="7349" tableBorderDxfId="7347" totalsRowBorderDxfId="7345">
  <autoFilter ref="B84:F85" xr:uid="{6699C72E-66D7-47CE-A7CE-6759BE1F90E0}"/>
  <sortState xmlns:xlrd2="http://schemas.microsoft.com/office/spreadsheetml/2017/richdata2" ref="B85:F85">
    <sortCondition descending="1" ref="F192:F208"/>
  </sortState>
  <tableColumns count="5">
    <tableColumn id="2" xr3:uid="{292D75FC-C7C3-45B9-B671-69FC668A5D9D}" name="Ingrediente" dataDxfId="7344" totalsRowDxfId="7343"/>
    <tableColumn id="3" xr3:uid="{D41BBB7B-507E-419A-9E65-0C5B634DEBB9}" name="Und" dataDxfId="7342" totalsRowDxfId="7341"/>
    <tableColumn id="4" xr3:uid="{62EC9B55-AA8E-47ED-BCF4-9216F5A211C1}" name="Cant." dataDxfId="7340" totalsRowDxfId="7339"/>
    <tableColumn id="5" xr3:uid="{7C6FB19E-DDEE-40D8-B733-34974C2501F3}" name="Costo" dataDxfId="7338" totalsRowDxfId="7337" dataCellStyle="Moneda">
      <calculatedColumnFormula>+VLOOKUP(Tabla110345345445545647945586877869510811712713622823724627233260269297315316347385393399195[[#This Row],[Ingrediente]],Tabla34[#All],3,0)</calculatedColumnFormula>
    </tableColumn>
    <tableColumn id="6" xr3:uid="{BD3883A7-1995-49D7-9A08-0892FB2A57D9}" name="Total costo" totalsRowFunction="sum" dataDxfId="7336" totalsRowDxfId="7335" dataCellStyle="Moneda">
      <calculatedColumnFormula>+Tabla110345345445545647945586877869510811712713622823724627233260269297315316347385393399195[[#This Row],[Costo]]*Tabla110345345445545647945586877869510811712713622823724627233260269297315316347385393399195[[#This Row],[Cant.]]</calculatedColumnFormula>
    </tableColumn>
  </tableColumns>
  <tableStyleInfo name="TableStyleLight8" showFirstColumn="0" showLastColumn="0" showRowStripes="1" showColumnStripes="0"/>
</table>
</file>

<file path=xl/tables/table8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EC382E13-58E2-4E94-966F-DF84CFEA3214}" name="Tabla110345345445545647945586877869510811712713622823724627233260269297315316347385393401196" displayName="Tabla110345345445545647945586877869510811712713622823724627233260269297315316347385393401196" ref="B97:F99" totalsRowCount="1" headerRowDxfId="7334" dataDxfId="7332" totalsRowDxfId="7330" headerRowBorderDxfId="7333" tableBorderDxfId="7331" totalsRowBorderDxfId="7329">
  <autoFilter ref="B97:F98" xr:uid="{EC382E13-58E2-4E94-966F-DF84CFEA3214}"/>
  <sortState xmlns:xlrd2="http://schemas.microsoft.com/office/spreadsheetml/2017/richdata2" ref="B98:F98">
    <sortCondition descending="1" ref="F192:F208"/>
  </sortState>
  <tableColumns count="5">
    <tableColumn id="2" xr3:uid="{D5D95571-E6CB-408A-B855-5B8B81CFD048}" name="Ingrediente" dataDxfId="7328" totalsRowDxfId="7327"/>
    <tableColumn id="3" xr3:uid="{61B15F9E-227A-4F4E-BB74-92BBD2C48E60}" name="Und" dataDxfId="7326" totalsRowDxfId="7325"/>
    <tableColumn id="4" xr3:uid="{0D9BD526-801F-4C97-83F2-F8D303471B5E}" name="Cant." dataDxfId="7324" totalsRowDxfId="7323"/>
    <tableColumn id="5" xr3:uid="{A5782E9E-9553-471E-9E1D-D3872D4C052C}" name="Costo" dataDxfId="7322" totalsRowDxfId="7321" dataCellStyle="Moneda">
      <calculatedColumnFormula>+VLOOKUP(Tabla110345345445545647945586877869510811712713622823724627233260269297315316347385393401196[[#This Row],[Ingrediente]],Tabla34[#All],3,0)</calculatedColumnFormula>
    </tableColumn>
    <tableColumn id="6" xr3:uid="{BFB6842D-853B-4D51-A4E1-A1379DC9420B}" name="Total costo" totalsRowFunction="sum" dataDxfId="7320" totalsRowDxfId="7319" dataCellStyle="Moneda">
      <calculatedColumnFormula>+Tabla110345345445545647945586877869510811712713622823724627233260269297315316347385393401196[[#This Row],[Costo]]*Tabla110345345445545647945586877869510811712713622823724627233260269297315316347385393401196[[#This Row],[Cant.]]</calculatedColumnFormula>
    </tableColumn>
  </tableColumns>
  <tableStyleInfo name="TableStyleLight8" showFirstColumn="0" showLastColumn="0" showRowStripes="1" showColumnStripes="0"/>
</table>
</file>

<file path=xl/tables/table8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9022A86A-815F-4ABE-B5FF-15176EB676D1}" name="Tabla110345345445545647945586877869510811712713622823724627233260269297315316347385393403197" displayName="Tabla110345345445545647945586877869510811712713622823724627233260269297315316347385393403197" ref="B109:F111" totalsRowCount="1" headerRowDxfId="7318" dataDxfId="7316" totalsRowDxfId="7314" headerRowBorderDxfId="7317" tableBorderDxfId="7315" totalsRowBorderDxfId="7313">
  <autoFilter ref="B109:F110" xr:uid="{9022A86A-815F-4ABE-B5FF-15176EB676D1}"/>
  <sortState xmlns:xlrd2="http://schemas.microsoft.com/office/spreadsheetml/2017/richdata2" ref="B110:F110">
    <sortCondition descending="1" ref="F192:F208"/>
  </sortState>
  <tableColumns count="5">
    <tableColumn id="2" xr3:uid="{B3312EDE-F850-4BCE-81A2-041CCE7DFCA3}" name="Ingrediente" dataDxfId="7312" totalsRowDxfId="7311"/>
    <tableColumn id="3" xr3:uid="{3E793706-5226-4F48-B99B-23A85ECD6787}" name="Und" dataDxfId="7310" totalsRowDxfId="7309"/>
    <tableColumn id="4" xr3:uid="{FA6FCBBB-8CE8-43C4-AA10-062CCBBCCFBC}" name="Cant." dataDxfId="7308" totalsRowDxfId="7307"/>
    <tableColumn id="5" xr3:uid="{B9635055-3F4F-458B-AF02-29D183A15766}" name="Costo" dataDxfId="7306" totalsRowDxfId="7305" dataCellStyle="Moneda">
      <calculatedColumnFormula>+VLOOKUP(Tabla110345345445545647945586877869510811712713622823724627233260269297315316347385393403197[[#This Row],[Ingrediente]],Tabla34[#All],3,0)</calculatedColumnFormula>
    </tableColumn>
    <tableColumn id="6" xr3:uid="{FEE979D8-33F6-413C-BCE4-B31E552623AB}" name="Total costo" totalsRowFunction="sum" dataDxfId="7304" totalsRowDxfId="7303" dataCellStyle="Moneda">
      <calculatedColumnFormula>+Tabla110345345445545647945586877869510811712713622823724627233260269297315316347385393403197[[#This Row],[Costo]]*Tabla110345345445545647945586877869510811712713622823724627233260269297315316347385393403197[[#This Row],[Cant.]]</calculatedColumnFormula>
    </tableColumn>
  </tableColumns>
  <tableStyleInfo name="TableStyleLight8" showFirstColumn="0" showLastColumn="0" showRowStripes="1" showColumnStripes="0"/>
</table>
</file>

<file path=xl/tables/table8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717E6EC6-56BE-4D08-A841-B5C31D59202E}" name="Tabla110345345445545647945586877869510811712713622823724627233260269297315316347385393405198" displayName="Tabla110345345445545647945586877869510811712713622823724627233260269297315316347385393405198" ref="B123:F125" totalsRowCount="1" headerRowDxfId="7302" dataDxfId="7300" totalsRowDxfId="7298" headerRowBorderDxfId="7301" tableBorderDxfId="7299" totalsRowBorderDxfId="7297">
  <autoFilter ref="B123:F124" xr:uid="{717E6EC6-56BE-4D08-A841-B5C31D59202E}"/>
  <sortState xmlns:xlrd2="http://schemas.microsoft.com/office/spreadsheetml/2017/richdata2" ref="B124:F124">
    <sortCondition descending="1" ref="F192:F208"/>
  </sortState>
  <tableColumns count="5">
    <tableColumn id="2" xr3:uid="{896B47B9-AB68-4912-B63B-707169FAF7B2}" name="Ingrediente" dataDxfId="7296" totalsRowDxfId="7295"/>
    <tableColumn id="3" xr3:uid="{E0BEB281-C3A4-4C65-8542-2721213B73A9}" name="Und" dataDxfId="7294" totalsRowDxfId="7293"/>
    <tableColumn id="4" xr3:uid="{1FB69E0F-BA84-4B27-8AC9-C983DA24C06C}" name="Cant." dataDxfId="7292" totalsRowDxfId="7291"/>
    <tableColumn id="5" xr3:uid="{8AAD9F16-041E-4A06-9273-28D6E6864AAE}" name="Costo" dataDxfId="7290" totalsRowDxfId="7289" dataCellStyle="Moneda">
      <calculatedColumnFormula>+VLOOKUP(Tabla110345345445545647945586877869510811712713622823724627233260269297315316347385393405198[[#This Row],[Ingrediente]],Tabla34[#All],3,0)</calculatedColumnFormula>
    </tableColumn>
    <tableColumn id="6" xr3:uid="{B95F096D-22D5-4BE1-91D0-DA4A85C99889}" name="Total costo" totalsRowFunction="sum" dataDxfId="7288" totalsRowDxfId="7287" dataCellStyle="Moneda">
      <calculatedColumnFormula>+Tabla110345345445545647945586877869510811712713622823724627233260269297315316347385393405198[[#This Row],[Costo]]*Tabla110345345445545647945586877869510811712713622823724627233260269297315316347385393405198[[#This Row],[Cant.]]</calculatedColumnFormula>
    </tableColumn>
  </tableColumns>
  <tableStyleInfo name="TableStyleLight8" showFirstColumn="0" showLastColumn="0" showRowStripes="1" showColumnStripes="0"/>
</table>
</file>

<file path=xl/tables/table8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5" xr:uid="{2A714CE1-FB61-42BF-A6C5-4FA955ECE698}" name="Tabla110345345445545647945586877869510811712713622823724627233260269297315316" displayName="Tabla110345345445545647945586877869510811712713622823724627233260269297315316" ref="B7:F9" totalsRowCount="1" headerRowDxfId="7286" dataDxfId="7284" totalsRowDxfId="7282" headerRowBorderDxfId="7285" tableBorderDxfId="7283" totalsRowBorderDxfId="7281">
  <autoFilter ref="B7:F8" xr:uid="{25E24D6A-940D-4437-B263-679AE371D044}"/>
  <sortState xmlns:xlrd2="http://schemas.microsoft.com/office/spreadsheetml/2017/richdata2" ref="B8:F8">
    <sortCondition descending="1" ref="F192:F208"/>
  </sortState>
  <tableColumns count="5">
    <tableColumn id="2" xr3:uid="{7A85CD39-BB30-4099-A449-AB4F6A3CCC5C}" name="Ingrediente" dataDxfId="7280" totalsRowDxfId="7279"/>
    <tableColumn id="3" xr3:uid="{A24E28D2-BCF0-4FA9-B5CD-E97FF735072D}" name="Und" dataDxfId="7278" totalsRowDxfId="7277"/>
    <tableColumn id="4" xr3:uid="{6C32573A-DCF1-4B6E-865A-AEFB687A29E5}" name="Cant." dataDxfId="7276" totalsRowDxfId="7275"/>
    <tableColumn id="5" xr3:uid="{50D7FE12-08B2-4384-84E4-14F53F4855A4}" name="Costo" dataDxfId="7274" totalsRowDxfId="7273" dataCellStyle="Moneda">
      <calculatedColumnFormula>+VLOOKUP(Tabla110345345445545647945586877869510811712713622823724627233260269297315316[[#This Row],[Ingrediente]],Tabla34[#All],3,0)</calculatedColumnFormula>
    </tableColumn>
    <tableColumn id="6" xr3:uid="{365480E1-F02D-41C1-A0AA-8A31AA1B2DA1}" name="Total costo" totalsRowFunction="sum" dataDxfId="7272" totalsRowDxfId="7271" dataCellStyle="Moneda">
      <calculatedColumnFormula>+Tabla110345345445545647945586877869510811712713622823724627233260269297315316[[#This Row],[Costo]]*Tabla110345345445545647945586877869510811712713622823724627233260269297315316[[#This Row],[Cant.]]</calculatedColumnFormula>
    </tableColumn>
  </tableColumns>
  <tableStyleInfo name="TableStyleLight8" showFirstColumn="0" showLastColumn="0" showRowStripes="1" showColumnStripes="0"/>
</table>
</file>

<file path=xl/tables/table8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7" xr:uid="{B9161B5E-BCDB-4ED7-BF86-ABB8CDE1EED8}" name="Tabla110345345445545647945586877869510811712713622823724627233260269297315316348" displayName="Tabla110345345445545647945586877869510811712713622823724627233260269297315316348" ref="B18:F20" totalsRowCount="1" headerRowDxfId="7270" dataDxfId="7268" totalsRowDxfId="7266" headerRowBorderDxfId="7269" tableBorderDxfId="7267" totalsRowBorderDxfId="7265">
  <autoFilter ref="B18:F19" xr:uid="{B9161B5E-BCDB-4ED7-BF86-ABB8CDE1EED8}"/>
  <sortState xmlns:xlrd2="http://schemas.microsoft.com/office/spreadsheetml/2017/richdata2" ref="B19:F19">
    <sortCondition descending="1" ref="F192:F208"/>
  </sortState>
  <tableColumns count="5">
    <tableColumn id="2" xr3:uid="{5FD6CED1-ACBB-447B-905C-FCEC8FC6F651}" name="Ingrediente" dataDxfId="7264" totalsRowDxfId="7263"/>
    <tableColumn id="3" xr3:uid="{73CB280A-BE65-4EC3-ABF0-970C88C7D789}" name="Und" dataDxfId="7262" totalsRowDxfId="7261"/>
    <tableColumn id="4" xr3:uid="{C23FBE67-BF1B-44E3-9529-73ECFD3BD9D7}" name="Cant." dataDxfId="7260" totalsRowDxfId="7259"/>
    <tableColumn id="5" xr3:uid="{DAAFEA9B-C3AB-46A0-B535-962A5F02D0E8}" name="Costo" dataDxfId="7258" totalsRowDxfId="7257" dataCellStyle="Moneda">
      <calculatedColumnFormula>+VLOOKUP(Tabla110345345445545647945586877869510811712713622823724627233260269297315316348[[#This Row],[Ingrediente]],Tabla34[#All],3,0)</calculatedColumnFormula>
    </tableColumn>
    <tableColumn id="6" xr3:uid="{C710803A-B791-48B8-8294-7F5CE7321EB6}" name="Total costo" totalsRowFunction="sum" dataDxfId="7256" totalsRowDxfId="7255" dataCellStyle="Moneda">
      <calculatedColumnFormula>+Tabla110345345445545647945586877869510811712713622823724627233260269297315316348[[#This Row],[Costo]]*Tabla110345345445545647945586877869510811712713622823724627233260269297315316348[[#This Row],[Cant.]]</calculatedColumnFormula>
    </tableColumn>
  </tableColumns>
  <tableStyleInfo name="TableStyleLight8" showFirstColumn="0" showLastColumn="0" showRowStripes="1" showColumnStripes="0"/>
</table>
</file>

<file path=xl/tables/table8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43217A4-D159-4002-9647-18A2C667A317}" name="Tabla11034534544554564794558687786951081171271362282372462723326026929731531634825" displayName="Tabla11034534544554564794558687786951081171271362282372462723326026929731531634825" ref="B30:F32" totalsRowCount="1" headerRowDxfId="7254" dataDxfId="7252" totalsRowDxfId="7250" headerRowBorderDxfId="7253" tableBorderDxfId="7251" totalsRowBorderDxfId="7249">
  <autoFilter ref="B30:F31" xr:uid="{643217A4-D159-4002-9647-18A2C667A317}"/>
  <sortState xmlns:xlrd2="http://schemas.microsoft.com/office/spreadsheetml/2017/richdata2" ref="B31:F31">
    <sortCondition descending="1" ref="F192:F208"/>
  </sortState>
  <tableColumns count="5">
    <tableColumn id="2" xr3:uid="{9CCEADEE-0BF6-4622-AF35-1C152BF08EF5}" name="Ingrediente" dataDxfId="7248" totalsRowDxfId="7247"/>
    <tableColumn id="3" xr3:uid="{B8333DCA-FAFD-495A-872D-3C491002571E}" name="Und" dataDxfId="7246" totalsRowDxfId="7245"/>
    <tableColumn id="4" xr3:uid="{194B259A-3377-4BFE-BE6E-BF9955856453}" name="Cant." dataDxfId="7244" totalsRowDxfId="7243"/>
    <tableColumn id="5" xr3:uid="{7DCD7817-2460-4296-9F1C-89EC415D2A03}" name="Costo" dataDxfId="7242" totalsRowDxfId="7241" dataCellStyle="Moneda">
      <calculatedColumnFormula>+VLOOKUP(Tabla11034534544554564794558687786951081171271362282372462723326026929731531634825[[#This Row],[Ingrediente]],Tabla34[#All],3,0)</calculatedColumnFormula>
    </tableColumn>
    <tableColumn id="6" xr3:uid="{449148B6-B7D8-4F5B-9B93-E27723ACC092}" name="Total costo" totalsRowFunction="sum" dataDxfId="7240" totalsRowDxfId="7239" dataCellStyle="Moneda">
      <calculatedColumnFormula>+Tabla11034534544554564794558687786951081171271362282372462723326026929731531634825[[#This Row],[Costo]]*Tabla11034534544554564794558687786951081171271362282372462723326026929731531634825[[#This Row],[Cant.]]</calculatedColumnFormula>
    </tableColumn>
  </tableColumns>
  <tableStyleInfo name="TableStyleLight8" showFirstColumn="0" showLastColumn="0" showRowStripes="1" showColumnStripes="0"/>
</table>
</file>

<file path=xl/tables/table8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4A6E4918-100D-4C1A-B05E-67683EFD0662}" name="Tabla110345345445545647945586877869510811712713622823724627233260269297315316347209" displayName="Tabla110345345445545647945586877869510811712713622823724627233260269297315316347209" ref="B44:F46" totalsRowCount="1" headerRowDxfId="7238" dataDxfId="7236" totalsRowDxfId="7234" headerRowBorderDxfId="7237" tableBorderDxfId="7235" totalsRowBorderDxfId="7233">
  <autoFilter ref="B44:F45" xr:uid="{4A6E4918-100D-4C1A-B05E-67683EFD0662}"/>
  <sortState xmlns:xlrd2="http://schemas.microsoft.com/office/spreadsheetml/2017/richdata2" ref="B45:F45">
    <sortCondition descending="1" ref="F192:F208"/>
  </sortState>
  <tableColumns count="5">
    <tableColumn id="2" xr3:uid="{8B5A8CB5-3BBF-45B3-B094-72C5A6C3A8C2}" name="Ingrediente" dataDxfId="7232" totalsRowDxfId="7231"/>
    <tableColumn id="3" xr3:uid="{0B52C61A-2456-4FA2-B8BE-7D9ECB01E336}" name="Und" dataDxfId="7230" totalsRowDxfId="7229"/>
    <tableColumn id="4" xr3:uid="{5404AD82-F1D9-412A-893E-C5DE89641ADC}" name="Cant." dataDxfId="7228" totalsRowDxfId="7227"/>
    <tableColumn id="5" xr3:uid="{F2419699-A8C2-45F5-8D0A-13ECB2926E87}" name="Costo" dataDxfId="7226" totalsRowDxfId="7225" dataCellStyle="Moneda">
      <calculatedColumnFormula>+VLOOKUP(Tabla110345345445545647945586877869510811712713622823724627233260269297315316347209[[#This Row],[Ingrediente]],Tabla34[#All],3,0)</calculatedColumnFormula>
    </tableColumn>
    <tableColumn id="6" xr3:uid="{9DE180C5-5E5D-4F90-8A1E-B33E06E15454}" name="Total costo" totalsRowFunction="sum" dataDxfId="7224" totalsRowDxfId="7223" dataCellStyle="Moneda">
      <calculatedColumnFormula>+Tabla110345345445545647945586877869510811712713622823724627233260269297315316347209[[#This Row],[Costo]]*Tabla110345345445545647945586877869510811712713622823724627233260269297315316347209[[#This Row],[Cant.]]</calculatedColumnFormula>
    </tableColumn>
  </tableColumns>
  <tableStyleInfo name="TableStyleLight8" showFirstColumn="0" showLastColumn="0" showRowStripes="1" showColumnStripes="0"/>
</table>
</file>

<file path=xl/tables/table8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B3206AF2-C0BA-4C91-93A3-C644A5BD9322}" name="Tabla110345345445545647945586877869510811712713622823724627233260269297315316347349210" displayName="Tabla110345345445545647945586877869510811712713622823724627233260269297315316347349210" ref="B55:F57" totalsRowCount="1" headerRowDxfId="7222" dataDxfId="7220" totalsRowDxfId="7218" headerRowBorderDxfId="7221" tableBorderDxfId="7219" totalsRowBorderDxfId="7217">
  <autoFilter ref="B55:F56" xr:uid="{B3206AF2-C0BA-4C91-93A3-C644A5BD9322}"/>
  <sortState xmlns:xlrd2="http://schemas.microsoft.com/office/spreadsheetml/2017/richdata2" ref="B56:F56">
    <sortCondition descending="1" ref="F192:F208"/>
  </sortState>
  <tableColumns count="5">
    <tableColumn id="2" xr3:uid="{841F11A4-FDE6-4687-AE19-1682900FA938}" name="Ingrediente" dataDxfId="7216" totalsRowDxfId="7215"/>
    <tableColumn id="3" xr3:uid="{7E14DEC3-A597-40C9-A5DA-5DB184959211}" name="Und" dataDxfId="7214" totalsRowDxfId="7213"/>
    <tableColumn id="4" xr3:uid="{E2E936B9-CD77-45F5-B39B-C71F31D1460A}" name="Cant." dataDxfId="7212" totalsRowDxfId="7211"/>
    <tableColumn id="5" xr3:uid="{BEC35115-0FE9-42B2-B5FF-B1B2394A367D}" name="Costo" dataDxfId="7210" totalsRowDxfId="7209" dataCellStyle="Moneda">
      <calculatedColumnFormula>+VLOOKUP(Tabla110345345445545647945586877869510811712713622823724627233260269297315316347349210[[#This Row],[Ingrediente]],Tabla34[#All],3,0)</calculatedColumnFormula>
    </tableColumn>
    <tableColumn id="6" xr3:uid="{92B71A72-3DCC-4FEA-B805-D35BE583046A}" name="Total costo" totalsRowFunction="sum" dataDxfId="7208" totalsRowDxfId="7207" dataCellStyle="Moneda">
      <calculatedColumnFormula>+Tabla110345345445545647945586877869510811712713622823724627233260269297315316347349210[[#This Row],[Costo]]*Tabla110345345445545647945586877869510811712713622823724627233260269297315316347349210[[#This Row],[Cant.]]</calculatedColumnFormula>
    </tableColumn>
  </tableColumns>
  <tableStyleInfo name="TableStyleLight8" showFirstColumn="0" showLastColumn="0" showRowStripes="1" showColumnStripes="0"/>
</table>
</file>

<file path=xl/tables/table8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08D76F38-9886-4456-8B20-01E7D625D5D3}" name="Tabla11034534544554564794558687786951081171271362282372462723326026929731531634825167211" displayName="Tabla11034534544554564794558687786951081171271362282372462723326026929731531634825167211" ref="B67:F69" totalsRowCount="1" headerRowDxfId="7206" dataDxfId="7204" totalsRowDxfId="7202" headerRowBorderDxfId="7205" tableBorderDxfId="7203" totalsRowBorderDxfId="7201">
  <autoFilter ref="B67:F68" xr:uid="{08D76F38-9886-4456-8B20-01E7D625D5D3}"/>
  <sortState xmlns:xlrd2="http://schemas.microsoft.com/office/spreadsheetml/2017/richdata2" ref="B68:F68">
    <sortCondition descending="1" ref="F192:F208"/>
  </sortState>
  <tableColumns count="5">
    <tableColumn id="2" xr3:uid="{52B8EF78-80DE-4A00-AE8E-D1B6122129BF}" name="Ingrediente" dataDxfId="7200" totalsRowDxfId="7199"/>
    <tableColumn id="3" xr3:uid="{6D135658-5444-44EF-A496-571C7A33F50F}" name="Und" dataDxfId="7198" totalsRowDxfId="7197"/>
    <tableColumn id="4" xr3:uid="{4F11C707-FD3C-44E5-9D89-D1EFF8A30DC5}" name="Cant." dataDxfId="7196" totalsRowDxfId="7195"/>
    <tableColumn id="5" xr3:uid="{EAA834EE-3449-4C48-90B8-AD933009E54E}" name="Costo" dataDxfId="7194" totalsRowDxfId="7193" dataCellStyle="Moneda">
      <calculatedColumnFormula>+VLOOKUP(Tabla11034534544554564794558687786951081171271362282372462723326026929731531634825167211[[#This Row],[Ingrediente]],Tabla34[#All],3,0)</calculatedColumnFormula>
    </tableColumn>
    <tableColumn id="6" xr3:uid="{EE952BFF-AB17-41E9-B425-AA759FE25AFC}" name="Total costo" totalsRowFunction="sum" dataDxfId="7192" totalsRowDxfId="7191" dataCellStyle="Moneda">
      <calculatedColumnFormula>+Tabla11034534544554564794558687786951081171271362282372462723326026929731531634825167211[[#This Row],[Costo]]*Tabla11034534544554564794558687786951081171271362282372462723326026929731531634825167211[[#This Row],[Cant.]]</calculatedColumnFormula>
    </tableColumn>
  </tableColumns>
  <tableStyleInfo name="TableStyleLight8" showFirstColumn="0" showLastColumn="0" showRowStripes="1" showColumnStripes="0"/>
</table>
</file>

<file path=xl/tables/table8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2538CC03-15FA-49FA-97EF-718BA4508F10}" name="Tabla110345345445545647945586877869510811712713622823724627233260269297" displayName="Tabla110345345445545647945586877869510811712713622823724627233260269297" ref="B7:F9" totalsRowCount="1" headerRowDxfId="7190" dataDxfId="7188" totalsRowDxfId="7186" headerRowBorderDxfId="7189" tableBorderDxfId="7187" totalsRowBorderDxfId="7185">
  <autoFilter ref="B7:F8" xr:uid="{25E24D6A-940D-4437-B263-679AE371D044}"/>
  <sortState xmlns:xlrd2="http://schemas.microsoft.com/office/spreadsheetml/2017/richdata2" ref="B8:F8">
    <sortCondition descending="1" ref="F192:F208"/>
  </sortState>
  <tableColumns count="5">
    <tableColumn id="2" xr3:uid="{D8F0191E-0969-4021-BBB4-F15E45607E9E}" name="Ingrediente" dataDxfId="7184" totalsRowDxfId="7183"/>
    <tableColumn id="3" xr3:uid="{13786594-0EDF-4E33-A1AB-65F6852A99B1}" name="Und" dataDxfId="7182" totalsRowDxfId="7181"/>
    <tableColumn id="4" xr3:uid="{AA9A7C84-5ADF-418F-B36F-C64DD6490EAD}" name="Cant." dataDxfId="7180" totalsRowDxfId="7179"/>
    <tableColumn id="5" xr3:uid="{C1844095-4F51-4D91-A077-6854DEC585A9}" name="Costo" dataDxfId="7178" totalsRowDxfId="7177" dataCellStyle="Moneda">
      <calculatedColumnFormula>+VLOOKUP(Tabla110345345445545647945586877869510811712713622823724627233260269297[[#This Row],[Ingrediente]],Tabla34[#All],3,0)</calculatedColumnFormula>
    </tableColumn>
    <tableColumn id="6" xr3:uid="{AD4E4C9A-D2A4-4901-80BC-1A5DCD5E7268}" name="Total costo" totalsRowFunction="sum" dataDxfId="7176" totalsRowDxfId="7175" dataCellStyle="Moneda">
      <calculatedColumnFormula>+Tabla110345345445545647945586877869510811712713622823724627233260269297[[#This Row],[Costo]]*Tabla110345345445545647945586877869510811712713622823724627233260269297[[#This Row],[Cant.]]</calculatedColumnFormula>
    </tableColumn>
  </tableColumns>
  <tableStyleInfo name="TableStyleLight8" showFirstColumn="0" showLastColumn="0" showRowStripes="1" showColumnStripes="0"/>
</table>
</file>

<file path=xl/tables/table8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3" xr:uid="{8737A9A5-BCAD-4686-A9E6-D14896A96EF8}" name="Tabla110345345445545647945586877869510811712713622823724627233260269297324" displayName="Tabla110345345445545647945586877869510811712713622823724627233260269297324" ref="B21:F23" totalsRowCount="1" headerRowDxfId="7174" dataDxfId="7172" totalsRowDxfId="7170" headerRowBorderDxfId="7173" tableBorderDxfId="7171" totalsRowBorderDxfId="7169">
  <autoFilter ref="B21:F22" xr:uid="{09ED400D-6FFB-408E-8FFA-94C90AFE87D2}"/>
  <sortState xmlns:xlrd2="http://schemas.microsoft.com/office/spreadsheetml/2017/richdata2" ref="B22:F22">
    <sortCondition descending="1" ref="F192:F208"/>
  </sortState>
  <tableColumns count="5">
    <tableColumn id="2" xr3:uid="{9C5F539C-07B8-4920-8EB4-E5EACBF6DBC8}" name="Ingrediente" dataDxfId="7168" totalsRowDxfId="7167"/>
    <tableColumn id="3" xr3:uid="{7278DF69-F1E4-4FC7-9B54-F90D546C4839}" name="Und" dataDxfId="7166" totalsRowDxfId="7165"/>
    <tableColumn id="4" xr3:uid="{D847FDB4-98EE-485A-B050-029776F82195}" name="Cant." dataDxfId="7164" totalsRowDxfId="7163"/>
    <tableColumn id="5" xr3:uid="{74F40C2D-F868-4C7B-8BE2-D4A403982558}" name="Costo" dataDxfId="7162" totalsRowDxfId="7161" dataCellStyle="Moneda">
      <calculatedColumnFormula>+VLOOKUP(Tabla110345345445545647945586877869510811712713622823724627233260269297324[[#This Row],[Ingrediente]],Tabla34[#All],3,0)</calculatedColumnFormula>
    </tableColumn>
    <tableColumn id="6" xr3:uid="{50F279A4-C8ED-4ABB-9E69-E60DBFCDECE6}" name="Total costo" totalsRowFunction="sum" dataDxfId="7160" totalsRowDxfId="7159" dataCellStyle="Moneda">
      <calculatedColumnFormula>+Tabla110345345445545647945586877869510811712713622823724627233260269297324[[#This Row],[Costo]]*Tabla110345345445545647945586877869510811712713622823724627233260269297324[[#This Row],[Cant.]]</calculatedColumnFormula>
    </tableColumn>
  </tableColumns>
  <tableStyleInfo name="TableStyleLight8" showFirstColumn="0" showLastColumn="0" showRowStripes="1" showColumnStripes="0"/>
</table>
</file>

<file path=xl/tables/table8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4" xr:uid="{3683AC4D-8E84-4586-A852-EF1004854411}" name="Tabla110345345445545647945586877869510811712713622823724627233260269297324325" displayName="Tabla110345345445545647945586877869510811712713622823724627233260269297324325" ref="B34:F36" totalsRowCount="1" headerRowDxfId="7158" dataDxfId="7156" totalsRowDxfId="7154" headerRowBorderDxfId="7157" tableBorderDxfId="7155" totalsRowBorderDxfId="7153">
  <autoFilter ref="B34:F35" xr:uid="{936C502D-D4AC-471F-AB76-F9BB1AFB6F75}"/>
  <sortState xmlns:xlrd2="http://schemas.microsoft.com/office/spreadsheetml/2017/richdata2" ref="B35:F35">
    <sortCondition descending="1" ref="F192:F208"/>
  </sortState>
  <tableColumns count="5">
    <tableColumn id="2" xr3:uid="{81E19334-2471-41B6-8FD4-53BEC19382A8}" name="Ingrediente" dataDxfId="7152" totalsRowDxfId="7151"/>
    <tableColumn id="3" xr3:uid="{EAF3EEBD-5B97-40BA-A360-B44264BFB8D8}" name="Und" dataDxfId="7150" totalsRowDxfId="7149"/>
    <tableColumn id="4" xr3:uid="{9C10EDE1-1307-46A1-89F3-BD3591C5E1CE}" name="Cant." dataDxfId="7148" totalsRowDxfId="7147"/>
    <tableColumn id="5" xr3:uid="{3E275633-44CE-45AF-B041-1B79B1801849}" name="Costo" dataDxfId="7146" totalsRowDxfId="7145" dataCellStyle="Moneda">
      <calculatedColumnFormula>+VLOOKUP(Tabla110345345445545647945586877869510811712713622823724627233260269297324325[[#This Row],[Ingrediente]],Tabla34[#All],3,0)</calculatedColumnFormula>
    </tableColumn>
    <tableColumn id="6" xr3:uid="{7640FDDC-6D16-4220-B0ED-0AAE6CF2952B}" name="Total costo" totalsRowFunction="sum" dataDxfId="7144" totalsRowDxfId="7143" dataCellStyle="Moneda">
      <calculatedColumnFormula>+Tabla110345345445545647945586877869510811712713622823724627233260269297324325[[#This Row],[Costo]]*Tabla110345345445545647945586877869510811712713622823724627233260269297324325[[#This Row],[Cant.]]</calculatedColumnFormula>
    </tableColumn>
  </tableColumns>
  <tableStyleInfo name="TableStyleLight8" showFirstColumn="0" showLastColumn="0" showRowStripes="1" showColumnStripes="0"/>
</table>
</file>

<file path=xl/tables/table8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6" xr:uid="{E4B1B1D8-FC87-4619-B9BF-96FCA5C244CF}" name="Tabla110345345445545647945586877869510811712713622823724627233260269297324327" displayName="Tabla110345345445545647945586877869510811712713622823724627233260269297324327" ref="B60:F62" totalsRowCount="1" headerRowDxfId="7142" dataDxfId="7140" totalsRowDxfId="7138" headerRowBorderDxfId="7141" tableBorderDxfId="7139" totalsRowBorderDxfId="7137">
  <autoFilter ref="B60:F61" xr:uid="{25208CD8-E3B4-464D-9F90-E00E7A72F030}"/>
  <sortState xmlns:xlrd2="http://schemas.microsoft.com/office/spreadsheetml/2017/richdata2" ref="B61:F61">
    <sortCondition descending="1" ref="F193:F209"/>
  </sortState>
  <tableColumns count="5">
    <tableColumn id="2" xr3:uid="{14015693-35FC-4546-BB3C-503B251FFB03}" name="Ingrediente" dataDxfId="7136" totalsRowDxfId="7135"/>
    <tableColumn id="3" xr3:uid="{0A594491-7065-46A9-82CF-C34B44C6C1C4}" name="Und" dataDxfId="7134" totalsRowDxfId="7133"/>
    <tableColumn id="4" xr3:uid="{59E57780-4BEA-4FB5-B66D-146592A39D83}" name="Cant." dataDxfId="7132" totalsRowDxfId="7131"/>
    <tableColumn id="5" xr3:uid="{8E68712F-996A-4768-A348-11D2F7273726}" name="Costo" dataDxfId="7130" totalsRowDxfId="7129" dataCellStyle="Moneda">
      <calculatedColumnFormula>+VLOOKUP(Tabla110345345445545647945586877869510811712713622823724627233260269297324327[[#This Row],[Ingrediente]],Tabla34[#All],3,0)</calculatedColumnFormula>
    </tableColumn>
    <tableColumn id="6" xr3:uid="{B71B2CE8-A67F-4E06-AF2B-7CA3C86FBC07}" name="Total costo" totalsRowFunction="sum" dataDxfId="7128" totalsRowDxfId="7127" dataCellStyle="Moneda">
      <calculatedColumnFormula>+Tabla110345345445545647945586877869510811712713622823724627233260269297324327[[#This Row],[Costo]]*Tabla110345345445545647945586877869510811712713622823724627233260269297324327[[#This Row],[Cant.]]</calculatedColumnFormula>
    </tableColumn>
  </tableColumns>
  <tableStyleInfo name="TableStyleLight8" showFirstColumn="0" showLastColumn="0" showRowStripes="1" showColumnStripes="0"/>
</table>
</file>

<file path=xl/tables/table8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BC4E0DC-60FC-43BD-81FF-0BFCACCD6476}" name="Tabla110345345445545647945586877869510811712713622823724627233260269297324327256114" displayName="Tabla110345345445545647945586877869510811712713622823724627233260269297324327256114" ref="B77:F79" totalsRowCount="1" headerRowDxfId="7126" dataDxfId="7124" totalsRowDxfId="7122" headerRowBorderDxfId="7125" tableBorderDxfId="7123" totalsRowBorderDxfId="7121">
  <autoFilter ref="B77:F78" xr:uid="{DBC4E0DC-60FC-43BD-81FF-0BFCACCD6476}"/>
  <sortState xmlns:xlrd2="http://schemas.microsoft.com/office/spreadsheetml/2017/richdata2" ref="B78:F78">
    <sortCondition descending="1" ref="F156:F172"/>
  </sortState>
  <tableColumns count="5">
    <tableColumn id="2" xr3:uid="{F01DD8F5-D853-437D-9B4C-83E708631B9C}" name="Ingrediente" dataDxfId="7120" totalsRowDxfId="7119"/>
    <tableColumn id="3" xr3:uid="{DC8CCE97-4C88-43C3-BD26-6FC5BDDE2CC7}" name="Und" dataDxfId="7118" totalsRowDxfId="7117"/>
    <tableColumn id="4" xr3:uid="{80E28D4B-1FFA-46D9-9A54-3CBD55AAD1BB}" name="Cant." dataDxfId="7116" totalsRowDxfId="7115"/>
    <tableColumn id="5" xr3:uid="{93EF2657-69B1-41C1-83C6-0ECFDE50A116}" name="Costo" dataDxfId="7114" totalsRowDxfId="7113" dataCellStyle="Moneda">
      <calculatedColumnFormula>+VLOOKUP(Tabla110345345445545647945586877869510811712713622823724627233260269297324327256114[[#This Row],[Ingrediente]],Tabla34[#All],3,0)</calculatedColumnFormula>
    </tableColumn>
    <tableColumn id="6" xr3:uid="{5A5A3706-4EF5-431E-8607-CD29C6EDF0E2}" name="Total costo" totalsRowFunction="sum" dataDxfId="7112" totalsRowDxfId="7111" dataCellStyle="Moneda">
      <calculatedColumnFormula>+Tabla110345345445545647945586877869510811712713622823724627233260269297324327256114[[#This Row],[Costo]]*Tabla110345345445545647945586877869510811712713622823724627233260269297324327256114[[#This Row],[Cant.]]</calculatedColumnFormula>
    </tableColumn>
  </tableColumns>
  <tableStyleInfo name="TableStyleLight8" showFirstColumn="0" showLastColumn="0" showRowStripes="1" showColumnStripes="0"/>
</table>
</file>

<file path=xl/tables/table8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F61C230C-8E9A-4DDE-9F66-A35DC6291644}" name="Tabla110345345445545647945586877869510811712713622823724627233260269297324327256114116" displayName="Tabla110345345445545647945586877869510811712713622823724627233260269297324327256114116" ref="B89:F91" totalsRowCount="1" headerRowDxfId="7110" dataDxfId="7108" totalsRowDxfId="7106" headerRowBorderDxfId="7109" tableBorderDxfId="7107" totalsRowBorderDxfId="7105">
  <autoFilter ref="B89:F90" xr:uid="{F61C230C-8E9A-4DDE-9F66-A35DC6291644}"/>
  <sortState xmlns:xlrd2="http://schemas.microsoft.com/office/spreadsheetml/2017/richdata2" ref="B90:F90">
    <sortCondition descending="1" ref="F156:F172"/>
  </sortState>
  <tableColumns count="5">
    <tableColumn id="2" xr3:uid="{F211718C-59D2-41C6-8221-B1ED182BD291}" name="Ingrediente" dataDxfId="7104" totalsRowDxfId="7103"/>
    <tableColumn id="3" xr3:uid="{9592586D-790D-4AB7-87AE-109D37CA9ED6}" name="Und" dataDxfId="7102" totalsRowDxfId="7101"/>
    <tableColumn id="4" xr3:uid="{E6CF6440-59DF-4B25-82EC-9C5D871BC004}" name="Cant." dataDxfId="7100" totalsRowDxfId="7099"/>
    <tableColumn id="5" xr3:uid="{B92020B5-F86D-4BB7-B220-4088956C65E0}" name="Costo" dataDxfId="7098" totalsRowDxfId="7097" dataCellStyle="Moneda">
      <calculatedColumnFormula>+VLOOKUP(Tabla110345345445545647945586877869510811712713622823724627233260269297324327256114116[[#This Row],[Ingrediente]],Tabla34[#All],3,0)</calculatedColumnFormula>
    </tableColumn>
    <tableColumn id="6" xr3:uid="{4DC1D715-D5D5-4D8E-8F8E-5BDA1FB9E53E}" name="Total costo" totalsRowFunction="sum" dataDxfId="7096" totalsRowDxfId="7095" dataCellStyle="Moneda">
      <calculatedColumnFormula>+Tabla110345345445545647945586877869510811712713622823724627233260269297324327256114116[[#This Row],[Costo]]*Tabla110345345445545647945586877869510811712713622823724627233260269297324327256114116[[#This Row],[Cant.]]</calculatedColumnFormula>
    </tableColumn>
  </tableColumns>
  <tableStyleInfo name="TableStyleLight8" showFirstColumn="0" showLastColumn="0" showRowStripes="1" showColumnStripes="0"/>
</table>
</file>

<file path=xl/tables/table8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549173B-8885-4CBD-9064-4EFA40ABC563}" name="Tabla110345345445545647945586877869510811712713622823724627233260269297324327256114134" displayName="Tabla110345345445545647945586877869510811712713622823724627233260269297324327256114134" ref="B100:F102" totalsRowCount="1" headerRowDxfId="7094" dataDxfId="7092" totalsRowDxfId="7090" headerRowBorderDxfId="7093" tableBorderDxfId="7091" totalsRowBorderDxfId="7089">
  <autoFilter ref="B100:F101" xr:uid="{B549173B-8885-4CBD-9064-4EFA40ABC563}"/>
  <sortState xmlns:xlrd2="http://schemas.microsoft.com/office/spreadsheetml/2017/richdata2" ref="B101:F101">
    <sortCondition descending="1" ref="F156:F172"/>
  </sortState>
  <tableColumns count="5">
    <tableColumn id="2" xr3:uid="{0677C675-20E9-4882-81C2-D645E8959D97}" name="Ingrediente" dataDxfId="7088" totalsRowDxfId="7087"/>
    <tableColumn id="3" xr3:uid="{98938246-87E9-4274-A5D6-C0AD590FFD4C}" name="Und" dataDxfId="7086" totalsRowDxfId="7085"/>
    <tableColumn id="4" xr3:uid="{68E57EA8-6E54-4EC3-AE48-1A3CB03106CB}" name="Cant." dataDxfId="7084" totalsRowDxfId="7083"/>
    <tableColumn id="5" xr3:uid="{8F652A2B-D7AF-4CAB-8B38-C69F9B8E52F0}" name="Costo" dataDxfId="7082" totalsRowDxfId="7081" dataCellStyle="Moneda">
      <calculatedColumnFormula>+VLOOKUP(Tabla110345345445545647945586877869510811712713622823724627233260269297324327256114134[[#This Row],[Ingrediente]],Tabla34[#All],3,0)</calculatedColumnFormula>
    </tableColumn>
    <tableColumn id="6" xr3:uid="{790038D8-AE33-463A-97CE-C2401C8293A3}" name="Total costo" totalsRowFunction="sum" dataDxfId="7080" totalsRowDxfId="7079" dataCellStyle="Moneda">
      <calculatedColumnFormula>+Tabla110345345445545647945586877869510811712713622823724627233260269297324327256114134[[#This Row],[Costo]]*Tabla110345345445545647945586877869510811712713622823724627233260269297324327256114134[[#This Row],[Cant.]]</calculatedColumnFormula>
    </tableColumn>
  </tableColumns>
  <tableStyleInfo name="TableStyleLight8" showFirstColumn="0" showLastColumn="0" showRowStripes="1" showColumnStripes="0"/>
</table>
</file>

<file path=xl/tables/table8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79591A02-9AED-4831-9B9E-28CF5C194A3D}" name="Tabla110345345445545647945586877869510811712713622823724627233260269297324325299" displayName="Tabla110345345445545647945586877869510811712713622823724627233260269297324325299" ref="B47:F49" totalsRowCount="1" headerRowDxfId="7078" dataDxfId="7076" totalsRowDxfId="7074" headerRowBorderDxfId="7077" tableBorderDxfId="7075" totalsRowBorderDxfId="7073">
  <autoFilter ref="B47:F48" xr:uid="{79591A02-9AED-4831-9B9E-28CF5C194A3D}"/>
  <sortState xmlns:xlrd2="http://schemas.microsoft.com/office/spreadsheetml/2017/richdata2" ref="B48:F48">
    <sortCondition descending="1" ref="F192:F208"/>
  </sortState>
  <tableColumns count="5">
    <tableColumn id="2" xr3:uid="{F945C588-122B-43C7-94FB-17697F05798C}" name="Ingrediente" dataDxfId="7072" totalsRowDxfId="7071"/>
    <tableColumn id="3" xr3:uid="{55BFD46D-6CBD-4DB5-B947-CDC3DD1A1662}" name="Und" dataDxfId="7070" totalsRowDxfId="7069"/>
    <tableColumn id="4" xr3:uid="{6DF1A49A-1657-4F9B-B06A-9823D7A4A468}" name="Cant." dataDxfId="7068" totalsRowDxfId="7067"/>
    <tableColumn id="5" xr3:uid="{9C2E252D-850A-43ED-8CF8-CAA8C4CF9826}" name="Costo" dataDxfId="7066" totalsRowDxfId="7065" dataCellStyle="Moneda">
      <calculatedColumnFormula>+VLOOKUP(Tabla110345345445545647945586877869510811712713622823724627233260269297324325299[[#This Row],[Ingrediente]],Tabla34[#All],3,0)</calculatedColumnFormula>
    </tableColumn>
    <tableColumn id="6" xr3:uid="{2B454B2B-3829-4556-8653-7CAD06511D57}" name="Total costo" totalsRowFunction="sum" dataDxfId="7064" totalsRowDxfId="7063" dataCellStyle="Moneda">
      <calculatedColumnFormula>+Tabla110345345445545647945586877869510811712713622823724627233260269297324325299[[#This Row],[Costo]]*Tabla110345345445545647945586877869510811712713622823724627233260269297324325299[[#This Row],[Cant.]]</calculatedColumnFormula>
    </tableColumn>
  </tableColumns>
  <tableStyleInfo name="TableStyleLight8" showFirstColumn="0" showLastColumn="0" showRowStripes="1" showColumnStripes="0"/>
</table>
</file>

<file path=xl/tables/table8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434E1BE-162D-46A0-8991-F09C3EFAF334}" name="Tabla11034534544554564794558687786951081171271362282372462723326026929732432725611413424" displayName="Tabla11034534544554564794558687786951081171271362282372462723326026929732432725611413424" ref="B113:F115" totalsRowCount="1" headerRowDxfId="7062" dataDxfId="7060" totalsRowDxfId="7058" headerRowBorderDxfId="7061" tableBorderDxfId="7059" totalsRowBorderDxfId="7057">
  <autoFilter ref="B113:F114" xr:uid="{B434E1BE-162D-46A0-8991-F09C3EFAF334}"/>
  <sortState xmlns:xlrd2="http://schemas.microsoft.com/office/spreadsheetml/2017/richdata2" ref="B114:F114">
    <sortCondition descending="1" ref="F156:F172"/>
  </sortState>
  <tableColumns count="5">
    <tableColumn id="2" xr3:uid="{AE371818-4888-499F-8F4F-F96B3242F815}" name="Ingrediente" dataDxfId="7056" totalsRowDxfId="7055"/>
    <tableColumn id="3" xr3:uid="{E40CDE36-2837-49AF-AD56-0E29680A0FB4}" name="Und" dataDxfId="7054" totalsRowDxfId="7053"/>
    <tableColumn id="4" xr3:uid="{32F3718E-64B5-43AE-8D16-756A797F1B43}" name="Cant." dataDxfId="7052" totalsRowDxfId="7051"/>
    <tableColumn id="5" xr3:uid="{FCDE870E-FDA4-417C-B7BE-D00924215D47}" name="Costo" dataDxfId="7050" totalsRowDxfId="7049" dataCellStyle="Moneda">
      <calculatedColumnFormula>+VLOOKUP(Tabla11034534544554564794558687786951081171271362282372462723326026929732432725611413424[[#This Row],[Ingrediente]],Tabla34[#All],3,0)</calculatedColumnFormula>
    </tableColumn>
    <tableColumn id="6" xr3:uid="{992090C3-211C-4DC8-A5D8-928E3F9F5B93}" name="Total costo" totalsRowFunction="sum" dataDxfId="7048" totalsRowDxfId="7047" dataCellStyle="Moneda">
      <calculatedColumnFormula>+Tabla11034534544554564794558687786951081171271362282372462723326026929732432725611413424[[#This Row],[Costo]]*Tabla11034534544554564794558687786951081171271362282372462723326026929732432725611413424[[#This Row],[Cant.]]</calculatedColumnFormula>
    </tableColumn>
  </tableColumns>
  <tableStyleInfo name="TableStyleLight8" showFirstColumn="0" showLastColumn="0" showRowStripes="1" showColumnStripes="0"/>
</table>
</file>

<file path=xl/tables/table8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B7C27C3A-8387-4B3C-B254-6C155A8E5961}" name="Tabla110345345445545647945586877869510811712713622823724627233260269297324328212" displayName="Tabla110345345445545647945586877869510811712713622823724627233260269297324328212" ref="B126:F128" totalsRowCount="1" headerRowDxfId="7046" dataDxfId="7044" totalsRowDxfId="7042" headerRowBorderDxfId="7045" tableBorderDxfId="7043" totalsRowBorderDxfId="7041">
  <autoFilter ref="B126:F127" xr:uid="{B7C27C3A-8387-4B3C-B254-6C155A8E5961}"/>
  <sortState xmlns:xlrd2="http://schemas.microsoft.com/office/spreadsheetml/2017/richdata2" ref="B127:F127">
    <sortCondition descending="1" ref="F192:F208"/>
  </sortState>
  <tableColumns count="5">
    <tableColumn id="2" xr3:uid="{F5A4F6D0-78D7-4A1E-9E00-52217D01EEB2}" name="Ingrediente" dataDxfId="7040" totalsRowDxfId="7039"/>
    <tableColumn id="3" xr3:uid="{93B91987-1506-464F-92D4-F15DAA33BBE9}" name="Und" dataDxfId="7038" totalsRowDxfId="7037"/>
    <tableColumn id="4" xr3:uid="{25D2D3FA-0A00-46AA-B43C-63BB455668A0}" name="Cant." dataDxfId="7036" totalsRowDxfId="7035"/>
    <tableColumn id="5" xr3:uid="{3D163AD6-6220-4F8A-BF54-7029178AE85A}" name="Costo" dataDxfId="7034" totalsRowDxfId="7033" dataCellStyle="Moneda">
      <calculatedColumnFormula>+VLOOKUP(Tabla110345345445545647945586877869510811712713622823724627233260269297324328212[[#This Row],[Ingrediente]],Tabla34[#All],3,0)</calculatedColumnFormula>
    </tableColumn>
    <tableColumn id="6" xr3:uid="{95305564-ED4C-4018-AC60-4613C64C74B4}" name="Total costo" totalsRowFunction="sum" dataDxfId="7032" totalsRowDxfId="7031" dataCellStyle="Moneda">
      <calculatedColumnFormula>+Tabla110345345445545647945586877869510811712713622823724627233260269297324328212[[#This Row],[Costo]]*Tabla110345345445545647945586877869510811712713622823724627233260269297324328212[[#This Row],[Cant.]]</calculatedColumnFormula>
    </tableColumn>
  </tableColumns>
  <tableStyleInfo name="TableStyleLight8" showFirstColumn="0" showLastColumn="0" showRowStripes="1" showColumnStripes="0"/>
</table>
</file>

<file path=xl/tables/table8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8E9C3353-4D9F-4CD3-A81A-996EF670EF3F}" name="Tabla110345345445545647945586877869510811712713622823724627233260269297324329213" displayName="Tabla110345345445545647945586877869510811712713622823724627233260269297324329213" ref="B140:F142" totalsRowCount="1" headerRowDxfId="7030" dataDxfId="7028" totalsRowDxfId="7026" headerRowBorderDxfId="7029" tableBorderDxfId="7027" totalsRowBorderDxfId="7025">
  <autoFilter ref="B140:F141" xr:uid="{8E9C3353-4D9F-4CD3-A81A-996EF670EF3F}"/>
  <sortState xmlns:xlrd2="http://schemas.microsoft.com/office/spreadsheetml/2017/richdata2" ref="B141:F141">
    <sortCondition descending="1" ref="F192:F208"/>
  </sortState>
  <tableColumns count="5">
    <tableColumn id="2" xr3:uid="{5AC0AA27-BAA4-49C0-ADA7-BC578956F609}" name="Ingrediente" dataDxfId="7024" totalsRowDxfId="7023"/>
    <tableColumn id="3" xr3:uid="{347075B3-B423-41A8-A769-2734B6D91642}" name="Und" dataDxfId="7022" totalsRowDxfId="7021"/>
    <tableColumn id="4" xr3:uid="{94E4DB2F-CA0D-42B7-B12D-61A242EB846D}" name="Cant." totalsRowLabel="2" dataDxfId="7020" totalsRowDxfId="7019"/>
    <tableColumn id="5" xr3:uid="{F0281470-F397-4B8F-A8B1-70D9B1FE6266}" name="Costo" dataDxfId="7018" totalsRowDxfId="7017" dataCellStyle="Moneda">
      <calculatedColumnFormula>+VLOOKUP(Tabla110345345445545647945586877869510811712713622823724627233260269297324329213[[#This Row],[Ingrediente]],Tabla34[#All],3,0)</calculatedColumnFormula>
    </tableColumn>
    <tableColumn id="6" xr3:uid="{AC47622A-8446-4804-A2E2-22E24A052D8E}" name="Total costo" totalsRowFunction="sum" dataDxfId="7016" totalsRowDxfId="7015" dataCellStyle="Moneda">
      <calculatedColumnFormula>+Tabla110345345445545647945586877869510811712713622823724627233260269297324329213[[#This Row],[Costo]]*Tabla110345345445545647945586877869510811712713622823724627233260269297324329213[[#This Row],[Cant.]]</calculatedColumnFormula>
    </tableColumn>
  </tableColumns>
  <tableStyleInfo name="TableStyleLight8" showFirstColumn="0" showLastColumn="0" showRowStripes="1" showColumnStripes="0"/>
</table>
</file>

<file path=xl/tables/table8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4731ACB5-E220-4DE4-A36E-282FB9D02119}" name="Tabla110345345445545647945586877869510811712713622823724627233260269297324330214" displayName="Tabla110345345445545647945586877869510811712713622823724627233260269297324330214" ref="B153:F155" totalsRowCount="1" headerRowDxfId="7014" dataDxfId="7012" totalsRowDxfId="7010" headerRowBorderDxfId="7013" tableBorderDxfId="7011" totalsRowBorderDxfId="7009">
  <autoFilter ref="B153:F154" xr:uid="{4731ACB5-E220-4DE4-A36E-282FB9D02119}"/>
  <sortState xmlns:xlrd2="http://schemas.microsoft.com/office/spreadsheetml/2017/richdata2" ref="B154:F154">
    <sortCondition descending="1" ref="F192:F208"/>
  </sortState>
  <tableColumns count="5">
    <tableColumn id="2" xr3:uid="{6493BFDF-6852-4208-8445-DB7762B935EE}" name="Ingrediente" dataDxfId="7008" totalsRowDxfId="7007"/>
    <tableColumn id="3" xr3:uid="{757CEC0C-36E6-4101-8E66-1F05727EC0DD}" name="Und" dataDxfId="7006" totalsRowDxfId="7005"/>
    <tableColumn id="4" xr3:uid="{6E4889E0-DF81-4582-8328-C24F97BFE525}" name="Cant." dataDxfId="7004" totalsRowDxfId="7003"/>
    <tableColumn id="5" xr3:uid="{777D46F7-EC72-42A9-A580-8975458AA62E}" name="Costo" dataDxfId="7002" totalsRowDxfId="7001" dataCellStyle="Moneda">
      <calculatedColumnFormula>+VLOOKUP(Tabla110345345445545647945586877869510811712713622823724627233260269297324330214[[#This Row],[Ingrediente]],Tabla34[#All],3,0)</calculatedColumnFormula>
    </tableColumn>
    <tableColumn id="6" xr3:uid="{4FD3626E-67DF-4F0B-90F1-952A2B3BFF2E}" name="Total costo" totalsRowFunction="sum" dataDxfId="7000" totalsRowDxfId="6999" dataCellStyle="Moneda">
      <calculatedColumnFormula>+Tabla110345345445545647945586877869510811712713622823724627233260269297324330214[[#This Row],[Costo]]*Tabla110345345445545647945586877869510811712713622823724627233260269297324330214[[#This Row],[Cant.]]</calculatedColumnFormula>
    </tableColumn>
  </tableColumns>
  <tableStyleInfo name="TableStyleLight8" showFirstColumn="0" showLastColumn="0" showRowStripes="1" showColumnStripes="0"/>
</table>
</file>

<file path=xl/tables/table8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D129CD57-A005-48DD-846D-FC3238E18840}" name="Tabla110345345445545647945586877869510811712713622823724627233260269297324326236251215" displayName="Tabla110345345445545647945586877869510811712713622823724627233260269297324326236251215" ref="B179:F181" totalsRowCount="1" headerRowDxfId="6998" dataDxfId="6996" totalsRowDxfId="6994" headerRowBorderDxfId="6997" tableBorderDxfId="6995" totalsRowBorderDxfId="6993">
  <autoFilter ref="B179:F180" xr:uid="{D129CD57-A005-48DD-846D-FC3238E18840}"/>
  <sortState xmlns:xlrd2="http://schemas.microsoft.com/office/spreadsheetml/2017/richdata2" ref="B180:F180">
    <sortCondition descending="1" ref="F193:F209"/>
  </sortState>
  <tableColumns count="5">
    <tableColumn id="2" xr3:uid="{D4471624-427E-4568-BC45-EE5992BEC405}" name="Ingrediente" dataDxfId="6992" totalsRowDxfId="6991"/>
    <tableColumn id="3" xr3:uid="{A48DB476-4C29-41B9-8905-23B768C4386C}" name="Und" dataDxfId="6990" totalsRowDxfId="6989"/>
    <tableColumn id="4" xr3:uid="{74DE338E-9644-469D-B3E9-68A9D0C34681}" name="Cant." dataDxfId="6988" totalsRowDxfId="6987"/>
    <tableColumn id="5" xr3:uid="{86D30B2F-2362-4A3C-ABCE-4EA63BA6ED00}" name="Costo" dataDxfId="6986" totalsRowDxfId="6985" dataCellStyle="Moneda">
      <calculatedColumnFormula>+VLOOKUP(Tabla110345345445545647945586877869510811712713622823724627233260269297324326236251215[[#This Row],[Ingrediente]],Tabla34[#All],3,0)</calculatedColumnFormula>
    </tableColumn>
    <tableColumn id="6" xr3:uid="{B041EBDE-34BE-4018-B004-86D2897ED58F}" name="Total costo" totalsRowFunction="sum" dataDxfId="6984" totalsRowDxfId="6983" dataCellStyle="Moneda">
      <calculatedColumnFormula>+Tabla110345345445545647945586877869510811712713622823724627233260269297324326236251215[[#This Row],[Costo]]*Tabla110345345445545647945586877869510811712713622823724627233260269297324326236251215[[#This Row],[Cant.]]</calculatedColumnFormula>
    </tableColumn>
  </tableColumns>
  <tableStyleInfo name="TableStyleLight8" showFirstColumn="0" showLastColumn="0" showRowStripes="1" showColumnStripes="0"/>
</table>
</file>

<file path=xl/tables/table8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8E9C64F3-7458-4F99-8BD0-9D12B6C02DAD}" name="Tabla110345345445545647945586877869510811712713622823724627233260269297324326236251257115216" displayName="Tabla110345345445545647945586877869510811712713622823724627233260269297324326236251257115216" ref="B196:F198" totalsRowCount="1" headerRowDxfId="6982" dataDxfId="6980" totalsRowDxfId="6978" headerRowBorderDxfId="6981" tableBorderDxfId="6979" totalsRowBorderDxfId="6977">
  <autoFilter ref="B196:F197" xr:uid="{8E9C64F3-7458-4F99-8BD0-9D12B6C02DAD}"/>
  <sortState xmlns:xlrd2="http://schemas.microsoft.com/office/spreadsheetml/2017/richdata2" ref="B197:F197">
    <sortCondition descending="1" ref="F156:F172"/>
  </sortState>
  <tableColumns count="5">
    <tableColumn id="2" xr3:uid="{57C4AA77-FE33-42A5-B738-1459045B1F04}" name="Ingrediente" dataDxfId="6976" totalsRowDxfId="6975"/>
    <tableColumn id="3" xr3:uid="{34C94991-DF6A-49BD-BAB6-C6651B93182B}" name="Und" dataDxfId="6974" totalsRowDxfId="6973"/>
    <tableColumn id="4" xr3:uid="{92B00216-D04C-4BBE-BF6B-E9EB0579293C}" name="Cant." dataDxfId="6972" totalsRowDxfId="6971"/>
    <tableColumn id="5" xr3:uid="{E58F5C36-5C04-4182-932F-973595D1A856}" name="Costo" dataDxfId="6970" totalsRowDxfId="6969" dataCellStyle="Moneda">
      <calculatedColumnFormula>+VLOOKUP(Tabla110345345445545647945586877869510811712713622823724627233260269297324326236251257115216[[#This Row],[Ingrediente]],Tabla34[#All],3,0)</calculatedColumnFormula>
    </tableColumn>
    <tableColumn id="6" xr3:uid="{862E0AC6-E8C2-4952-A7E2-AFF580A76F74}" name="Total costo" totalsRowFunction="sum" dataDxfId="6968" totalsRowDxfId="6967" dataCellStyle="Moneda">
      <calculatedColumnFormula>+Tabla110345345445545647945586877869510811712713622823724627233260269297324326236251257115216[[#This Row],[Costo]]*Tabla110345345445545647945586877869510811712713622823724627233260269297324326236251257115216[[#This Row],[Cant.]]</calculatedColumnFormula>
    </tableColumn>
  </tableColumns>
  <tableStyleInfo name="TableStyleLight8" showFirstColumn="0" showLastColumn="0" showRowStripes="1" showColumnStripes="0"/>
</table>
</file>

<file path=xl/tables/table8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1CD5FE9-1121-47A8-AE6A-E1AF0742C022}" name="Tabla110345345445545647945586877869510811712713622823724627233260269297324326236251257115126217" displayName="Tabla110345345445545647945586877869510811712713622823724627233260269297324326236251257115126217" ref="B208:F210" totalsRowCount="1" headerRowDxfId="6966" dataDxfId="6964" totalsRowDxfId="6962" headerRowBorderDxfId="6965" tableBorderDxfId="6963" totalsRowBorderDxfId="6961">
  <autoFilter ref="B208:F209" xr:uid="{C1CD5FE9-1121-47A8-AE6A-E1AF0742C022}"/>
  <sortState xmlns:xlrd2="http://schemas.microsoft.com/office/spreadsheetml/2017/richdata2" ref="B209:F209">
    <sortCondition descending="1" ref="F156:F172"/>
  </sortState>
  <tableColumns count="5">
    <tableColumn id="2" xr3:uid="{73CD5E47-DCBC-433B-816A-D566887C9954}" name="Ingrediente" dataDxfId="6960" totalsRowDxfId="6959"/>
    <tableColumn id="3" xr3:uid="{871B5302-14F1-475A-9AB4-1D598ECFA253}" name="Und" dataDxfId="6958" totalsRowDxfId="6957"/>
    <tableColumn id="4" xr3:uid="{E08F4585-352F-4CFD-9B8D-9CB03863E3DD}" name="Cant." dataDxfId="6956" totalsRowDxfId="6955"/>
    <tableColumn id="5" xr3:uid="{703C7024-9FD2-4A83-8F60-57F967F9E396}" name="Costo" dataDxfId="6954" totalsRowDxfId="6953" dataCellStyle="Moneda">
      <calculatedColumnFormula>+VLOOKUP(Tabla110345345445545647945586877869510811712713622823724627233260269297324326236251257115126217[[#This Row],[Ingrediente]],Tabla34[#All],3,0)</calculatedColumnFormula>
    </tableColumn>
    <tableColumn id="6" xr3:uid="{1C0A5D88-2F68-4692-A09D-D338CEA073A2}" name="Total costo" totalsRowFunction="sum" dataDxfId="6952" totalsRowDxfId="6951" dataCellStyle="Moneda">
      <calculatedColumnFormula>+Tabla110345345445545647945586877869510811712713622823724627233260269297324326236251257115126217[[#This Row],[Costo]]*Tabla110345345445545647945586877869510811712713622823724627233260269297324326236251257115126217[[#This Row],[Cant.]]</calculatedColumnFormula>
    </tableColumn>
  </tableColumns>
  <tableStyleInfo name="TableStyleLight8" showFirstColumn="0" showLastColumn="0" showRowStripes="1" showColumnStripes="0"/>
</table>
</file>

<file path=xl/tables/table8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F57C6B3D-E8BE-490D-B9C1-1B13DC4649F7}" name="Tabla11034534544554564793638486171808998111120130139162163" displayName="Tabla11034534544554564793638486171808998111120130139162163" ref="B20:H27" totalsRowCount="1" headerRowDxfId="6830" dataDxfId="6828" totalsRowDxfId="6826" headerRowBorderDxfId="6829" tableBorderDxfId="6827" totalsRowBorderDxfId="6825">
  <autoFilter ref="B20:H26" xr:uid="{F57C6B3D-E8BE-490D-B9C1-1B13DC4649F7}"/>
  <sortState xmlns:xlrd2="http://schemas.microsoft.com/office/spreadsheetml/2017/richdata2" ref="B21:H22">
    <sortCondition descending="1" ref="H183:H199"/>
  </sortState>
  <tableColumns count="7">
    <tableColumn id="2" xr3:uid="{94ABE61D-8B5F-4A8B-8013-CE080D34FFC7}" name="Ingrediente" dataDxfId="6824" totalsRowDxfId="6823"/>
    <tableColumn id="3" xr3:uid="{B49CDA39-E4DC-4641-BAB2-BBCBFF8A9EBC}" name="Und" dataDxfId="6822" totalsRowDxfId="6821"/>
    <tableColumn id="4" xr3:uid="{4F8AEE30-A4F6-4434-B5AA-542813CEF342}" name="Cant." dataDxfId="6820" totalsRowDxfId="6819"/>
    <tableColumn id="1" xr3:uid="{A441B160-1875-4C9F-AEFD-6B3BA292D633}" name="Columna1" dataDxfId="6818" totalsRowDxfId="6817"/>
    <tableColumn id="7" xr3:uid="{C0362B7F-AE54-42E9-B31E-29BCC8BC3A67}" name="Columna2" dataDxfId="6816" totalsRowDxfId="6815"/>
    <tableColumn id="5" xr3:uid="{0C833B87-C990-4757-9E40-3E25A67858DA}" name="Costo" dataDxfId="6814" totalsRowDxfId="6813" dataCellStyle="Moneda">
      <calculatedColumnFormula>+VLOOKUP(Tabla11034534544554564793638486171808998111120130139162163[[#This Row],[Ingrediente]],Tabla34[#All],3,0)</calculatedColumnFormula>
    </tableColumn>
    <tableColumn id="6" xr3:uid="{AD1F30A4-D5A6-46A0-9D30-F66A24738F6C}" name="Total costo" totalsRowFunction="sum" dataDxfId="6812" totalsRowDxfId="6811" dataCellStyle="Moneda">
      <calculatedColumnFormula>+Tabla11034534544554564793638486171808998111120130139162163[[#This Row],[Costo]]*Tabla11034534544554564793638486171808998111120130139162163[[#This Row],[Columna2]]</calculatedColumnFormula>
    </tableColumn>
  </tableColumns>
  <tableStyleInfo name="TableStyleLight8" showFirstColumn="0" showLastColumn="0" showRowStripes="1" showColumnStripes="0"/>
</table>
</file>

<file path=xl/tables/table8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B32325DD-EB8C-4FE7-80F4-DD76249DA6EA}" name="Tabla11034534544554564793638486171808998111120130139162163164" displayName="Tabla11034534544554564793638486171808998111120130139162163164" ref="B7:H12" totalsRowCount="1" headerRowDxfId="6810" dataDxfId="6808" totalsRowDxfId="6806" headerRowBorderDxfId="6809" tableBorderDxfId="6807" totalsRowBorderDxfId="6805">
  <autoFilter ref="B7:H11" xr:uid="{B32325DD-EB8C-4FE7-80F4-DD76249DA6EA}"/>
  <sortState xmlns:xlrd2="http://schemas.microsoft.com/office/spreadsheetml/2017/richdata2" ref="B8:H9">
    <sortCondition descending="1" ref="H183:H199"/>
  </sortState>
  <tableColumns count="7">
    <tableColumn id="2" xr3:uid="{59AFC7EA-E686-4304-972C-3095CA8B31FA}" name="Ingrediente" dataDxfId="6804" totalsRowDxfId="6803"/>
    <tableColumn id="3" xr3:uid="{0994B31F-E477-47B1-BDCD-1FC4662BA05A}" name="Und" dataDxfId="6802" totalsRowDxfId="6801"/>
    <tableColumn id="4" xr3:uid="{C5F8BC0F-4741-48DA-A4F0-C44DF37EA70C}" name="Cant." dataDxfId="6800" totalsRowDxfId="6799"/>
    <tableColumn id="1" xr3:uid="{A77722F3-68C0-42AC-8022-96793F6AA1E3}" name="Columna1" dataDxfId="6798" totalsRowDxfId="6797"/>
    <tableColumn id="7" xr3:uid="{A62931AE-C360-4EA3-9E45-008EBCE70243}" name="Columna2" dataDxfId="6796" totalsRowDxfId="6795"/>
    <tableColumn id="5" xr3:uid="{57CD0BD1-CCB2-4B34-8212-613C5722E16B}" name="Costo" dataDxfId="6794" totalsRowDxfId="6793" dataCellStyle="Moneda">
      <calculatedColumnFormula>+VLOOKUP(Tabla11034534544554564793638486171808998111120130139162163164[[#This Row],[Ingrediente]],Tabla34[#All],3,0)</calculatedColumnFormula>
    </tableColumn>
    <tableColumn id="6" xr3:uid="{F2AC0E93-2C5F-4E37-8218-83455239790F}" name="Total costo" totalsRowFunction="sum" dataDxfId="6792" totalsRowDxfId="6791" dataCellStyle="Moneda">
      <calculatedColumnFormula>+Tabla11034534544554564793638486171808998111120130139162163164[[#This Row],[Costo]]*Tabla11034534544554564793638486171808998111120130139162163164[[#This Row],[Columna2]]</calculatedColumnFormula>
    </tableColumn>
  </tableColumns>
  <tableStyleInfo name="TableStyleLight8" showFirstColumn="0" showLastColumn="0" showRowStripes="1" showColumnStripes="0"/>
</table>
</file>

<file path=xl/tables/table8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90F1B48C-3489-46F6-A09F-4E79113D2EA1}" name="Tabla11034534544554564793638486171808998111120130139162163165" displayName="Tabla11034534544554564793638486171808998111120130139162163165" ref="B33:H38" totalsRowCount="1" headerRowDxfId="6790" dataDxfId="6788" totalsRowDxfId="6786" headerRowBorderDxfId="6789" tableBorderDxfId="6787" totalsRowBorderDxfId="6785">
  <autoFilter ref="B33:H37" xr:uid="{90F1B48C-3489-46F6-A09F-4E79113D2EA1}"/>
  <sortState xmlns:xlrd2="http://schemas.microsoft.com/office/spreadsheetml/2017/richdata2" ref="B34:H35">
    <sortCondition descending="1" ref="H181:H197"/>
  </sortState>
  <tableColumns count="7">
    <tableColumn id="2" xr3:uid="{AF58A7F2-4FE4-41BC-83BB-CE25DA034AAE}" name="Ingrediente" dataDxfId="6784" totalsRowDxfId="6783"/>
    <tableColumn id="3" xr3:uid="{5067C4C4-C5EF-4D24-8510-D7F1F9E300C1}" name="Und" dataDxfId="6782" totalsRowDxfId="6781"/>
    <tableColumn id="4" xr3:uid="{7D1063B0-2114-4C04-8D31-90AF10A91387}" name="Cant." dataDxfId="6780" totalsRowDxfId="6779"/>
    <tableColumn id="1" xr3:uid="{CD5D33F4-94E6-477C-B9B9-78F2C4877CA5}" name="Columna1" dataDxfId="6778" totalsRowDxfId="6777"/>
    <tableColumn id="7" xr3:uid="{003C551D-AC2F-413C-8305-149A25EA5962}" name="Columna2" dataDxfId="6776" totalsRowDxfId="6775"/>
    <tableColumn id="5" xr3:uid="{7F8E55BE-1658-4880-A745-DF6AD3C592D1}" name="Costo" dataDxfId="6774" totalsRowDxfId="6773" dataCellStyle="Moneda">
      <calculatedColumnFormula>+VLOOKUP(Tabla11034534544554564793638486171808998111120130139162163165[[#This Row],[Ingrediente]],Tabla34[#All],3,0)</calculatedColumnFormula>
    </tableColumn>
    <tableColumn id="6" xr3:uid="{EC8C6076-D9BF-472C-8C69-38AFF8F84425}" name="Total costo" totalsRowFunction="sum" dataDxfId="6772" totalsRowDxfId="6771" dataCellStyle="Moneda">
      <calculatedColumnFormula>+Tabla11034534544554564793638486171808998111120130139162163165[[#This Row],[Costo]]*Tabla11034534544554564793638486171808998111120130139162163165[[#This Row],[Columna2]]</calculatedColumnFormula>
    </tableColumn>
  </tableColumns>
  <tableStyleInfo name="TableStyleLight8" showFirstColumn="0" showLastColumn="0" showRowStripes="1" showColumnStripes="0"/>
</table>
</file>

<file path=xl/tables/table8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0" xr:uid="{399DB57C-B043-4A9C-9D35-FF35F879BF09}" name="Tabla110345345445545647945586877869510811712713622823724627233260269297315316321" displayName="Tabla110345345445545647945586877869510811712713622823724627233260269297315316321" ref="B7:F9" totalsRowCount="1" headerRowDxfId="6570" dataDxfId="6568" totalsRowDxfId="6566" headerRowBorderDxfId="6569" tableBorderDxfId="6567" totalsRowBorderDxfId="6565">
  <autoFilter ref="B7:F8" xr:uid="{25E24D6A-940D-4437-B263-679AE371D044}"/>
  <sortState xmlns:xlrd2="http://schemas.microsoft.com/office/spreadsheetml/2017/richdata2" ref="B8:F8">
    <sortCondition descending="1" ref="F192:F208"/>
  </sortState>
  <tableColumns count="5">
    <tableColumn id="2" xr3:uid="{501F1F87-0C6B-4E81-85FD-8C6160FEEE2B}" name="Ingrediente" dataDxfId="6564" totalsRowDxfId="6563"/>
    <tableColumn id="3" xr3:uid="{1D6066DC-3B48-4FC7-9957-1054BA782AB0}" name="Und" dataDxfId="6562" totalsRowDxfId="6561"/>
    <tableColumn id="4" xr3:uid="{A6DB3499-8869-4C23-B273-4286BCFC38E0}" name="Cant." dataDxfId="6560" totalsRowDxfId="6559"/>
    <tableColumn id="5" xr3:uid="{0FFA5607-BD9F-444B-B38F-83F2E0915CA7}" name="Costo" dataDxfId="6558" totalsRowDxfId="6557" dataCellStyle="Moneda">
      <calculatedColumnFormula>+VLOOKUP(Tabla110345345445545647945586877869510811712713622823724627233260269297315316321[[#This Row],[Ingrediente]],Tabla34[#All],3,0)</calculatedColumnFormula>
    </tableColumn>
    <tableColumn id="6" xr3:uid="{B786555E-E166-4466-8D66-C199FEDE4373}" name="Total costo" totalsRowFunction="sum" dataDxfId="6556" totalsRowDxfId="6555" dataCellStyle="Moneda">
      <calculatedColumnFormula>+Tabla110345345445545647945586877869510811712713622823724627233260269297315316321[[#This Row],[Costo]]*Tabla110345345445545647945586877869510811712713622823724627233260269297315316321[[#This Row],[Cant.]]</calculatedColumnFormula>
    </tableColumn>
  </tableColumns>
  <tableStyleInfo name="TableStyleLight8" showFirstColumn="0" showLastColumn="0" showRowStripes="1" showColumnStripes="0"/>
</table>
</file>

<file path=xl/tables/table8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4" xr:uid="{12851F27-0AAC-4C1D-89BA-F255A0D98B86}" name="Tabla110345345445545647945586877869510811712713622823724627233260269297315316321355" displayName="Tabla110345345445545647945586877869510811712713622823724627233260269297315316321355" ref="B41:F43" totalsRowCount="1" headerRowDxfId="6554" dataDxfId="6552" totalsRowDxfId="6550" headerRowBorderDxfId="6553" tableBorderDxfId="6551" totalsRowBorderDxfId="6549">
  <autoFilter ref="B41:F42" xr:uid="{12851F27-0AAC-4C1D-89BA-F255A0D98B86}"/>
  <sortState xmlns:xlrd2="http://schemas.microsoft.com/office/spreadsheetml/2017/richdata2" ref="B42:F42">
    <sortCondition descending="1" ref="F214:F230"/>
  </sortState>
  <tableColumns count="5">
    <tableColumn id="2" xr3:uid="{19E58EEB-9741-42CD-99A6-E17932AAD0AB}" name="Ingrediente" dataDxfId="6548" totalsRowDxfId="6547"/>
    <tableColumn id="3" xr3:uid="{2DD8CCAE-5E0F-4D20-8B26-C726A3179789}" name="Und" dataDxfId="6546" totalsRowDxfId="6545"/>
    <tableColumn id="4" xr3:uid="{C1527A51-7F6A-4F3E-A1AB-A268BFC65A74}" name="Cant." dataDxfId="6544" totalsRowDxfId="6543"/>
    <tableColumn id="5" xr3:uid="{11028A07-CCB3-4435-9543-8E0EEC94F326}" name="Costo" dataDxfId="6542" totalsRowDxfId="6541" dataCellStyle="Moneda">
      <calculatedColumnFormula>+VLOOKUP(Tabla110345345445545647945586877869510811712713622823724627233260269297315316321355[[#This Row],[Ingrediente]],Tabla34[#All],3,0)</calculatedColumnFormula>
    </tableColumn>
    <tableColumn id="6" xr3:uid="{55A1969A-6F11-48FF-A1EC-F0948F283A94}" name="Total costo" totalsRowFunction="sum" dataDxfId="6540" totalsRowDxfId="6539" dataCellStyle="Moneda">
      <calculatedColumnFormula>+Tabla110345345445545647945586877869510811712713622823724627233260269297315316321355[[#This Row],[Costo]]*Tabla110345345445545647945586877869510811712713622823724627233260269297315316321355[[#This Row],[Cant.]]</calculatedColumnFormula>
    </tableColumn>
  </tableColumns>
  <tableStyleInfo name="TableStyleLight8" showFirstColumn="0" showLastColumn="0" showRowStripes="1" showColumnStripes="0"/>
</table>
</file>

<file path=xl/tables/table8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6" xr:uid="{085155EB-7ABC-46F9-9D80-205BBF5E2BED}" name="Tabla110345345445545647945586877869510811712713622823724627233260269297315316321357" displayName="Tabla110345345445545647945586877869510811712713622823724627233260269297315316321357" ref="B53:F55" totalsRowCount="1" headerRowDxfId="6538" dataDxfId="6536" totalsRowDxfId="6534" headerRowBorderDxfId="6537" tableBorderDxfId="6535" totalsRowBorderDxfId="6533">
  <autoFilter ref="B53:F54" xr:uid="{085155EB-7ABC-46F9-9D80-205BBF5E2BED}"/>
  <sortState xmlns:xlrd2="http://schemas.microsoft.com/office/spreadsheetml/2017/richdata2" ref="B54:F54">
    <sortCondition descending="1" ref="F214:F230"/>
  </sortState>
  <tableColumns count="5">
    <tableColumn id="2" xr3:uid="{26CA1190-21A6-49F1-8C9A-9B066805E871}" name="Ingrediente" dataDxfId="6532" totalsRowDxfId="6531"/>
    <tableColumn id="3" xr3:uid="{53E67CE7-2872-4078-8EB9-B16998778228}" name="Und" dataDxfId="6530" totalsRowDxfId="6529"/>
    <tableColumn id="4" xr3:uid="{476012C0-05D7-4C8B-A73D-74BE215B5E08}" name="Cant." dataDxfId="6528" totalsRowDxfId="6527"/>
    <tableColumn id="5" xr3:uid="{681D2007-926E-4C53-8569-042B3AC3E144}" name="Costo" dataDxfId="6526" totalsRowDxfId="6525" dataCellStyle="Moneda">
      <calculatedColumnFormula>+VLOOKUP(Tabla110345345445545647945586877869510811712713622823724627233260269297315316321357[[#This Row],[Ingrediente]],Tabla34[#All],6,0)</calculatedColumnFormula>
    </tableColumn>
    <tableColumn id="6" xr3:uid="{B5EDC8EF-0C57-435D-ADCD-18AF7F767C8D}" name="Total costo" totalsRowFunction="sum" dataDxfId="6524" totalsRowDxfId="6523" dataCellStyle="Moneda">
      <calculatedColumnFormula>+Tabla110345345445545647945586877869510811712713622823724627233260269297315316321357[[#This Row],[Costo]]*Tabla110345345445545647945586877869510811712713622823724627233260269297315316321357[[#This Row],[Cant.]]</calculatedColumnFormula>
    </tableColumn>
  </tableColumns>
  <tableStyleInfo name="TableStyleLight8" showFirstColumn="0" showLastColumn="0" showRowStripes="1" showColumnStripes="0"/>
</table>
</file>

<file path=xl/tables/table8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0" xr:uid="{6DAAF89A-8A85-4854-A9E8-2CD64E11FD23}" name="Tabla110345345445545647945586877869510811712713622823724627233260269297315316321361" displayName="Tabla110345345445545647945586877869510811712713622823724627233260269297315316321361" ref="B65:F67" totalsRowCount="1" headerRowDxfId="6522" dataDxfId="6520" totalsRowDxfId="6518" headerRowBorderDxfId="6521" tableBorderDxfId="6519" totalsRowBorderDxfId="6517">
  <autoFilter ref="B65:F66" xr:uid="{6DAAF89A-8A85-4854-A9E8-2CD64E11FD23}"/>
  <sortState xmlns:xlrd2="http://schemas.microsoft.com/office/spreadsheetml/2017/richdata2" ref="B66:F66">
    <sortCondition descending="1" ref="F214:F230"/>
  </sortState>
  <tableColumns count="5">
    <tableColumn id="2" xr3:uid="{174BA937-ECD9-4054-A200-ECB180C94AFD}" name="Ingrediente" dataDxfId="6516" totalsRowDxfId="6515"/>
    <tableColumn id="3" xr3:uid="{A28F4424-CC2D-4108-AC7E-CE6E4C81F4B1}" name="Und" dataDxfId="6514" totalsRowDxfId="6513"/>
    <tableColumn id="4" xr3:uid="{2BE72E93-5297-4E86-80DA-102A18BEBE74}" name="Cant." dataDxfId="6512" totalsRowDxfId="6511"/>
    <tableColumn id="5" xr3:uid="{FF50B96E-5018-4EB9-935E-E0EEA9FC3E01}" name="Costo" dataDxfId="6510" totalsRowDxfId="6509" dataCellStyle="Moneda">
      <calculatedColumnFormula>+VLOOKUP(Tabla110345345445545647945586877869510811712713622823724627233260269297315316321361[[#This Row],[Ingrediente]],Tabla34[#All],3,0)</calculatedColumnFormula>
    </tableColumn>
    <tableColumn id="6" xr3:uid="{2754A288-A116-4E29-A76E-625DC3907536}" name="Total costo" totalsRowFunction="sum" dataDxfId="6508" totalsRowDxfId="6507" dataCellStyle="Moneda">
      <calculatedColumnFormula>+Tabla110345345445545647945586877869510811712713622823724627233260269297315316321361[[#This Row],[Costo]]*Tabla110345345445545647945586877869510811712713622823724627233260269297315316321361[[#This Row],[Cant.]]</calculatedColumnFormula>
    </tableColumn>
  </tableColumns>
  <tableStyleInfo name="TableStyleLight8" showFirstColumn="0" showLastColumn="0" showRowStripes="1" showColumnStripes="0"/>
</table>
</file>

<file path=xl/tables/table8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4" xr:uid="{0FDFB26F-C730-4B76-B972-4E958C2A2F04}" name="Tabla110345345445545647945586877869510811712713622823724627233260269297315316321365" displayName="Tabla110345345445545647945586877869510811712713622823724627233260269297315316321365" ref="B79:F81" totalsRowCount="1" headerRowDxfId="6506" dataDxfId="6504" totalsRowDxfId="6502" headerRowBorderDxfId="6505" tableBorderDxfId="6503" totalsRowBorderDxfId="6501">
  <autoFilter ref="B79:F80" xr:uid="{0FDFB26F-C730-4B76-B972-4E958C2A2F04}"/>
  <sortState xmlns:xlrd2="http://schemas.microsoft.com/office/spreadsheetml/2017/richdata2" ref="B80:F80">
    <sortCondition descending="1" ref="F202:F218"/>
  </sortState>
  <tableColumns count="5">
    <tableColumn id="2" xr3:uid="{5F5C1750-3144-4491-9BEC-A8BE852283CC}" name="Ingrediente" dataDxfId="6500" totalsRowDxfId="6499"/>
    <tableColumn id="3" xr3:uid="{11970B8E-8B60-4B02-BE35-083101862FB8}" name="Und" dataDxfId="6498" totalsRowDxfId="6497"/>
    <tableColumn id="4" xr3:uid="{6CC8977B-F869-49D4-B73F-2C72322AAD7D}" name="Cant." dataDxfId="6496" totalsRowDxfId="6495"/>
    <tableColumn id="5" xr3:uid="{C715E404-4574-4A6A-AB85-50765FD5AEA5}" name="Costo" dataDxfId="6494" totalsRowDxfId="6493" dataCellStyle="Moneda">
      <calculatedColumnFormula>+VLOOKUP(Tabla110345345445545647945586877869510811712713622823724627233260269297315316321365[[#This Row],[Ingrediente]],Tabla34[#All],3,0)</calculatedColumnFormula>
    </tableColumn>
    <tableColumn id="6" xr3:uid="{89F26E96-5F13-4BAB-8101-ADB325C7E6C9}" name="Total costo" totalsRowFunction="sum" dataDxfId="6492" totalsRowDxfId="6491" dataCellStyle="Moneda">
      <calculatedColumnFormula>+Tabla110345345445545647945586877869510811712713622823724627233260269297315316321365[[#This Row],[Costo]]*Tabla110345345445545647945586877869510811712713622823724627233260269297315316321365[[#This Row],[Cant.]]</calculatedColumnFormula>
    </tableColumn>
  </tableColumns>
  <tableStyleInfo name="TableStyleLight8" showFirstColumn="0" showLastColumn="0" showRowStripes="1" showColumnStripes="0"/>
</table>
</file>

<file path=xl/tables/table8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6" xr:uid="{E9C164BF-DE8C-452C-9325-7EDF38C628AA}" name="Tabla110345345445545647945586877869510811712713622823724627233260269297315316321355377" displayName="Tabla110345345445545647945586877869510811712713622823724627233260269297315316321355377" ref="B18:F20" totalsRowCount="1" headerRowDxfId="6490" dataDxfId="6488" totalsRowDxfId="6486" headerRowBorderDxfId="6489" tableBorderDxfId="6487" totalsRowBorderDxfId="6485">
  <autoFilter ref="B18:F19" xr:uid="{E9C164BF-DE8C-452C-9325-7EDF38C628AA}"/>
  <sortState xmlns:xlrd2="http://schemas.microsoft.com/office/spreadsheetml/2017/richdata2" ref="B19:F19">
    <sortCondition descending="1" ref="F205:F221"/>
  </sortState>
  <tableColumns count="5">
    <tableColumn id="2" xr3:uid="{BC935E84-3C0D-40AE-AD31-6BB88CAA3244}" name="Ingrediente" dataDxfId="6484" totalsRowDxfId="6483"/>
    <tableColumn id="3" xr3:uid="{AD333CEB-2E58-4048-9567-9AF41675A8F7}" name="Und" dataDxfId="6482" totalsRowDxfId="6481"/>
    <tableColumn id="4" xr3:uid="{FAFACBFB-F088-453F-A685-27F649C3D2A1}" name="Cant." dataDxfId="6480" totalsRowDxfId="6479"/>
    <tableColumn id="5" xr3:uid="{9A543FE9-3D07-4074-94DB-A11C99F9C318}" name="Costo" dataDxfId="6478" totalsRowDxfId="6477" dataCellStyle="Moneda">
      <calculatedColumnFormula>+VLOOKUP(Tabla110345345445545647945586877869510811712713622823724627233260269297315316321355377[[#This Row],[Ingrediente]],Tabla34[#All],3,0)</calculatedColumnFormula>
    </tableColumn>
    <tableColumn id="6" xr3:uid="{94E7B340-E361-4120-A16F-21721C1680D0}" name="Total costo" totalsRowFunction="sum" dataDxfId="6476" totalsRowDxfId="6475" dataCellStyle="Moneda">
      <calculatedColumnFormula>+Tabla110345345445545647945586877869510811712713622823724627233260269297315316321355377[[#This Row],[Costo]]*Tabla110345345445545647945586877869510811712713622823724627233260269297315316321355377[[#This Row],[Cant.]]</calculatedColumnFormula>
    </tableColumn>
  </tableColumns>
  <tableStyleInfo name="TableStyleLight8" showFirstColumn="0" showLastColumn="0" showRowStripes="1" showColumnStripes="0"/>
</table>
</file>

<file path=xl/tables/table8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9" xr:uid="{60ACD01C-24AD-40DF-8E49-807ECD019FFE}" name="Tabla110345345445545647945586877869510811712713622823724627233260269297315316321357380" displayName="Tabla110345345445545647945586877869510811712713622823724627233260269297315316321357380" ref="B29:F31" totalsRowCount="1" headerRowDxfId="6474" dataDxfId="6472" totalsRowDxfId="6470" headerRowBorderDxfId="6473" tableBorderDxfId="6471" totalsRowBorderDxfId="6469">
  <autoFilter ref="B29:F30" xr:uid="{60ACD01C-24AD-40DF-8E49-807ECD019FFE}"/>
  <sortState xmlns:xlrd2="http://schemas.microsoft.com/office/spreadsheetml/2017/richdata2" ref="B30:F30">
    <sortCondition descending="1" ref="F214:F230"/>
  </sortState>
  <tableColumns count="5">
    <tableColumn id="2" xr3:uid="{89314463-89E7-4561-8B5F-8135BA55981F}" name="Ingrediente" dataDxfId="6468" totalsRowDxfId="6467"/>
    <tableColumn id="3" xr3:uid="{9B674B3B-C633-47D9-A5F8-6F61D4222D2A}" name="Und" dataDxfId="6466" totalsRowDxfId="6465"/>
    <tableColumn id="4" xr3:uid="{3CAD61A9-4E6E-4CAB-B815-4A67B3F308C3}" name="Cant." dataDxfId="6464" totalsRowDxfId="6463"/>
    <tableColumn id="5" xr3:uid="{BF71F6E7-4B79-4070-AFE2-3877E2C26795}" name="Costo" dataDxfId="6462" totalsRowDxfId="6461" dataCellStyle="Moneda">
      <calculatedColumnFormula>+VLOOKUP(Tabla110345345445545647945586877869510811712713622823724627233260269297315316321357380[[#This Row],[Ingrediente]],Tabla34[#All],3,0)</calculatedColumnFormula>
    </tableColumn>
    <tableColumn id="6" xr3:uid="{5A9F1C5D-F60E-4EAD-B391-B8914D1B162D}" name="Total costo" totalsRowFunction="sum" dataDxfId="6460" totalsRowDxfId="6459" dataCellStyle="Moneda">
      <calculatedColumnFormula>+Tabla110345345445545647945586877869510811712713622823724627233260269297315316321357380[[#This Row],[Costo]]*Tabla110345345445545647945586877869510811712713622823724627233260269297315316321357380[[#This Row],[Cant.]]</calculatedColumnFormula>
    </tableColumn>
  </tableColumns>
  <tableStyleInfo name="TableStyleLight8" showFirstColumn="0" showLastColumn="0" showRowStripes="1" showColumnStripes="0"/>
</table>
</file>

<file path=xl/tables/table8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875CF3-4C0E-4FA5-959F-CCBB7B8F51EC}" name="Tabla11034534544554564794558687786951081171271362282372462723326026929731531632136515" displayName="Tabla11034534544554564794558687786951081171271362282372462723326026929731531632136515" ref="B94:F96" totalsRowCount="1" headerRowDxfId="6458" dataDxfId="6456" totalsRowDxfId="6454" headerRowBorderDxfId="6457" tableBorderDxfId="6455" totalsRowBorderDxfId="6453">
  <autoFilter ref="B94:F95" xr:uid="{9E875CF3-4C0E-4FA5-959F-CCBB7B8F51EC}"/>
  <sortState xmlns:xlrd2="http://schemas.microsoft.com/office/spreadsheetml/2017/richdata2" ref="B95:F95">
    <sortCondition descending="1" ref="F202:F218"/>
  </sortState>
  <tableColumns count="5">
    <tableColumn id="2" xr3:uid="{08D7BA69-B178-49FF-BE75-CBBBC9AE08C4}" name="Ingrediente" dataDxfId="6452" totalsRowDxfId="6451"/>
    <tableColumn id="3" xr3:uid="{87C2E006-1241-456B-9ECF-B867989EEC8A}" name="Und" dataDxfId="6450" totalsRowDxfId="6449"/>
    <tableColumn id="4" xr3:uid="{7CEF8415-086A-4403-A927-79D7487890D8}" name="Cant." dataDxfId="6448" totalsRowDxfId="6447"/>
    <tableColumn id="5" xr3:uid="{96ECDB4C-CDC5-47EB-A894-08F9F1B993E9}" name="Costo" dataDxfId="6446" totalsRowDxfId="6445" dataCellStyle="Moneda">
      <calculatedColumnFormula>+VLOOKUP(Tabla11034534544554564794558687786951081171271362282372462723326026929731531632136515[[#This Row],[Ingrediente]],Tabla34[#All],3,0)</calculatedColumnFormula>
    </tableColumn>
    <tableColumn id="6" xr3:uid="{60D4ACA5-6464-47F6-BD1D-B8032F582ACA}" name="Total costo" totalsRowFunction="sum" dataDxfId="6444" totalsRowDxfId="6443" dataCellStyle="Moneda">
      <calculatedColumnFormula>+Tabla11034534544554564794558687786951081171271362282372462723326026929731531632136515[[#This Row],[Costo]]*Tabla11034534544554564794558687786951081171271362282372462723326026929731531632136515[[#This Row],[Cant.]]</calculatedColumnFormula>
    </tableColumn>
  </tableColumns>
  <tableStyleInfo name="TableStyleLight8" showFirstColumn="0" showLastColumn="0" showRowStripes="1" showColumnStripes="0"/>
</table>
</file>

<file path=xl/tables/table8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B4512CB1-EC4F-44A0-84E3-4B5C73C84ED2}" name="Tabla11034534544554564794558687786951081171271362282372462723326026929731531632136515156" displayName="Tabla11034534544554564794558687786951081171271362282372462723326026929731531632136515156" ref="B109:F111" totalsRowCount="1" headerRowDxfId="6442" dataDxfId="6440" totalsRowDxfId="6438" headerRowBorderDxfId="6441" tableBorderDxfId="6439" totalsRowBorderDxfId="6437">
  <autoFilter ref="B109:F110" xr:uid="{B4512CB1-EC4F-44A0-84E3-4B5C73C84ED2}"/>
  <sortState xmlns:xlrd2="http://schemas.microsoft.com/office/spreadsheetml/2017/richdata2" ref="B110:F110">
    <sortCondition descending="1" ref="F202:F218"/>
  </sortState>
  <tableColumns count="5">
    <tableColumn id="2" xr3:uid="{52C6B052-DE9D-4CA7-A767-EB0B56E192EE}" name="Ingrediente" dataDxfId="6436" totalsRowDxfId="6435"/>
    <tableColumn id="3" xr3:uid="{91C15759-D727-4833-AF8C-C271703F1FF9}" name="Und" dataDxfId="6434" totalsRowDxfId="6433"/>
    <tableColumn id="4" xr3:uid="{4EB6B304-7D55-40EC-ABC6-AEDB63592704}" name="Cant." dataDxfId="6432" totalsRowDxfId="6431"/>
    <tableColumn id="5" xr3:uid="{8352C71A-E09F-4FCB-8EA5-99EE74D713DD}" name="Costo" dataDxfId="6430" totalsRowDxfId="6429" dataCellStyle="Moneda">
      <calculatedColumnFormula>+VLOOKUP(Tabla11034534544554564794558687786951081171271362282372462723326026929731531632136515156[[#This Row],[Ingrediente]],Tabla34[#All],3,0)</calculatedColumnFormula>
    </tableColumn>
    <tableColumn id="6" xr3:uid="{2586DFD8-DC11-4417-838F-0C179A3A79F9}" name="Total costo" totalsRowFunction="sum" dataDxfId="6428" totalsRowDxfId="6427" dataCellStyle="Moneda">
      <calculatedColumnFormula>+Tabla11034534544554564794558687786951081171271362282372462723326026929731531632136515156[[#This Row],[Costo]]*Tabla11034534544554564794558687786951081171271362282372462723326026929731531632136515156[[#This Row],[Cant.]]</calculatedColumnFormula>
    </tableColumn>
  </tableColumns>
  <tableStyleInfo name="TableStyleLight8" showFirstColumn="0" showLastColumn="0" showRowStripes="1" showColumnStripes="0"/>
</table>
</file>

<file path=xl/tables/table8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3B37E679-722D-4EA0-80F5-3A1A81F46ED4}" name="Tabla110345345445545647945586877869510811712713622823724627233260269297315316321354218" displayName="Tabla110345345445545647945586877869510811712713622823724627233260269297315316321354218" ref="B122:F124" totalsRowCount="1" headerRowDxfId="6426" dataDxfId="6424" totalsRowDxfId="6422" headerRowBorderDxfId="6425" tableBorderDxfId="6423" totalsRowBorderDxfId="6421">
  <autoFilter ref="B122:F123" xr:uid="{3B37E679-722D-4EA0-80F5-3A1A81F46ED4}"/>
  <sortState xmlns:xlrd2="http://schemas.microsoft.com/office/spreadsheetml/2017/richdata2" ref="B123:F123">
    <sortCondition descending="1" ref="F192:F208"/>
  </sortState>
  <tableColumns count="5">
    <tableColumn id="2" xr3:uid="{4DE44A63-9B71-486A-B6C5-0AD1E997F7C3}" name="Ingrediente" dataDxfId="6420" totalsRowDxfId="6419"/>
    <tableColumn id="3" xr3:uid="{EEC60ED0-C4D8-4C1C-B0B4-92BB554572DC}" name="Und" dataDxfId="6418" totalsRowDxfId="6417"/>
    <tableColumn id="4" xr3:uid="{5EC1CDB6-259A-482C-875F-8A21F8154206}" name="Cant." dataDxfId="6416" totalsRowDxfId="6415"/>
    <tableColumn id="5" xr3:uid="{A3A2762E-A6DE-4862-A6A0-58C8D38A06F6}" name="Costo" dataDxfId="6414" totalsRowDxfId="6413" dataCellStyle="Moneda">
      <calculatedColumnFormula>+VLOOKUP(Tabla110345345445545647945586877869510811712713622823724627233260269297315316321354218[[#This Row],[Ingrediente]],Tabla34[#All],3,0)</calculatedColumnFormula>
    </tableColumn>
    <tableColumn id="6" xr3:uid="{DB685101-9561-4687-9EA1-FCD3F3FF23C9}" name="Total costo" totalsRowFunction="sum" dataDxfId="6412" totalsRowDxfId="6411" dataCellStyle="Moneda">
      <calculatedColumnFormula>+Tabla110345345445545647945586877869510811712713622823724627233260269297315316321354218[[#This Row],[Costo]]*Tabla110345345445545647945586877869510811712713622823724627233260269297315316321354218[[#This Row],[Cant.]]</calculatedColumnFormula>
    </tableColumn>
  </tableColumns>
  <tableStyleInfo name="TableStyleLight8" showFirstColumn="0" showLastColumn="0" showRowStripes="1" showColumnStripes="0"/>
</table>
</file>

<file path=xl/tables/table8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46D9382B-A1FE-4649-9D44-0D3B0CDBDA7C}" name="Tabla110345345445545647945586877869510811712713622823724627233260269297315316321354356219" displayName="Tabla110345345445545647945586877869510811712713622823724627233260269297315316321354356219" ref="B156:F158" totalsRowCount="1" headerRowDxfId="6410" dataDxfId="6408" totalsRowDxfId="6406" headerRowBorderDxfId="6409" tableBorderDxfId="6407" totalsRowBorderDxfId="6405">
  <autoFilter ref="B156:F157" xr:uid="{46D9382B-A1FE-4649-9D44-0D3B0CDBDA7C}"/>
  <sortState xmlns:xlrd2="http://schemas.microsoft.com/office/spreadsheetml/2017/richdata2" ref="B157:F157">
    <sortCondition descending="1" ref="F214:F230"/>
  </sortState>
  <tableColumns count="5">
    <tableColumn id="2" xr3:uid="{454BAC0F-6785-4EF0-9389-4B16EEB604C9}" name="Ingrediente" dataDxfId="6404" totalsRowDxfId="6403"/>
    <tableColumn id="3" xr3:uid="{45B4D15C-D3A6-47B2-850B-972FC57BF3C9}" name="Und" dataDxfId="6402" totalsRowDxfId="6401"/>
    <tableColumn id="4" xr3:uid="{8EA2647E-E030-4F6E-8F88-8113E70CF4D3}" name="Cant." dataDxfId="6400" totalsRowDxfId="6399"/>
    <tableColumn id="5" xr3:uid="{C4449415-2F0D-477F-BC3B-B21856F4A60D}" name="Costo" dataDxfId="6398" totalsRowDxfId="6397" dataCellStyle="Moneda">
      <calculatedColumnFormula>+VLOOKUP(Tabla110345345445545647945586877869510811712713622823724627233260269297315316321354356219[[#This Row],[Ingrediente]],Tabla34[#All],3,0)</calculatedColumnFormula>
    </tableColumn>
    <tableColumn id="6" xr3:uid="{B36963D5-9F17-4387-84F9-C515C01F0016}" name="Total costo" totalsRowFunction="sum" dataDxfId="6396" totalsRowDxfId="6395" dataCellStyle="Moneda">
      <calculatedColumnFormula>+Tabla110345345445545647945586877869510811712713622823724627233260269297315316321354356219[[#This Row],[Costo]]*Tabla110345345445545647945586877869510811712713622823724627233260269297315316321354356219[[#This Row],[Cant.]]</calculatedColumnFormula>
    </tableColumn>
  </tableColumns>
  <tableStyleInfo name="TableStyleLight8" showFirstColumn="0" showLastColumn="0" showRowStripes="1" showColumnStripes="0"/>
</table>
</file>

<file path=xl/tables/table8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9513C130-2F7F-42E4-97C5-87FBC5686C1C}" name="Tabla110345345445545647945586877869510811712713622823724627233260269297315316321354358220" displayName="Tabla110345345445545647945586877869510811712713622823724627233260269297315316321354358220" ref="B168:F170" totalsRowCount="1" headerRowDxfId="6394" dataDxfId="6392" totalsRowDxfId="6390" headerRowBorderDxfId="6393" tableBorderDxfId="6391" totalsRowBorderDxfId="6389">
  <autoFilter ref="B168:F169" xr:uid="{9513C130-2F7F-42E4-97C5-87FBC5686C1C}"/>
  <sortState xmlns:xlrd2="http://schemas.microsoft.com/office/spreadsheetml/2017/richdata2" ref="B169:F169">
    <sortCondition descending="1" ref="F214:F230"/>
  </sortState>
  <tableColumns count="5">
    <tableColumn id="2" xr3:uid="{0D24C6E7-467A-42B5-9F41-E80CF10398D6}" name="Ingrediente" dataDxfId="6388" totalsRowDxfId="6387"/>
    <tableColumn id="3" xr3:uid="{50CFDB5A-A5DA-4EBC-B9AD-71895BD47248}" name="Und" dataDxfId="6386" totalsRowDxfId="6385"/>
    <tableColumn id="4" xr3:uid="{30B164AB-FF8A-43AE-9A8A-8175F90D96D0}" name="Cant." dataDxfId="6384" totalsRowDxfId="6383"/>
    <tableColumn id="5" xr3:uid="{B8077445-A218-456F-A0FE-89287D54EA9D}" name="Costo" dataDxfId="6382" totalsRowDxfId="6381" dataCellStyle="Moneda">
      <calculatedColumnFormula>+VLOOKUP(Tabla110345345445545647945586877869510811712713622823724627233260269297315316321354358220[[#This Row],[Ingrediente]],Tabla34[#All],3,0)</calculatedColumnFormula>
    </tableColumn>
    <tableColumn id="6" xr3:uid="{0561AB63-DC93-45A1-A85D-7D0EEECBFDF0}" name="Total costo" totalsRowFunction="sum" dataDxfId="6380" totalsRowDxfId="6379" dataCellStyle="Moneda">
      <calculatedColumnFormula>+Tabla110345345445545647945586877869510811712713622823724627233260269297315316321354358220[[#This Row],[Costo]]*Tabla110345345445545647945586877869510811712713622823724627233260269297315316321354358220[[#This Row],[Cant.]]</calculatedColumnFormula>
    </tableColumn>
  </tableColumns>
  <tableStyleInfo name="TableStyleLight8" showFirstColumn="0" showLastColumn="0" showRowStripes="1" showColumnStripes="0"/>
</table>
</file>

<file path=xl/tables/table8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FCB8E09D-5E9D-4F28-9908-73C81F26C090}" name="Tabla110345345445545647945586877869510811712713622823724627233260269297315316321354362221" displayName="Tabla110345345445545647945586877869510811712713622823724627233260269297315316321354362221" ref="B180:F182" totalsRowCount="1" headerRowDxfId="6378" dataDxfId="6376" totalsRowDxfId="6374" headerRowBorderDxfId="6377" tableBorderDxfId="6375" totalsRowBorderDxfId="6373">
  <autoFilter ref="B180:F181" xr:uid="{FCB8E09D-5E9D-4F28-9908-73C81F26C090}"/>
  <sortState xmlns:xlrd2="http://schemas.microsoft.com/office/spreadsheetml/2017/richdata2" ref="B181:F181">
    <sortCondition descending="1" ref="F214:F230"/>
  </sortState>
  <tableColumns count="5">
    <tableColumn id="2" xr3:uid="{030B7738-EF03-42BA-95C0-F87AC4480781}" name="Ingrediente" dataDxfId="6372" totalsRowDxfId="6371"/>
    <tableColumn id="3" xr3:uid="{F363E162-50F6-4D0F-81C2-E48ECEBA9AF2}" name="Und" dataDxfId="6370" totalsRowDxfId="6369"/>
    <tableColumn id="4" xr3:uid="{9CB26DD9-6744-4600-804C-792E5F18CB47}" name="Cant." dataDxfId="6368" totalsRowDxfId="6367"/>
    <tableColumn id="5" xr3:uid="{976EBEFC-23CF-464F-BE72-6B0C89E65A5C}" name="Costo" dataDxfId="6366" totalsRowDxfId="6365" dataCellStyle="Moneda">
      <calculatedColumnFormula>+VLOOKUP(Tabla110345345445545647945586877869510811712713622823724627233260269297315316321354362221[[#This Row],[Ingrediente]],Tabla34[#All],3,0)</calculatedColumnFormula>
    </tableColumn>
    <tableColumn id="6" xr3:uid="{F863CB71-DE7E-4164-ADE5-6A5E10952B22}" name="Total costo" totalsRowFunction="sum" dataDxfId="6364" totalsRowDxfId="6363" dataCellStyle="Moneda">
      <calculatedColumnFormula>+Tabla110345345445545647945586877869510811712713622823724627233260269297315316321354362221[[#This Row],[Costo]]*Tabla110345345445545647945586877869510811712713622823724627233260269297315316321354362221[[#This Row],[Cant.]]</calculatedColumnFormula>
    </tableColumn>
  </tableColumns>
  <tableStyleInfo name="TableStyleLight8" showFirstColumn="0" showLastColumn="0" showRowStripes="1" showColumnStripes="0"/>
</table>
</file>

<file path=xl/tables/table8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E7F9BB12-430F-4E65-B4A8-FE8790687E8B}" name="Tabla110345345445545647945586877869510811712713622823724627233260269297315316321354366222" displayName="Tabla110345345445545647945586877869510811712713622823724627233260269297315316321354366222" ref="B194:F196" totalsRowCount="1" headerRowDxfId="6362" dataDxfId="6360" totalsRowDxfId="6358" headerRowBorderDxfId="6361" tableBorderDxfId="6359" totalsRowBorderDxfId="6357">
  <autoFilter ref="B194:F195" xr:uid="{E7F9BB12-430F-4E65-B4A8-FE8790687E8B}"/>
  <sortState xmlns:xlrd2="http://schemas.microsoft.com/office/spreadsheetml/2017/richdata2" ref="B195:F195">
    <sortCondition descending="1" ref="F202:F218"/>
  </sortState>
  <tableColumns count="5">
    <tableColumn id="2" xr3:uid="{DAA050D9-2680-473C-8381-76D16756619C}" name="Ingrediente" dataDxfId="6356" totalsRowDxfId="6355"/>
    <tableColumn id="3" xr3:uid="{92F49C76-70C1-46A8-B860-0AFE2A298870}" name="Und" dataDxfId="6354" totalsRowDxfId="6353"/>
    <tableColumn id="4" xr3:uid="{03AF2EB5-EA9E-485D-9E84-5F68B2B05175}" name="Cant." dataDxfId="6352" totalsRowDxfId="6351"/>
    <tableColumn id="5" xr3:uid="{82F8C58C-E75F-4209-A176-F875AD64BCA6}" name="Costo" dataDxfId="6350" totalsRowDxfId="6349" dataCellStyle="Moneda">
      <calculatedColumnFormula>+VLOOKUP(Tabla110345345445545647945586877869510811712713622823724627233260269297315316321354366222[[#This Row],[Ingrediente]],Tabla34[#All],3,0)</calculatedColumnFormula>
    </tableColumn>
    <tableColumn id="6" xr3:uid="{D61026F3-E85F-4A45-8FA2-EBEAA45E71FE}" name="Total costo" totalsRowFunction="sum" dataDxfId="6348" totalsRowDxfId="6347" dataCellStyle="Moneda">
      <calculatedColumnFormula>+Tabla110345345445545647945586877869510811712713622823724627233260269297315316321354366222[[#This Row],[Costo]]*Tabla110345345445545647945586877869510811712713622823724627233260269297315316321354366222[[#This Row],[Cant.]]</calculatedColumnFormula>
    </tableColumn>
  </tableColumns>
  <tableStyleInfo name="TableStyleLight8" showFirstColumn="0" showLastColumn="0" showRowStripes="1" showColumnStripes="0"/>
</table>
</file>

<file path=xl/tables/table8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605F4EF5-5CA1-4DEB-8A30-DBBEF4D2DABF}" name="Tabla110345345445545647945586877869510811712713622823724627233260269297315316321354358381223" displayName="Tabla110345345445545647945586877869510811712713622823724627233260269297315316321354358381223" ref="B144:F146" totalsRowCount="1" headerRowDxfId="6346" dataDxfId="6344" totalsRowDxfId="6342" headerRowBorderDxfId="6345" tableBorderDxfId="6343" totalsRowBorderDxfId="6341">
  <autoFilter ref="B144:F145" xr:uid="{605F4EF5-5CA1-4DEB-8A30-DBBEF4D2DABF}"/>
  <sortState xmlns:xlrd2="http://schemas.microsoft.com/office/spreadsheetml/2017/richdata2" ref="B145:F145">
    <sortCondition descending="1" ref="F214:F230"/>
  </sortState>
  <tableColumns count="5">
    <tableColumn id="2" xr3:uid="{598FDAD3-8106-424D-B912-57E5700DF34A}" name="Ingrediente" dataDxfId="6340" totalsRowDxfId="6339"/>
    <tableColumn id="3" xr3:uid="{76D31505-1627-452B-B412-B5790BC11B55}" name="Und" dataDxfId="6338" totalsRowDxfId="6337"/>
    <tableColumn id="4" xr3:uid="{0AE560AD-D56F-44E9-A7D7-6AFD24AB1CA1}" name="Cant." dataDxfId="6336" totalsRowDxfId="6335"/>
    <tableColumn id="5" xr3:uid="{4965E3D8-689A-4B73-BF4A-3855DD2DF271}" name="Costo" dataDxfId="6334" totalsRowDxfId="6333" dataCellStyle="Moneda">
      <calculatedColumnFormula>+VLOOKUP(Tabla110345345445545647945586877869510811712713622823724627233260269297315316321354358381223[[#This Row],[Ingrediente]],Tabla34[#All],3,0)</calculatedColumnFormula>
    </tableColumn>
    <tableColumn id="6" xr3:uid="{E94541D3-0251-48FF-88F9-2D64E4746A6C}" name="Total costo" totalsRowFunction="sum" dataDxfId="6332" totalsRowDxfId="6331" dataCellStyle="Moneda">
      <calculatedColumnFormula>+Tabla110345345445545647945586877869510811712713622823724627233260269297315316321354358381223[[#This Row],[Costo]]*Tabla110345345445545647945586877869510811712713622823724627233260269297315316321354358381223[[#This Row],[Cant.]]</calculatedColumnFormula>
    </tableColumn>
  </tableColumns>
  <tableStyleInfo name="TableStyleLight8" showFirstColumn="0" showLastColumn="0" showRowStripes="1" showColumnStripes="0"/>
</table>
</file>

<file path=xl/tables/table8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BC30732B-DDFC-42D2-90DA-10DFC3CE1F3C}" name="Tabla11034534544554564794558687786951081171271362282372462723326026929731531632136516224" displayName="Tabla11034534544554564794558687786951081171271362282372462723326026929731531632136516224" ref="B209:F211" totalsRowCount="1" headerRowDxfId="6330" dataDxfId="6328" totalsRowDxfId="6326" headerRowBorderDxfId="6329" tableBorderDxfId="6327" totalsRowBorderDxfId="6325">
  <autoFilter ref="B209:F210" xr:uid="{BC30732B-DDFC-42D2-90DA-10DFC3CE1F3C}"/>
  <sortState xmlns:xlrd2="http://schemas.microsoft.com/office/spreadsheetml/2017/richdata2" ref="B210:F210">
    <sortCondition descending="1" ref="F202:F218"/>
  </sortState>
  <tableColumns count="5">
    <tableColumn id="2" xr3:uid="{B0BDD4EE-0FE5-4E3B-A061-F9D0D32E6A38}" name="Ingrediente" dataDxfId="6324" totalsRowDxfId="6323"/>
    <tableColumn id="3" xr3:uid="{EF72D88B-3B73-49B5-91BD-28D0C725C1B1}" name="Und" dataDxfId="6322" totalsRowDxfId="6321"/>
    <tableColumn id="4" xr3:uid="{C01ABC70-9BDF-4894-9838-CF1C599F664F}" name="Cant." dataDxfId="6320" totalsRowDxfId="6319"/>
    <tableColumn id="5" xr3:uid="{136FB78F-DD30-4691-8BC1-29C4C3B0AE52}" name="Costo" dataDxfId="6318" totalsRowDxfId="6317" dataCellStyle="Moneda">
      <calculatedColumnFormula>+VLOOKUP(Tabla11034534544554564794558687786951081171271362282372462723326026929731531632136516224[[#This Row],[Ingrediente]],Tabla34[#All],3,0)</calculatedColumnFormula>
    </tableColumn>
    <tableColumn id="6" xr3:uid="{76D17FF4-D9EB-4656-881E-38110274692A}" name="Total costo" totalsRowFunction="sum" dataDxfId="6316" totalsRowDxfId="6315" dataCellStyle="Moneda">
      <calculatedColumnFormula>+Tabla11034534544554564794558687786951081171271362282372462723326026929731531632136516224[[#This Row],[Costo]]*Tabla11034534544554564794558687786951081171271362282372462723326026929731531632136516224[[#This Row],[Cant.]]</calculatedColumnFormula>
    </tableColumn>
  </tableColumns>
  <tableStyleInfo name="TableStyleLight8" showFirstColumn="0" showLastColumn="0" showRowStripes="1" showColumnStripes="0"/>
</table>
</file>

<file path=xl/tables/table8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3D1088D1-1E56-4C93-97E9-833C4527DEE5}" name="Tabla11034534544554564794558687786951081171271362282372462723326026929731531632136516157225" displayName="Tabla11034534544554564794558687786951081171271362282372462723326026929731531632136516157225" ref="B224:F226" totalsRowCount="1" headerRowDxfId="6314" dataDxfId="6312" totalsRowDxfId="6310" headerRowBorderDxfId="6313" tableBorderDxfId="6311" totalsRowBorderDxfId="6309">
  <autoFilter ref="B224:F225" xr:uid="{3D1088D1-1E56-4C93-97E9-833C4527DEE5}"/>
  <sortState xmlns:xlrd2="http://schemas.microsoft.com/office/spreadsheetml/2017/richdata2" ref="B225:F225">
    <sortCondition descending="1" ref="F202:F218"/>
  </sortState>
  <tableColumns count="5">
    <tableColumn id="2" xr3:uid="{65D996B5-85A8-4E4B-858D-D8E297F9CFDA}" name="Ingrediente" dataDxfId="6308" totalsRowDxfId="6307"/>
    <tableColumn id="3" xr3:uid="{7E17A141-A7DB-4A06-9C04-D0B8B0EB7AC3}" name="Und" dataDxfId="6306" totalsRowDxfId="6305"/>
    <tableColumn id="4" xr3:uid="{96152F2D-19A0-4555-9313-BB317D2C131C}" name="Cant." dataDxfId="6304" totalsRowDxfId="6303"/>
    <tableColumn id="5" xr3:uid="{FBC8666A-7F95-4797-9F01-CDDCE3A74323}" name="Costo" dataDxfId="6302" totalsRowDxfId="6301" dataCellStyle="Moneda">
      <calculatedColumnFormula>+VLOOKUP(Tabla11034534544554564794558687786951081171271362282372462723326026929731531632136516157225[[#This Row],[Ingrediente]],Tabla34[#All],3,0)</calculatedColumnFormula>
    </tableColumn>
    <tableColumn id="6" xr3:uid="{77A087AF-EF92-45C5-A048-4D0C289598A2}" name="Total costo" totalsRowFunction="sum" dataDxfId="6300" totalsRowDxfId="6299" dataCellStyle="Moneda">
      <calculatedColumnFormula>+Tabla11034534544554564794558687786951081171271362282372462723326026929731531632136516157225[[#This Row],[Costo]]*Tabla11034534544554564794558687786951081171271362282372462723326026929731531632136516157225[[#This Row],[Cant.]]</calculatedColumnFormula>
    </tableColumn>
  </tableColumns>
  <tableStyleInfo name="TableStyleLight8" showFirstColumn="0" showLastColumn="0" showRowStripes="1" showColumnStripes="0"/>
</table>
</file>

<file path=xl/tables/table8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71B5D618-6AE0-40FA-BB30-F46B78E6CF4D}" name="Tabla110345345445545647945586877869510811712713622823724627233260" displayName="Tabla110345345445545647945586877869510811712713622823724627233260" ref="B7:F9" totalsRowCount="1" headerRowDxfId="6278" dataDxfId="6276" totalsRowDxfId="6274" headerRowBorderDxfId="6277" tableBorderDxfId="6275" totalsRowBorderDxfId="6273">
  <autoFilter ref="B7:F8" xr:uid="{25E24D6A-940D-4437-B263-679AE371D044}"/>
  <sortState xmlns:xlrd2="http://schemas.microsoft.com/office/spreadsheetml/2017/richdata2" ref="B8:F8">
    <sortCondition descending="1" ref="F192:F208"/>
  </sortState>
  <tableColumns count="5">
    <tableColumn id="2" xr3:uid="{A6FEDD56-B5D0-419E-8FAD-7A72703B60E2}" name="Ingrediente" dataDxfId="6272" totalsRowDxfId="6271"/>
    <tableColumn id="3" xr3:uid="{DDC885A3-0A46-42FD-AA53-1DCDFF91A6A5}" name="Und" dataDxfId="6270" totalsRowDxfId="6269"/>
    <tableColumn id="4" xr3:uid="{1AE7CEC2-EC08-42BE-9D5B-673217A24E14}" name="Cant." dataDxfId="6268" totalsRowDxfId="6267"/>
    <tableColumn id="5" xr3:uid="{EAD93FDC-8792-4E36-BF78-5F32B9184494}" name="Costo" dataDxfId="6266" totalsRowDxfId="6265" dataCellStyle="Moneda">
      <calculatedColumnFormula>+VLOOKUP(Tabla110345345445545647945586877869510811712713622823724627233260[[#This Row],[Ingrediente]],Tabla34[#All],3,0)</calculatedColumnFormula>
    </tableColumn>
    <tableColumn id="6" xr3:uid="{F6E46516-E3F0-4F95-ABFF-3E642BB8F4DA}" name="Total costo" totalsRowFunction="sum" dataDxfId="6264" totalsRowDxfId="6263" dataCellStyle="Moneda">
      <calculatedColumnFormula>+Tabla110345345445545647945586877869510811712713622823724627233260[[#This Row],[Costo]]*Tabla110345345445545647945586877869510811712713622823724627233260[[#This Row],[Cant.]]</calculatedColumnFormula>
    </tableColumn>
  </tableColumns>
  <tableStyleInfo name="TableStyleLight8" showFirstColumn="0" showLastColumn="0" showRowStripes="1" showColumnStripes="0"/>
</table>
</file>

<file path=xl/tables/table8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7" xr:uid="{D88BA2A2-8220-48D5-854B-0D6509EED92E}" name="Tabla110345345445545647945586877869510811712713622823724627233260278" displayName="Tabla110345345445545647945586877869510811712713622823724627233260278" ref="B20:F22" totalsRowCount="1" headerRowDxfId="6262" dataDxfId="6260" totalsRowDxfId="6258" headerRowBorderDxfId="6261" tableBorderDxfId="6259" totalsRowBorderDxfId="6257">
  <autoFilter ref="B20:F21" xr:uid="{038FD43D-8B0C-4251-AC6D-12C8D6EF1E98}"/>
  <sortState xmlns:xlrd2="http://schemas.microsoft.com/office/spreadsheetml/2017/richdata2" ref="B21:F21">
    <sortCondition descending="1" ref="F192:F208"/>
  </sortState>
  <tableColumns count="5">
    <tableColumn id="2" xr3:uid="{ABCA5DD3-FCE1-434E-8BF5-FE856F26EFD7}" name="Ingrediente" dataDxfId="6256" totalsRowDxfId="6255"/>
    <tableColumn id="3" xr3:uid="{764D6CF8-C3A1-4CFD-A722-752C235BA1BE}" name="Und" dataDxfId="6254" totalsRowDxfId="6253"/>
    <tableColumn id="4" xr3:uid="{7F466825-9B2E-4EF5-AB17-085DA4BC471D}" name="Cant." dataDxfId="6252" totalsRowDxfId="6251"/>
    <tableColumn id="5" xr3:uid="{C601F0B9-765F-4B03-BA96-4872B5B18C0D}" name="Costo" dataDxfId="6250" totalsRowDxfId="6249" dataCellStyle="Moneda">
      <calculatedColumnFormula>+VLOOKUP(Tabla110345345445545647945586877869510811712713622823724627233260278[[#This Row],[Ingrediente]],Tabla34[#All],3,0)</calculatedColumnFormula>
    </tableColumn>
    <tableColumn id="6" xr3:uid="{3C30231E-33DA-41F4-A1F7-AD13909887A1}" name="Total costo" totalsRowFunction="sum" dataDxfId="6248" totalsRowDxfId="6247" dataCellStyle="Moneda">
      <calculatedColumnFormula>+Tabla110345345445545647945586877869510811712713622823724627233260278[[#This Row],[Costo]]*Tabla110345345445545647945586877869510811712713622823724627233260278[[#This Row],[Cant.]]</calculatedColumnFormula>
    </tableColumn>
  </tableColumns>
  <tableStyleInfo name="TableStyleLight8" showFirstColumn="0" showLastColumn="0" showRowStripes="1" showColumnStripes="0"/>
</table>
</file>

<file path=xl/tables/table8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9" xr:uid="{6F4131EB-299B-4339-A075-E8B1930D5606}" name="Tabla110345345445545647945586877869510811712713622823724627233260280" displayName="Tabla110345345445545647945586877869510811712713622823724627233260280" ref="B31:F33" totalsRowCount="1" headerRowDxfId="6246" dataDxfId="6244" totalsRowDxfId="6242" headerRowBorderDxfId="6245" tableBorderDxfId="6243" totalsRowBorderDxfId="6241">
  <autoFilter ref="B31:F32" xr:uid="{1803921E-2D94-4779-81E8-1B1C5D5F03F9}"/>
  <sortState xmlns:xlrd2="http://schemas.microsoft.com/office/spreadsheetml/2017/richdata2" ref="B32:F32">
    <sortCondition descending="1" ref="F194:F210"/>
  </sortState>
  <tableColumns count="5">
    <tableColumn id="2" xr3:uid="{2CE51BEA-A3D2-43D0-AFB8-6D7856BA41AD}" name="Ingrediente" dataDxfId="6240" totalsRowDxfId="6239"/>
    <tableColumn id="3" xr3:uid="{4721FB48-BC3D-43A4-BF0D-E1A8BFD25C6A}" name="Und" dataDxfId="6238" totalsRowDxfId="6237"/>
    <tableColumn id="4" xr3:uid="{A0EF184C-B6FC-470F-B2BB-F6F8B6F75110}" name="Cant." dataDxfId="6236" totalsRowDxfId="6235"/>
    <tableColumn id="5" xr3:uid="{EA269658-78D0-4A07-A8F2-37F73557D6C3}" name="Costo" dataDxfId="6234" totalsRowDxfId="6233" dataCellStyle="Moneda">
      <calculatedColumnFormula>+VLOOKUP(Tabla110345345445545647945586877869510811712713622823724627233260280[[#This Row],[Ingrediente]],Tabla34[#All],3,0)</calculatedColumnFormula>
    </tableColumn>
    <tableColumn id="6" xr3:uid="{E8FC3C0A-0EFF-45F7-9B35-334347FF3615}" name="Total costo" totalsRowFunction="sum" dataDxfId="6232" totalsRowDxfId="6231" dataCellStyle="Moneda">
      <calculatedColumnFormula>+Tabla110345345445545647945586877869510811712713622823724627233260280[[#This Row],[Costo]]*Tabla110345345445545647945586877869510811712713622823724627233260280[[#This Row],[Cant.]]</calculatedColumnFormula>
    </tableColumn>
  </tableColumns>
  <tableStyleInfo name="TableStyleLight8" showFirstColumn="0" showLastColumn="0" showRowStripes="1" showColumnStripes="0"/>
</table>
</file>

<file path=xl/tables/table8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0" xr:uid="{FDB4BCB1-8693-4C73-B6DD-8FFE969C69B3}" name="Tabla110345345445545647945586877869510811712713622823724627233260281" displayName="Tabla110345345445545647945586877869510811712713622823724627233260281" ref="B43:F45" totalsRowCount="1" headerRowDxfId="6230" dataDxfId="6228" totalsRowDxfId="6226" headerRowBorderDxfId="6229" tableBorderDxfId="6227" totalsRowBorderDxfId="6225">
  <autoFilter ref="B43:F44" xr:uid="{B7DDF3FD-4EAE-4EC6-B4C9-4D88620ECE19}"/>
  <sortState xmlns:xlrd2="http://schemas.microsoft.com/office/spreadsheetml/2017/richdata2" ref="B44:F44">
    <sortCondition descending="1" ref="F194:F210"/>
  </sortState>
  <tableColumns count="5">
    <tableColumn id="2" xr3:uid="{5DE16CB8-A652-4B32-93B0-4A42060C91A6}" name="Ingrediente" dataDxfId="6224" totalsRowDxfId="6223"/>
    <tableColumn id="3" xr3:uid="{80D81E1F-1255-490A-8995-F9BE349C1368}" name="Und" dataDxfId="6222" totalsRowDxfId="6221"/>
    <tableColumn id="4" xr3:uid="{B6F3979F-1F62-494E-9E28-3B00B8BDEB38}" name="Cant." dataDxfId="6220" totalsRowDxfId="6219"/>
    <tableColumn id="5" xr3:uid="{AF406054-6FA4-480E-A7E3-49F5BD695733}" name="Costo" dataDxfId="6218" totalsRowDxfId="6217" dataCellStyle="Moneda">
      <calculatedColumnFormula>+VLOOKUP(Tabla110345345445545647945586877869510811712713622823724627233260281[[#This Row],[Ingrediente]],Tabla34[#All],3,0)</calculatedColumnFormula>
    </tableColumn>
    <tableColumn id="6" xr3:uid="{51D137E5-FB3F-4251-A382-9AC4DCE06826}" name="Total costo" totalsRowFunction="sum" dataDxfId="6216" totalsRowDxfId="6215" dataCellStyle="Moneda">
      <calculatedColumnFormula>+Tabla110345345445545647945586877869510811712713622823724627233260281[[#This Row],[Costo]]*Tabla110345345445545647945586877869510811712713622823724627233260281[[#This Row],[Cant.]]</calculatedColumnFormula>
    </tableColumn>
  </tableColumns>
  <tableStyleInfo name="TableStyleLight8" showFirstColumn="0" showLastColumn="0" showRowStripes="1" showColumnStripes="0"/>
</table>
</file>

<file path=xl/tables/table8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B195CA5A-FC23-45A9-8FB4-A24DFBEF4EA7}" name="Tabla110345345445545647945586877869510811712713622823724627233260282" displayName="Tabla110345345445545647945586877869510811712713622823724627233260282" ref="B55:F59" totalsRowCount="1" headerRowDxfId="6214" dataDxfId="6212" totalsRowDxfId="6210" headerRowBorderDxfId="6213" tableBorderDxfId="6211" totalsRowBorderDxfId="6209">
  <autoFilter ref="B55:F58" xr:uid="{C7CCBDC4-E829-4381-A649-84E3A8C59D72}"/>
  <sortState xmlns:xlrd2="http://schemas.microsoft.com/office/spreadsheetml/2017/richdata2" ref="B56:F56">
    <sortCondition descending="1" ref="F196:F212"/>
  </sortState>
  <tableColumns count="5">
    <tableColumn id="2" xr3:uid="{7C9746E1-6D3A-4F90-904E-B7AF642A4547}" name="Ingrediente" dataDxfId="6208" totalsRowDxfId="6207"/>
    <tableColumn id="3" xr3:uid="{8C417180-BE21-4FB3-BD1E-5BCADAEF4077}" name="Und" dataDxfId="6206" totalsRowDxfId="6205"/>
    <tableColumn id="4" xr3:uid="{80EA8DEA-757D-4F1F-95BB-0A277B0EC718}" name="Cant." dataDxfId="6204" totalsRowDxfId="6203"/>
    <tableColumn id="5" xr3:uid="{7DE30A1A-391B-4524-82E1-A2B95D75D37F}" name="Costo" dataDxfId="6202" totalsRowDxfId="6201" dataCellStyle="Moneda">
      <calculatedColumnFormula>+VLOOKUP(Tabla110345345445545647945586877869510811712713622823724627233260282[[#This Row],[Ingrediente]],Tabla34[#All],3,0)</calculatedColumnFormula>
    </tableColumn>
    <tableColumn id="6" xr3:uid="{6B5EBBD8-7D38-4550-B7A6-690D8BF33F5A}" name="Total costo" totalsRowFunction="sum" dataDxfId="6200" totalsRowDxfId="6199" dataCellStyle="Moneda">
      <calculatedColumnFormula>+Tabla110345345445545647945586877869510811712713622823724627233260282[[#This Row],[Costo]]*Tabla110345345445545647945586877869510811712713622823724627233260282[[#This Row],[Cant.]]</calculatedColumnFormula>
    </tableColumn>
  </tableColumns>
  <tableStyleInfo name="TableStyleLight8" showFirstColumn="0" showLastColumn="0" showRowStripes="1" showColumnStripes="0"/>
</table>
</file>

<file path=xl/tables/table8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2" xr:uid="{37E0A325-2843-46C1-A594-6A2A7EB2CD0D}" name="Tabla110345345445545647945586877869510811712713622823724627233260283" displayName="Tabla110345345445545647945586877869510811712713622823724627233260283" ref="B67:F69" totalsRowCount="1" headerRowDxfId="6198" dataDxfId="6196" totalsRowDxfId="6194" headerRowBorderDxfId="6197" tableBorderDxfId="6195" totalsRowBorderDxfId="6193">
  <autoFilter ref="B67:F68" xr:uid="{4E3EC192-4B83-443C-97DD-7035A4732B55}"/>
  <sortState xmlns:xlrd2="http://schemas.microsoft.com/office/spreadsheetml/2017/richdata2" ref="B68:F68">
    <sortCondition descending="1" ref="F194:F210"/>
  </sortState>
  <tableColumns count="5">
    <tableColumn id="2" xr3:uid="{44BBD43D-F68A-438D-AC83-84F151A25B4C}" name="Ingrediente" dataDxfId="6192" totalsRowDxfId="6191"/>
    <tableColumn id="3" xr3:uid="{741DBDF5-7305-475A-9138-E7CFB9CBC0F6}" name="Und" dataDxfId="6190" totalsRowDxfId="6189"/>
    <tableColumn id="4" xr3:uid="{9DD4EDB7-1DAE-45CA-AEB0-66DEC35409F8}" name="Cant." dataDxfId="6188" totalsRowDxfId="6187"/>
    <tableColumn id="5" xr3:uid="{11480D0C-621F-429B-BCC1-FD1D3A5162BE}" name="Costo" dataDxfId="6186" totalsRowDxfId="6185" dataCellStyle="Moneda">
      <calculatedColumnFormula>+VLOOKUP(Tabla110345345445545647945586877869510811712713622823724627233260283[[#This Row],[Ingrediente]],Tabla34[#All],3,0)</calculatedColumnFormula>
    </tableColumn>
    <tableColumn id="6" xr3:uid="{0380BD4D-627F-4C8E-B125-F4B0CFDB84F9}" name="Total costo" totalsRowFunction="sum" dataDxfId="6184" totalsRowDxfId="6183" dataCellStyle="Moneda">
      <calculatedColumnFormula>+Tabla110345345445545647945586877869510811712713622823724627233260283[[#This Row],[Costo]]*Tabla110345345445545647945586877869510811712713622823724627233260283[[#This Row],[Cant.]]</calculatedColumnFormula>
    </tableColumn>
  </tableColumns>
  <tableStyleInfo name="TableStyleLight8" showFirstColumn="0" showLastColumn="0" showRowStripes="1" showColumnStripes="0"/>
</table>
</file>

<file path=xl/tables/table8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3" xr:uid="{F88E5355-BC50-40B6-81C9-5D18C2111BCB}" name="Tabla110345345445545647945586877869510811712713622823724627233260284" displayName="Tabla110345345445545647945586877869510811712713622823724627233260284" ref="B79:F81" totalsRowCount="1" headerRowDxfId="6182" dataDxfId="6180" totalsRowDxfId="6178" headerRowBorderDxfId="6181" tableBorderDxfId="6179" totalsRowBorderDxfId="6177">
  <autoFilter ref="B79:F80" xr:uid="{614E302B-6799-4991-8C02-752A1E51DBEE}"/>
  <sortState xmlns:xlrd2="http://schemas.microsoft.com/office/spreadsheetml/2017/richdata2" ref="B80:F80">
    <sortCondition descending="1" ref="F194:F210"/>
  </sortState>
  <tableColumns count="5">
    <tableColumn id="2" xr3:uid="{826F35B4-AB68-4616-83A6-BEB14E922458}" name="Ingrediente" dataDxfId="6176" totalsRowDxfId="6175"/>
    <tableColumn id="3" xr3:uid="{9EFB803D-5982-4807-9AD9-5F7EDDCF7A29}" name="Und" dataDxfId="6174" totalsRowDxfId="6173"/>
    <tableColumn id="4" xr3:uid="{BC8436F0-AB8C-4B2A-9C81-3F617D8F1C65}" name="Cant." dataDxfId="6172" totalsRowDxfId="6171"/>
    <tableColumn id="5" xr3:uid="{37821FD2-6228-494A-9095-4F498A54119E}" name="Costo" dataDxfId="6170" totalsRowDxfId="6169" dataCellStyle="Moneda">
      <calculatedColumnFormula>+VLOOKUP(Tabla110345345445545647945586877869510811712713622823724627233260284[[#This Row],[Ingrediente]],Tabla34[#All],3,0)</calculatedColumnFormula>
    </tableColumn>
    <tableColumn id="6" xr3:uid="{098C2E93-2483-4FFD-99C8-927163351AE8}" name="Total costo" totalsRowFunction="sum" dataDxfId="6168" totalsRowDxfId="6167" dataCellStyle="Moneda">
      <calculatedColumnFormula>+Tabla110345345445545647945586877869510811712713622823724627233260284[[#This Row],[Costo]]*Tabla110345345445545647945586877869510811712713622823724627233260284[[#This Row],[Cant.]]</calculatedColumnFormula>
    </tableColumn>
  </tableColumns>
  <tableStyleInfo name="TableStyleLight8" showFirstColumn="0" showLastColumn="0" showRowStripes="1" showColumnStripes="0"/>
</table>
</file>

<file path=xl/tables/table8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E915A729-CDFA-44FB-BA32-86A6E57466AD}" name="Tabla110345345445545647945586877869510811712713622823724627233260285" displayName="Tabla110345345445545647945586877869510811712713622823724627233260285" ref="B91:F93" totalsRowCount="1" headerRowDxfId="6166" dataDxfId="6164" totalsRowDxfId="6162" headerRowBorderDxfId="6165" tableBorderDxfId="6163" totalsRowBorderDxfId="6161">
  <autoFilter ref="B91:F92" xr:uid="{6C0F035B-6C3F-4A12-B714-5F2688546AA8}"/>
  <sortState xmlns:xlrd2="http://schemas.microsoft.com/office/spreadsheetml/2017/richdata2" ref="B92:F92">
    <sortCondition descending="1" ref="F194:F210"/>
  </sortState>
  <tableColumns count="5">
    <tableColumn id="2" xr3:uid="{2E93B9DB-CFF5-4CC8-AA34-9AA4F756C822}" name="Ingrediente" dataDxfId="6160" totalsRowDxfId="6159"/>
    <tableColumn id="3" xr3:uid="{E434C470-0B74-44B6-9D0A-EFCCC41124A9}" name="Und" dataDxfId="6158" totalsRowDxfId="6157"/>
    <tableColumn id="4" xr3:uid="{96439B3A-FF68-4366-96A1-43C27CA61AC4}" name="Cant." dataDxfId="6156" totalsRowDxfId="6155"/>
    <tableColumn id="5" xr3:uid="{64309CE6-B800-4395-A301-741786431160}" name="Costo" dataDxfId="6154" totalsRowDxfId="6153" dataCellStyle="Moneda">
      <calculatedColumnFormula>+VLOOKUP(Tabla110345345445545647945586877869510811712713622823724627233260285[[#This Row],[Ingrediente]],Tabla34[#All],3,0)</calculatedColumnFormula>
    </tableColumn>
    <tableColumn id="6" xr3:uid="{D4AFC222-0480-41A4-AB45-74DDB9EA9AB5}" name="Total costo" totalsRowFunction="sum" dataDxfId="6152" totalsRowDxfId="6151" dataCellStyle="Moneda">
      <calculatedColumnFormula>+Tabla110345345445545647945586877869510811712713622823724627233260285[[#This Row],[Costo]]*Tabla110345345445545647945586877869510811712713622823724627233260285[[#This Row],[Cant.]]</calculatedColumnFormula>
    </tableColumn>
  </tableColumns>
  <tableStyleInfo name="TableStyleLight8" showFirstColumn="0" showLastColumn="0" showRowStripes="1" showColumnStripes="0"/>
</table>
</file>

<file path=xl/tables/table8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AD599EA8-CE37-46A6-BBE0-74C1E6D960E9}" name="Tabla110345345445545647945586877869510811712713622823724627233260286" displayName="Tabla110345345445545647945586877869510811712713622823724627233260286" ref="B102:F104" totalsRowCount="1" headerRowDxfId="6150" dataDxfId="6148" totalsRowDxfId="6146" headerRowBorderDxfId="6149" tableBorderDxfId="6147" totalsRowBorderDxfId="6145">
  <autoFilter ref="B102:F103" xr:uid="{DC6A68C5-718C-40BD-BC45-DB0C078BB4B4}"/>
  <sortState xmlns:xlrd2="http://schemas.microsoft.com/office/spreadsheetml/2017/richdata2" ref="B103:F103">
    <sortCondition descending="1" ref="F194:F210"/>
  </sortState>
  <tableColumns count="5">
    <tableColumn id="2" xr3:uid="{0786D6DF-92CE-4484-99BF-073745428B53}" name="Ingrediente" dataDxfId="6144" totalsRowDxfId="6143"/>
    <tableColumn id="3" xr3:uid="{1B438022-6AC8-43C3-AAB9-3E86B0289EA6}" name="Und" dataDxfId="6142" totalsRowDxfId="6141"/>
    <tableColumn id="4" xr3:uid="{DF662BC6-A9B2-4809-9FE5-4547FF7AB28B}" name="Cant." dataDxfId="6140" totalsRowDxfId="6139"/>
    <tableColumn id="5" xr3:uid="{FD814E24-1E38-423B-BB99-6A90785EE330}" name="Costo" dataDxfId="6138" totalsRowDxfId="6137" dataCellStyle="Moneda">
      <calculatedColumnFormula>+VLOOKUP(Tabla110345345445545647945586877869510811712713622823724627233260286[[#This Row],[Ingrediente]],Tabla34[#All],3,0)</calculatedColumnFormula>
    </tableColumn>
    <tableColumn id="6" xr3:uid="{C7B15BB2-2A17-43B6-9D85-456824C013FC}" name="Total costo" totalsRowFunction="sum" dataDxfId="6136" totalsRowDxfId="6135" dataCellStyle="Moneda">
      <calculatedColumnFormula>+Tabla110345345445545647945586877869510811712713622823724627233260286[[#This Row],[Costo]]*Tabla110345345445545647945586877869510811712713622823724627233260286[[#This Row],[Cant.]]</calculatedColumnFormula>
    </tableColumn>
  </tableColumns>
  <tableStyleInfo name="TableStyleLight8" showFirstColumn="0" showLastColumn="0" showRowStripes="1" showColumnStripes="0"/>
</table>
</file>

<file path=xl/tables/table8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6" xr:uid="{9CCFC58B-E428-42C5-B79E-78A5B23FE2B9}" name="Tabla110345345445545647945586877869510811712713622823724627233260269297315316384392394396416418302317" displayName="Tabla110345345445545647945586877869510811712713622823724627233260269297315316384392394396416418302317" ref="B7:F9" totalsRowCount="1" headerRowDxfId="6134" dataDxfId="6132" totalsRowDxfId="6130" headerRowBorderDxfId="6133" tableBorderDxfId="6131" totalsRowBorderDxfId="6129">
  <autoFilter ref="B7:F8" xr:uid="{25E24D6A-940D-4437-B263-679AE371D044}"/>
  <sortState xmlns:xlrd2="http://schemas.microsoft.com/office/spreadsheetml/2017/richdata2" ref="B8:F8">
    <sortCondition descending="1" ref="F185:F201"/>
  </sortState>
  <tableColumns count="5">
    <tableColumn id="2" xr3:uid="{EC336E20-9EF9-440E-97A3-BE2793A5816B}" name="Ingrediente" dataDxfId="6128" totalsRowDxfId="6127"/>
    <tableColumn id="3" xr3:uid="{51C884EE-9A0C-48A9-ADEE-D1E0278B9C19}" name="Und" dataDxfId="6126" totalsRowDxfId="6125"/>
    <tableColumn id="4" xr3:uid="{CBA3D401-9842-431F-A2CA-28DB0855D6B3}" name="Cant." dataDxfId="6124" totalsRowDxfId="6123"/>
    <tableColumn id="5" xr3:uid="{E27AE68B-72DC-428F-B9F2-A42255D5D744}" name="Costo" dataDxfId="6122" totalsRowDxfId="6121" dataCellStyle="Moneda">
      <calculatedColumnFormula>+VLOOKUP(Tabla110345345445545647945586877869510811712713622823724627233260269297315316384392394396416418302317[[#This Row],[Ingrediente]],Tabla34[#All],3,0)</calculatedColumnFormula>
    </tableColumn>
    <tableColumn id="6" xr3:uid="{442FAB73-23FE-46CF-95A6-E9AC9C277291}" name="Total costo" totalsRowFunction="sum" dataDxfId="6120" totalsRowDxfId="6119" dataCellStyle="Moneda">
      <calculatedColumnFormula>+Tabla110345345445545647945586877869510811712713622823724627233260269297315316384392394396416418302317[[#This Row],[Costo]]*Tabla110345345445545647945586877869510811712713622823724627233260269297315316384392394396416418302317[[#This Row],[Cant.]]</calculatedColumnFormula>
    </tableColumn>
  </tableColumns>
  <tableStyleInfo name="TableStyleLight8" showFirstColumn="0" showLastColumn="0" showRowStripes="1" showColumnStripes="0"/>
</table>
</file>

<file path=xl/tables/table8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9" xr:uid="{84083B37-740A-437A-9368-D7520DFB66E5}" name="Tabla110345345445545647945586877869510811712713622823724627233260269297315316384392394396416418302317320" displayName="Tabla110345345445545647945586877869510811712713622823724627233260269297315316384392394396416418302317320" ref="B20:F22" totalsRowCount="1" headerRowDxfId="6118" dataDxfId="6116" totalsRowDxfId="6114" headerRowBorderDxfId="6117" tableBorderDxfId="6115" totalsRowBorderDxfId="6113">
  <autoFilter ref="B20:F21" xr:uid="{84083B37-740A-437A-9368-D7520DFB66E5}"/>
  <sortState xmlns:xlrd2="http://schemas.microsoft.com/office/spreadsheetml/2017/richdata2" ref="B21:F21">
    <sortCondition descending="1" ref="F185:F201"/>
  </sortState>
  <tableColumns count="5">
    <tableColumn id="2" xr3:uid="{B04FC3AF-4171-437C-A942-5550FD5F90B1}" name="Ingrediente" dataDxfId="6112" totalsRowDxfId="6111"/>
    <tableColumn id="3" xr3:uid="{DD17285B-8CC4-454D-8226-5FC9B113060C}" name="Und" dataDxfId="6110" totalsRowDxfId="6109"/>
    <tableColumn id="4" xr3:uid="{5F009BBC-A94F-4BF5-9415-82907DA48C15}" name="Cant." dataDxfId="6108" totalsRowDxfId="6107"/>
    <tableColumn id="5" xr3:uid="{27F24D18-61FF-4746-A546-FD0413B0F128}" name="Costo" dataDxfId="6106" totalsRowDxfId="6105" dataCellStyle="Moneda">
      <calculatedColumnFormula>+VLOOKUP(Tabla110345345445545647945586877869510811712713622823724627233260269297315316384392394396416418302317320[[#This Row],[Ingrediente]],Tabla34[#All],3,0)</calculatedColumnFormula>
    </tableColumn>
    <tableColumn id="6" xr3:uid="{EA4F3097-024F-42E7-8A45-A35EB962FB19}" name="Total costo" totalsRowFunction="sum" dataDxfId="6104" totalsRowDxfId="6103" dataCellStyle="Moneda">
      <calculatedColumnFormula>+Tabla110345345445545647945586877869510811712713622823724627233260269297315316384392394396416418302317320[[#This Row],[Costo]]*Tabla110345345445545647945586877869510811712713622823724627233260269297315316384392394396416418302317320[[#This Row],[Cant.]]</calculatedColumnFormula>
    </tableColumn>
  </tableColumns>
  <tableStyleInfo name="TableStyleLight8" showFirstColumn="0" showLastColumn="0" showRowStripes="1" showColumnStripes="0"/>
</table>
</file>

<file path=xl/tables/table8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1" xr:uid="{74CA8158-FC1D-493F-80CF-22C92AD6BFFB}" name="Tabla110345345445545647945586877869510811712713622823724627233260269297315316384392394396416418302317322" displayName="Tabla110345345445545647945586877869510811712713622823724627233260269297315316384392394396416418302317322" ref="B32:F34" totalsRowCount="1" headerRowDxfId="6102" dataDxfId="6100" totalsRowDxfId="6098" headerRowBorderDxfId="6101" tableBorderDxfId="6099" totalsRowBorderDxfId="6097">
  <autoFilter ref="B32:F33" xr:uid="{74CA8158-FC1D-493F-80CF-22C92AD6BFFB}"/>
  <sortState xmlns:xlrd2="http://schemas.microsoft.com/office/spreadsheetml/2017/richdata2" ref="B33:F33">
    <sortCondition descending="1" ref="F185:F201"/>
  </sortState>
  <tableColumns count="5">
    <tableColumn id="2" xr3:uid="{21652880-5E1D-4420-8CED-7385F075F3A8}" name="Ingrediente" dataDxfId="6096" totalsRowDxfId="6095"/>
    <tableColumn id="3" xr3:uid="{A124FE6E-7123-4625-BFE1-AC3E49BDC83A}" name="Und" dataDxfId="6094" totalsRowDxfId="6093"/>
    <tableColumn id="4" xr3:uid="{3BCA7396-25A9-4B85-882B-D6A7D251302F}" name="Cant." dataDxfId="6092" totalsRowDxfId="6091"/>
    <tableColumn id="5" xr3:uid="{B7FC4CAD-CFB8-409C-8F7E-CBFA67CAD45B}" name="Costo" dataDxfId="6090" totalsRowDxfId="6089" dataCellStyle="Moneda">
      <calculatedColumnFormula>+VLOOKUP(Tabla110345345445545647945586877869510811712713622823724627233260269297315316384392394396416418302317322[[#This Row],[Ingrediente]],Tabla34[#All],3,0)</calculatedColumnFormula>
    </tableColumn>
    <tableColumn id="6" xr3:uid="{E5B2D2F6-4037-4C22-A274-5DAA33F0AC50}" name="Total costo" totalsRowFunction="sum" dataDxfId="6088" totalsRowDxfId="6087" dataCellStyle="Moneda">
      <calculatedColumnFormula>+Tabla110345345445545647945586877869510811712713622823724627233260269297315316384392394396416418302317322[[#This Row],[Costo]]*Tabla110345345445545647945586877869510811712713622823724627233260269297315316384392394396416418302317322[[#This Row],[Cant.]]</calculatedColumnFormula>
    </tableColumn>
  </tableColumns>
  <tableStyleInfo name="TableStyleLight8" showFirstColumn="0" showLastColumn="0" showRowStripes="1" showColumnStripes="0"/>
</table>
</file>

<file path=xl/tables/table8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3" xr:uid="{0D3C78AC-BEB2-435D-BE34-7FC1EA348E83}" name="Tabla110345345445545647945586877869510811712713622823724627233260269297315316384392394396416418302317322484" displayName="Tabla110345345445545647945586877869510811712713622823724627233260269297315316384392394396416418302317322484" ref="B45:F47" totalsRowCount="1" headerRowDxfId="6086" dataDxfId="6084" totalsRowDxfId="6082" headerRowBorderDxfId="6085" tableBorderDxfId="6083" totalsRowBorderDxfId="6081">
  <autoFilter ref="B45:F46" xr:uid="{B7EBA33B-B1FE-478E-A53C-A20EF9916CFC}"/>
  <sortState xmlns:xlrd2="http://schemas.microsoft.com/office/spreadsheetml/2017/richdata2" ref="B46:F46">
    <sortCondition descending="1" ref="F185:F201"/>
  </sortState>
  <tableColumns count="5">
    <tableColumn id="2" xr3:uid="{75021361-4C14-4FAA-A93E-A27C3FB49453}" name="Ingrediente" dataDxfId="6080" totalsRowDxfId="6079"/>
    <tableColumn id="3" xr3:uid="{F3882565-FBF4-49A8-ADD2-4648BEB46DD9}" name="Und" dataDxfId="6078" totalsRowDxfId="6077"/>
    <tableColumn id="4" xr3:uid="{E0C53F5E-6274-440D-B13F-67F3231BFF75}" name="Cant." dataDxfId="6076" totalsRowDxfId="6075"/>
    <tableColumn id="5" xr3:uid="{A75CDA53-6FD9-425B-BC64-BB2C558B7CE3}" name="Costo" dataDxfId="6074" totalsRowDxfId="6073" dataCellStyle="Moneda">
      <calculatedColumnFormula>+VLOOKUP(Tabla110345345445545647945586877869510811712713622823724627233260269297315316384392394396416418302317322484[[#This Row],[Ingrediente]],Tabla34[#All],3,0)</calculatedColumnFormula>
    </tableColumn>
    <tableColumn id="6" xr3:uid="{D49AAF0A-F548-4A1A-A442-199D400D9C08}" name="Total costo" totalsRowFunction="sum" dataDxfId="6072" totalsRowDxfId="6071" dataCellStyle="Moneda">
      <calculatedColumnFormula>+Tabla110345345445545647945586877869510811712713622823724627233260269297315316384392394396416418302317322484[[#This Row],[Costo]]*Tabla110345345445545647945586877869510811712713622823724627233260269297315316384392394396416418302317322484[[#This Row],[Cant.]]</calculatedColumnFormula>
    </tableColumn>
  </tableColumns>
  <tableStyleInfo name="TableStyleLight8" showFirstColumn="0" showLastColumn="0" showRowStripes="1" showColumnStripes="0"/>
</table>
</file>

<file path=xl/tables/table8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4" xr:uid="{13C10048-F620-481A-ABF9-B3F668D5249B}" name="Tabla110345345445545647945586877869510811712713622823724627233260269297315316384392394396416418302317322484485" displayName="Tabla110345345445545647945586877869510811712713622823724627233260269297315316384392394396416418302317322484485" ref="B57:F59" totalsRowCount="1" headerRowDxfId="6070" dataDxfId="6068" totalsRowDxfId="6066" headerRowBorderDxfId="6069" tableBorderDxfId="6067" totalsRowBorderDxfId="6065">
  <autoFilter ref="B57:F58" xr:uid="{94FC8EA2-E376-45CD-AE48-4897D426B2AF}"/>
  <sortState xmlns:xlrd2="http://schemas.microsoft.com/office/spreadsheetml/2017/richdata2" ref="B58:F58">
    <sortCondition descending="1" ref="F185:F201"/>
  </sortState>
  <tableColumns count="5">
    <tableColumn id="2" xr3:uid="{C673FD45-0E9B-4815-A19A-3944674E6FC1}" name="Ingrediente" dataDxfId="6064" totalsRowDxfId="6063"/>
    <tableColumn id="3" xr3:uid="{65E6682F-7C72-45E4-B7FA-8A0EAC3CD1CE}" name="Und" dataDxfId="6062" totalsRowDxfId="6061"/>
    <tableColumn id="4" xr3:uid="{58FF5101-0E27-4D15-B637-B34E3B40ED9D}" name="Cant." dataDxfId="6060" totalsRowDxfId="6059"/>
    <tableColumn id="5" xr3:uid="{EA735B93-448D-4B90-B26E-B95123A1E8F3}" name="Costo" dataDxfId="6058" totalsRowDxfId="6057" dataCellStyle="Moneda">
      <calculatedColumnFormula>+VLOOKUP(Tabla110345345445545647945586877869510811712713622823724627233260269297315316384392394396416418302317322484485[[#This Row],[Ingrediente]],Tabla34[#All],3,0)</calculatedColumnFormula>
    </tableColumn>
    <tableColumn id="6" xr3:uid="{34C3FDD7-6318-48A4-AE59-FAD6A230B952}" name="Total costo" totalsRowFunction="sum" dataDxfId="6056" totalsRowDxfId="6055" dataCellStyle="Moneda">
      <calculatedColumnFormula>+Tabla110345345445545647945586877869510811712713622823724627233260269297315316384392394396416418302317322484485[[#This Row],[Costo]]*Tabla110345345445545647945586877869510811712713622823724627233260269297315316384392394396416418302317322484485[[#This Row],[Cant.]]</calculatedColumnFormula>
    </tableColumn>
  </tableColumns>
  <tableStyleInfo name="TableStyleLight8" showFirstColumn="0" showLastColumn="0" showRowStripes="1" showColumnStripes="0"/>
</table>
</file>

<file path=xl/tables/table8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7" xr:uid="{090D76F9-3E8F-43AC-89B2-032B73D26426}" name="Tabla110345345445545647945586877869510811712713622823724627233260269297315316384392394396416418426428458" displayName="Tabla110345345445545647945586877869510811712713622823724627233260269297315316384392394396416418426428458" ref="B7:F9" totalsRowCount="1" headerRowDxfId="6054" dataDxfId="6052" totalsRowDxfId="6050" headerRowBorderDxfId="6053" tableBorderDxfId="6051" totalsRowBorderDxfId="6049">
  <autoFilter ref="B7:F8" xr:uid="{25E24D6A-940D-4437-B263-679AE371D044}"/>
  <sortState xmlns:xlrd2="http://schemas.microsoft.com/office/spreadsheetml/2017/richdata2" ref="B8:F8">
    <sortCondition descending="1" ref="F192:F208"/>
  </sortState>
  <tableColumns count="5">
    <tableColumn id="2" xr3:uid="{39BDC711-02A7-4D6D-8A33-2076C6EBB432}" name="Ingrediente" dataDxfId="6048" totalsRowDxfId="6047"/>
    <tableColumn id="3" xr3:uid="{D216668F-858E-4D3D-BA70-8A76248096E2}" name="Und" dataDxfId="6046" totalsRowDxfId="6045"/>
    <tableColumn id="4" xr3:uid="{5EB2099A-E3D5-43B3-9F09-9F384EAFF143}" name="Cant." dataDxfId="6044" totalsRowDxfId="6043"/>
    <tableColumn id="5" xr3:uid="{745ED622-07C6-4C33-81AD-9A076E4CCABD}" name="Costo" dataDxfId="6042" totalsRowDxfId="6041" dataCellStyle="Moneda">
      <calculatedColumnFormula>+VLOOKUP(Tabla110345345445545647945586877869510811712713622823724627233260269297315316384392394396416418426428458[[#This Row],[Ingrediente]],Tabla34[#All],3,0)</calculatedColumnFormula>
    </tableColumn>
    <tableColumn id="6" xr3:uid="{72416E44-DFA3-4AE0-9F80-32CFED9D6D7D}" name="Total costo" totalsRowFunction="sum" dataDxfId="6040" totalsRowDxfId="6039" dataCellStyle="Moneda">
      <calculatedColumnFormula>+Tabla110345345445545647945586877869510811712713622823724627233260269297315316384392394396416418426428458[[#This Row],[Costo]]*Tabla110345345445545647945586877869510811712713622823724627233260269297315316384392394396416418426428458[[#This Row],[Cant.]]</calculatedColumnFormula>
    </tableColumn>
  </tableColumns>
  <tableStyleInfo name="TableStyleLight8" showFirstColumn="0" showLastColumn="0" showRowStripes="1" showColumnStripes="0"/>
</table>
</file>

<file path=xl/tables/table8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2A393343-F7A3-489B-B233-1BD34E8B3C2D}" name="Tabla110345345445545647945586877869510811712713622823724627233260269297315316384392394396416418426428458236" displayName="Tabla110345345445545647945586877869510811712713622823724627233260269297315316384392394396416418426428458236" ref="B23:F25" totalsRowCount="1" headerRowDxfId="6038" dataDxfId="6036" totalsRowDxfId="6034" headerRowBorderDxfId="6037" tableBorderDxfId="6035" totalsRowBorderDxfId="6033">
  <autoFilter ref="B23:F24" xr:uid="{2A393343-F7A3-489B-B233-1BD34E8B3C2D}"/>
  <sortState xmlns:xlrd2="http://schemas.microsoft.com/office/spreadsheetml/2017/richdata2" ref="B24:F24">
    <sortCondition descending="1" ref="F192:F208"/>
  </sortState>
  <tableColumns count="5">
    <tableColumn id="2" xr3:uid="{89EB529F-A007-4E5E-BDCF-FAC17E09BC46}" name="Ingrediente" dataDxfId="6032" totalsRowDxfId="6031"/>
    <tableColumn id="3" xr3:uid="{6DE6AC29-DF22-4390-B6A6-F11D0CDD62F1}" name="Und" dataDxfId="6030" totalsRowDxfId="6029"/>
    <tableColumn id="4" xr3:uid="{0C025BFF-F57E-4CD9-85AF-00D0481BFD4E}" name="Cant." dataDxfId="6028" totalsRowDxfId="6027"/>
    <tableColumn id="5" xr3:uid="{8204B140-5A86-469F-887F-BC1917D3F262}" name="Costo" dataDxfId="6026" totalsRowDxfId="6025" dataCellStyle="Moneda">
      <calculatedColumnFormula>+VLOOKUP(Tabla110345345445545647945586877869510811712713622823724627233260269297315316384392394396416418426428458236[[#This Row],[Ingrediente]],Tabla34[#All],3,0)</calculatedColumnFormula>
    </tableColumn>
    <tableColumn id="6" xr3:uid="{3B8117F5-D413-4F4F-BBFD-01D2AC95FA12}" name="Total costo" totalsRowFunction="sum" dataDxfId="6024" totalsRowDxfId="6023" dataCellStyle="Moneda">
      <calculatedColumnFormula>+Tabla110345345445545647945586877869510811712713622823724627233260269297315316384392394396416418426428458236[[#This Row],[Costo]]*Tabla110345345445545647945586877869510811712713622823724627233260269297315316384392394396416418426428458236[[#This Row],[Cant.]]</calculatedColumnFormula>
    </tableColumn>
  </tableColumns>
  <tableStyleInfo name="TableStyleLight8" showFirstColumn="0" showLastColumn="0" showRowStripes="1" showColumnStripes="0"/>
</table>
</file>

<file path=xl/tables/table8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F8EEDE1E-915C-4E1B-89B3-977EE25169B7}" name="Tabla110345345445545647945586877869510811712713622823724627233260269297315316384392394396416418426428458268" displayName="Tabla110345345445545647945586877869510811712713622823724627233260269297315316384392394396416418426428458268" ref="B34:F36" totalsRowCount="1" headerRowDxfId="6022" dataDxfId="6020" totalsRowDxfId="6018" headerRowBorderDxfId="6021" tableBorderDxfId="6019" totalsRowBorderDxfId="6017">
  <autoFilter ref="B34:F35" xr:uid="{F8EEDE1E-915C-4E1B-89B3-977EE25169B7}"/>
  <sortState xmlns:xlrd2="http://schemas.microsoft.com/office/spreadsheetml/2017/richdata2" ref="B35:F35">
    <sortCondition descending="1" ref="F192:F208"/>
  </sortState>
  <tableColumns count="5">
    <tableColumn id="2" xr3:uid="{139F2913-11B4-4C15-98E4-EF9B9B645FCE}" name="Ingrediente" dataDxfId="6016" totalsRowDxfId="6015"/>
    <tableColumn id="3" xr3:uid="{4ED0C869-5A2D-4A3C-BB38-A837DDD6FEA8}" name="Und" dataDxfId="6014" totalsRowDxfId="6013"/>
    <tableColumn id="4" xr3:uid="{F778196D-E944-44EF-931C-CA678A49E15E}" name="Cant." dataDxfId="6012" totalsRowDxfId="6011"/>
    <tableColumn id="5" xr3:uid="{91E39633-7C4C-468F-B2BB-A7BFCC57E42B}" name="Costo" dataDxfId="6010" totalsRowDxfId="6009" dataCellStyle="Moneda">
      <calculatedColumnFormula>+VLOOKUP(Tabla110345345445545647945586877869510811712713622823724627233260269297315316384392394396416418426428458268[[#This Row],[Ingrediente]],Tabla34[#All],3,0)</calculatedColumnFormula>
    </tableColumn>
    <tableColumn id="6" xr3:uid="{F723F443-079B-4CCC-BFD0-16DBF091A989}" name="Total costo" totalsRowFunction="sum" dataDxfId="6008" totalsRowDxfId="6007" dataCellStyle="Moneda">
      <calculatedColumnFormula>+Tabla110345345445545647945586877869510811712713622823724627233260269297315316384392394396416418426428458268[[#This Row],[Costo]]*Tabla110345345445545647945586877869510811712713622823724627233260269297315316384392394396416418426428458268[[#This Row],[Cant.]]</calculatedColumnFormula>
    </tableColumn>
  </tableColumns>
  <tableStyleInfo name="TableStyleLight8" showFirstColumn="0" showLastColumn="0" showRowStripes="1" showColumnStripes="0"/>
</table>
</file>

<file path=xl/tables/table8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BDE2FD6B-C69B-4410-8146-1534666FC866}" name="Tabla110345345445545647945586877869510811712713622823724627233260269297315316384392394396416418426428458270" displayName="Tabla110345345445545647945586877869510811712713622823724627233260269297315316384392394396416418426428458270" ref="B46:F48" totalsRowCount="1" headerRowDxfId="6006" dataDxfId="6004" totalsRowDxfId="6002" headerRowBorderDxfId="6005" tableBorderDxfId="6003" totalsRowBorderDxfId="6001">
  <autoFilter ref="B46:F47" xr:uid="{BDE2FD6B-C69B-4410-8146-1534666FC866}"/>
  <sortState xmlns:xlrd2="http://schemas.microsoft.com/office/spreadsheetml/2017/richdata2" ref="B47:F47">
    <sortCondition descending="1" ref="F192:F208"/>
  </sortState>
  <tableColumns count="5">
    <tableColumn id="2" xr3:uid="{149AFDE2-B28C-4517-A116-88025BEF02A1}" name="Ingrediente" dataDxfId="6000" totalsRowDxfId="5999"/>
    <tableColumn id="3" xr3:uid="{0B04557F-73A1-4720-982E-0AE1B4C2E989}" name="Und" dataDxfId="5998" totalsRowDxfId="5997"/>
    <tableColumn id="4" xr3:uid="{BF449FA9-CECD-4D57-A410-32529104CB8B}" name="Cant." dataDxfId="5996" totalsRowDxfId="5995"/>
    <tableColumn id="5" xr3:uid="{4C3809AF-AF2B-472D-90FD-3341A6D6FE81}" name="Costo" dataDxfId="5994" totalsRowDxfId="5993" dataCellStyle="Moneda">
      <calculatedColumnFormula>+VLOOKUP(Tabla110345345445545647945586877869510811712713622823724627233260269297315316384392394396416418426428458270[[#This Row],[Ingrediente]],Tabla34[#All],3,0)</calculatedColumnFormula>
    </tableColumn>
    <tableColumn id="6" xr3:uid="{9DAAD7F8-03DF-4902-9157-F4C53E299621}" name="Total costo" totalsRowFunction="sum" dataDxfId="5992" totalsRowDxfId="5991" dataCellStyle="Moneda">
      <calculatedColumnFormula>+Tabla110345345445545647945586877869510811712713622823724627233260269297315316384392394396416418426428458270[[#This Row],[Costo]]*Tabla110345345445545647945586877869510811712713622823724627233260269297315316384392394396416418426428458270[[#This Row],[Cant.]]</calculatedColumnFormula>
    </tableColumn>
  </tableColumns>
  <tableStyleInfo name="TableStyleLight8" showFirstColumn="0" showLastColumn="0" showRowStripes="1" showColumnStripes="0"/>
</table>
</file>

<file path=xl/tables/table8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9C4C3DD6-617C-4B76-8E0D-8221349879F1}" name="Tabla110345345445545647945586877869510811712713622823724627233260269297315316384392394396416418426428458298" displayName="Tabla110345345445545647945586877869510811712713622823724627233260269297315316384392394396416418426428458298" ref="B61:F63" totalsRowCount="1" headerRowDxfId="5990" dataDxfId="5988" totalsRowDxfId="5986" headerRowBorderDxfId="5989" tableBorderDxfId="5987" totalsRowBorderDxfId="5985">
  <autoFilter ref="B61:F62" xr:uid="{9C4C3DD6-617C-4B76-8E0D-8221349879F1}"/>
  <sortState xmlns:xlrd2="http://schemas.microsoft.com/office/spreadsheetml/2017/richdata2" ref="B62:F62">
    <sortCondition descending="1" ref="F192:F208"/>
  </sortState>
  <tableColumns count="5">
    <tableColumn id="2" xr3:uid="{D777B010-5C0A-45E0-B1DC-4587BF946304}" name="Ingrediente" dataDxfId="5984" totalsRowDxfId="5983"/>
    <tableColumn id="3" xr3:uid="{D58E0608-0C10-443D-A963-7D336FC08FBF}" name="Und" dataDxfId="5982" totalsRowDxfId="5981"/>
    <tableColumn id="4" xr3:uid="{0A89D19D-1584-4757-97B0-E27A5A82818A}" name="Cant." dataDxfId="5980" totalsRowDxfId="5979"/>
    <tableColumn id="5" xr3:uid="{F54E61B5-1F01-4F3A-8262-BC4E07F10460}" name="Costo" dataDxfId="5978" totalsRowDxfId="5977" dataCellStyle="Moneda">
      <calculatedColumnFormula>+VLOOKUP(Tabla110345345445545647945586877869510811712713622823724627233260269297315316384392394396416418426428458298[[#This Row],[Ingrediente]],Tabla34[#All],3,0)</calculatedColumnFormula>
    </tableColumn>
    <tableColumn id="6" xr3:uid="{653DF30C-B538-4E60-B9BA-8728F9A9C9C9}" name="Total costo" totalsRowFunction="sum" dataDxfId="5976" totalsRowDxfId="5975" dataCellStyle="Moneda">
      <calculatedColumnFormula>+Tabla110345345445545647945586877869510811712713622823724627233260269297315316384392394396416418426428458298[[#This Row],[Costo]]*Tabla110345345445545647945586877869510811712713622823724627233260269297315316384392394396416418426428458298[[#This Row],[Cant.]]</calculatedColumnFormula>
    </tableColumn>
  </tableColumns>
  <tableStyleInfo name="TableStyleLight8" showFirstColumn="0" showLastColumn="0" showRowStripes="1" showColumnStripes="0"/>
</table>
</file>

<file path=xl/tables/table9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823E0D40-543B-477E-A156-1BC0A2160ABD}" name="Tabla110345345445545647945586877869510811712713622823724627233260269297315316384392394396416418426428458300" displayName="Tabla110345345445545647945586877869510811712713622823724627233260269297315316384392394396416418426428458300" ref="B73:F75" totalsRowCount="1" headerRowDxfId="5974" dataDxfId="5972" totalsRowDxfId="5970" headerRowBorderDxfId="5973" tableBorderDxfId="5971" totalsRowBorderDxfId="5969">
  <autoFilter ref="B73:F74" xr:uid="{823E0D40-543B-477E-A156-1BC0A2160ABD}"/>
  <sortState xmlns:xlrd2="http://schemas.microsoft.com/office/spreadsheetml/2017/richdata2" ref="B74:F74">
    <sortCondition descending="1" ref="F192:F208"/>
  </sortState>
  <tableColumns count="5">
    <tableColumn id="2" xr3:uid="{92255641-380D-460A-8E58-E89BB72580D1}" name="Ingrediente" dataDxfId="5968" totalsRowDxfId="5967"/>
    <tableColumn id="3" xr3:uid="{3FABC856-1C0F-4112-90FB-9473037555D1}" name="Und" dataDxfId="5966" totalsRowDxfId="5965"/>
    <tableColumn id="4" xr3:uid="{4F914B11-AFB4-45EE-A214-0C8E9FF26671}" name="Cant." dataDxfId="5964" totalsRowDxfId="5963"/>
    <tableColumn id="5" xr3:uid="{FE3249BC-7BF1-45E0-B6CD-69C9AC0B763B}" name="Costo" dataDxfId="5962" totalsRowDxfId="5961" dataCellStyle="Moneda">
      <calculatedColumnFormula>+VLOOKUP(Tabla110345345445545647945586877869510811712713622823724627233260269297315316384392394396416418426428458300[[#This Row],[Ingrediente]],Tabla34[#All],3,0)</calculatedColumnFormula>
    </tableColumn>
    <tableColumn id="6" xr3:uid="{65252669-C52D-43C5-BD56-D4523E317F14}" name="Total costo" totalsRowFunction="sum" dataDxfId="5960" totalsRowDxfId="5959" dataCellStyle="Moneda">
      <calculatedColumnFormula>+Tabla110345345445545647945586877869510811712713622823724627233260269297315316384392394396416418426428458300[[#This Row],[Costo]]*Tabla110345345445545647945586877869510811712713622823724627233260269297315316384392394396416418426428458300[[#This Row],[Cant.]]</calculatedColumnFormula>
    </tableColumn>
  </tableColumns>
  <tableStyleInfo name="TableStyleLight8" showFirstColumn="0" showLastColumn="0" showRowStripes="1" showColumnStripes="0"/>
</table>
</file>

<file path=xl/tables/table9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56BFAF65-BB74-4998-A913-2BA5876957F3}" name="Tabla110345345445545647945586877869510811712713622823724627233260269297315316384392394396416418426428458301" displayName="Tabla110345345445545647945586877869510811712713622823724627233260269297315316384392394396416418426428458301" ref="B85:F87" totalsRowCount="1" headerRowDxfId="5958" dataDxfId="5956" totalsRowDxfId="5954" headerRowBorderDxfId="5957" tableBorderDxfId="5955" totalsRowBorderDxfId="5953">
  <autoFilter ref="B85:F86" xr:uid="{56BFAF65-BB74-4998-A913-2BA5876957F3}"/>
  <sortState xmlns:xlrd2="http://schemas.microsoft.com/office/spreadsheetml/2017/richdata2" ref="B86:F86">
    <sortCondition descending="1" ref="F192:F208"/>
  </sortState>
  <tableColumns count="5">
    <tableColumn id="2" xr3:uid="{4987B245-9113-4A69-819C-FB2FEF9AD2C2}" name="Ingrediente" dataDxfId="5952" totalsRowDxfId="5951"/>
    <tableColumn id="3" xr3:uid="{3818640C-A770-4BC4-A49A-91A6236BB96C}" name="Und" dataDxfId="5950" totalsRowDxfId="5949"/>
    <tableColumn id="4" xr3:uid="{478DCED0-EB08-4121-8D8D-E399950B0AA3}" name="Cant." dataDxfId="5948" totalsRowDxfId="5947"/>
    <tableColumn id="5" xr3:uid="{938B2572-1A7E-4508-B249-2AF544FEDE4C}" name="Costo" dataDxfId="5946" totalsRowDxfId="5945" dataCellStyle="Moneda">
      <calculatedColumnFormula>+VLOOKUP(Tabla110345345445545647945586877869510811712713622823724627233260269297315316384392394396416418426428458301[[#This Row],[Ingrediente]],Tabla34[#All],3,0)</calculatedColumnFormula>
    </tableColumn>
    <tableColumn id="6" xr3:uid="{EE547855-34F8-4320-8F72-1CB9CF48C01E}" name="Total costo" totalsRowFunction="sum" dataDxfId="5944" totalsRowDxfId="5943" dataCellStyle="Moneda">
      <calculatedColumnFormula>+Tabla110345345445545647945586877869510811712713622823724627233260269297315316384392394396416418426428458301[[#This Row],[Costo]]*Tabla110345345445545647945586877869510811712713622823724627233260269297315316384392394396416418426428458301[[#This Row],[Cant.]]</calculatedColumnFormula>
    </tableColumn>
  </tableColumns>
  <tableStyleInfo name="TableStyleLight8" showFirstColumn="0" showLastColumn="0" showRowStripes="1" showColumnStripes="0"/>
</table>
</file>

<file path=xl/tables/table9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C52A0C57-0AC8-4243-9E27-9BDDC1323049}" name="Tabla110345345445545647945586877869510811712713622823724627233260269297315316384392394396416418426428231" displayName="Tabla110345345445545647945586877869510811712713622823724627233260269297315316384392394396416418426428231" ref="B11:H13" totalsRowCount="1" dataDxfId="5161" totalsRowDxfId="5159" headerRowBorderDxfId="5162" tableBorderDxfId="5160" totalsRowBorderDxfId="5158">
  <autoFilter ref="B11:H12" xr:uid="{C52A0C57-0AC8-4243-9E27-9BDDC1323049}"/>
  <sortState xmlns:xlrd2="http://schemas.microsoft.com/office/spreadsheetml/2017/richdata2" ref="B12:H12">
    <sortCondition descending="1" ref="H157:H173"/>
  </sortState>
  <tableColumns count="7">
    <tableColumn id="2" xr3:uid="{1C02B9A8-D8FE-407B-AE74-4408D9E5EAAC}" name="ArtÃ­culo" dataDxfId="5157" totalsRowDxfId="5156"/>
    <tableColumn id="3" xr3:uid="{23FF2E46-CE24-4433-AE5F-710AE059EBD4}" name="Unidad Medida" dataDxfId="5155" totalsRowDxfId="5154"/>
    <tableColumn id="1" xr3:uid="{B1974C5A-3F5A-4D20-9939-0A933538C754}" name="Unidades Netas" dataDxfId="5153" totalsRowDxfId="5152"/>
    <tableColumn id="7" xr3:uid="{14030CFF-9F9F-4A3E-922B-8256CCF21F91}" name="% Merma" dataDxfId="5151" totalsRowDxfId="5150"/>
    <tableColumn id="4" xr3:uid="{8245AF11-CAE3-46D4-B457-5223DDF648D3}" name="Unidades" dataDxfId="5149" totalsRowDxfId="5148"/>
    <tableColumn id="5" xr3:uid="{9241A6AF-1CC1-444D-AB31-326169DADBD1}" name="Coste Componente" dataDxfId="5147" totalsRowDxfId="5146" dataCellStyle="Moneda">
      <calculatedColumnFormula>+VLOOKUP(Tabla110345345445545647945586877869510811712713622823724627233260269297315316384392394396416418426428231[[#This Row],[ArtÃ­culo]],Tabla34[#All],3,0)</calculatedColumnFormula>
    </tableColumn>
    <tableColumn id="6" xr3:uid="{9AE7BD05-3C6A-46FD-B4CC-E2A9E3F3F295}" name="Coste LÃ­nea" totalsRowFunction="sum" dataDxfId="5145" totalsRowDxfId="5144" dataCellStyle="Moneda">
      <calculatedColumnFormula>+Tabla110345345445545647945586877869510811712713622823724627233260269297315316384392394396416418426428231[[#This Row],[Coste Componente]]*Tabla110345345445545647945586877869510811712713622823724627233260269297315316384392394396416418426428231[[#This Row],[Unidades]]</calculatedColumnFormula>
    </tableColumn>
  </tableColumns>
  <tableStyleInfo name="TableStyleLight8" showFirstColumn="0" showLastColumn="0" showRowStripes="1" showColumnStripes="0"/>
</table>
</file>

<file path=xl/tables/table9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F99BFA62-DD64-473A-8219-BFEF502657FC}" name="Tabla110345345445545647945586877869510811712713622823724627233260269297315316384392394396416418426428232" displayName="Tabla110345345445545647945586877869510811712713622823724627233260269297315316384392394396416418426428232" ref="B23:H25" totalsRowCount="1" dataDxfId="5142" totalsRowDxfId="5140" headerRowBorderDxfId="5143" tableBorderDxfId="5141" totalsRowBorderDxfId="5139">
  <autoFilter ref="B23:H24" xr:uid="{F99BFA62-DD64-473A-8219-BFEF502657FC}"/>
  <sortState xmlns:xlrd2="http://schemas.microsoft.com/office/spreadsheetml/2017/richdata2" ref="B24:H24">
    <sortCondition descending="1" ref="H157:H173"/>
  </sortState>
  <tableColumns count="7">
    <tableColumn id="2" xr3:uid="{5567051B-525B-443D-9070-F39D27469BD2}" name="ArtÃ­culo" dataDxfId="5138" totalsRowDxfId="5137"/>
    <tableColumn id="3" xr3:uid="{DE8E4F2E-9525-4401-AC33-BEA10DBC58EC}" name="Unidad Medida" dataDxfId="5136" totalsRowDxfId="5135"/>
    <tableColumn id="4" xr3:uid="{46A1BB31-B192-4551-99AA-D7BE02DFCD61}" name="Unidades Netas" dataDxfId="5134" totalsRowDxfId="5133"/>
    <tableColumn id="1" xr3:uid="{13E82F71-7D9A-4B99-B846-D93CC84FAE7B}" name="% Merma" dataDxfId="5132" totalsRowDxfId="5131"/>
    <tableColumn id="7" xr3:uid="{BB124846-D555-4B5D-B49C-B79A0574F61D}" name="Unidades" dataDxfId="5130" totalsRowDxfId="5129"/>
    <tableColumn id="5" xr3:uid="{7BC61CD7-7D68-4F61-B8C4-04CCBE94E493}" name="Coste Componente" dataDxfId="5128" totalsRowDxfId="5127" dataCellStyle="Moneda">
      <calculatedColumnFormula>+VLOOKUP(Tabla110345345445545647945586877869510811712713622823724627233260269297315316384392394396416418426428232[[#This Row],[ArtÃ­culo]],Tabla34[#All],3,0)</calculatedColumnFormula>
    </tableColumn>
    <tableColumn id="6" xr3:uid="{325A90FE-7D5C-4747-AB3A-BAFD6C780F4F}" name="Coste LÃ­nea" totalsRowFunction="sum" dataDxfId="5126" totalsRowDxfId="5125" dataCellStyle="Moneda">
      <calculatedColumnFormula>+Tabla110345345445545647945586877869510811712713622823724627233260269297315316384392394396416418426428232[[#This Row],[Coste Componente]]*Tabla110345345445545647945586877869510811712713622823724627233260269297315316384392394396416418426428232[[#This Row],[Unidades Netas]]</calculatedColumnFormula>
    </tableColumn>
  </tableColumns>
  <tableStyleInfo name="TableStyleLight8" showFirstColumn="0" showLastColumn="0" showRowStripes="1" showColumnStripes="0"/>
</table>
</file>

<file path=xl/tables/table9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BD2083-7B24-4185-ABD3-5E6A08C5D187}" name="Tabla11034534544554564794558687786951081171271362282372462723326026929731531638439239439641641842642823217" displayName="Tabla11034534544554564794558687786951081171271362282372462723326026929731531638439239439641641842642823217" ref="B35:H37" totalsRowCount="1" dataDxfId="5123" totalsRowDxfId="5121" headerRowBorderDxfId="5124" tableBorderDxfId="5122" totalsRowBorderDxfId="5120">
  <autoFilter ref="B35:H36" xr:uid="{AFBD2083-7B24-4185-ABD3-5E6A08C5D187}"/>
  <sortState xmlns:xlrd2="http://schemas.microsoft.com/office/spreadsheetml/2017/richdata2" ref="B36:H36">
    <sortCondition descending="1" ref="H157:H173"/>
  </sortState>
  <tableColumns count="7">
    <tableColumn id="2" xr3:uid="{6DBA83FD-4790-4440-9168-DAFA6A01D046}" name="ArtÃ­culo" dataDxfId="5119" totalsRowDxfId="5118"/>
    <tableColumn id="3" xr3:uid="{FF6DDAB5-B53B-46BF-A19F-7DDEE5E55750}" name="Unidad Medida" dataDxfId="5117" totalsRowDxfId="5116"/>
    <tableColumn id="4" xr3:uid="{8964B837-BAA9-4B07-BBBF-BCF5F161E86F}" name="Unidades Netas" dataDxfId="5115" totalsRowDxfId="5114"/>
    <tableColumn id="1" xr3:uid="{6F9880E8-8788-4CCE-9D7C-3C40F8CC4A7C}" name="% Merma" dataDxfId="5113" totalsRowDxfId="5112"/>
    <tableColumn id="7" xr3:uid="{5C99D4BC-D8C6-433E-8289-1F90B80E5D12}" name="Unidades" dataDxfId="5111" totalsRowDxfId="5110"/>
    <tableColumn id="5" xr3:uid="{10839B22-27F9-47BC-BA68-D281752F70FE}" name="Coste Componente" dataDxfId="5109" totalsRowDxfId="5108" dataCellStyle="Moneda">
      <calculatedColumnFormula>+VLOOKUP(Tabla11034534544554564794558687786951081171271362282372462723326026929731531638439239439641641842642823217[[#This Row],[ArtÃ­culo]],Tabla34[#All],3,0)</calculatedColumnFormula>
    </tableColumn>
    <tableColumn id="6" xr3:uid="{14FE4357-36CA-444C-B2CC-988066F026F9}" name="Coste LÃ­nea" totalsRowFunction="sum" dataDxfId="5107" totalsRowDxfId="5106" dataCellStyle="Moneda">
      <calculatedColumnFormula>+Tabla11034534544554564794558687786951081171271362282372462723326026929731531638439239439641641842642823217[[#This Row],[Coste Componente]]*Tabla11034534544554564794558687786951081171271362282372462723326026929731531638439239439641641842642823217[[#This Row],[Unidades Netas]]</calculatedColumnFormula>
    </tableColumn>
  </tableColumns>
  <tableStyleInfo name="TableStyleLight8" showFirstColumn="0" showLastColumn="0" showRowStripes="1" showColumnStripes="0"/>
</table>
</file>

<file path=xl/tables/table9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5" xr:uid="{FE303041-2A40-495D-9B45-9989A09ED84B}" name="Tabla110345345445545647945586877869510811712713622823724627233260269297315316384392394396416" displayName="Tabla110345345445545647945586877869510811712713622823724627233260269297315316384392394396416" ref="B7:F9" totalsRowCount="1" headerRowDxfId="4945" dataDxfId="4943" totalsRowDxfId="4941" headerRowBorderDxfId="4944" tableBorderDxfId="4942" totalsRowBorderDxfId="4940">
  <autoFilter ref="B7:F8" xr:uid="{25E24D6A-940D-4437-B263-679AE371D044}"/>
  <sortState xmlns:xlrd2="http://schemas.microsoft.com/office/spreadsheetml/2017/richdata2" ref="B8:F8">
    <sortCondition descending="1" ref="F192:F208"/>
  </sortState>
  <tableColumns count="5">
    <tableColumn id="2" xr3:uid="{E2A4EF5A-B80E-4C19-A235-0A62C9F26629}" name="Ingrediente" dataDxfId="4939" totalsRowDxfId="4938"/>
    <tableColumn id="3" xr3:uid="{29201CF5-0E71-4F76-977A-49A8DB188859}" name="Und" dataDxfId="4937" totalsRowDxfId="4936"/>
    <tableColumn id="4" xr3:uid="{ACE51CE5-7155-42A7-B923-8BBB393C7264}" name="Cant." dataDxfId="4935" totalsRowDxfId="4934"/>
    <tableColumn id="5" xr3:uid="{9AA10FC4-6195-44D1-9DC3-15C033B29D7E}" name="Costo" dataDxfId="4933" totalsRowDxfId="4932" dataCellStyle="Moneda">
      <calculatedColumnFormula>+VLOOKUP(Tabla110345345445545647945586877869510811712713622823724627233260269297315316384392394396416[[#This Row],[Ingrediente]],Tabla34[#All],3,0)</calculatedColumnFormula>
    </tableColumn>
    <tableColumn id="6" xr3:uid="{335338AB-C696-4881-8A97-42DEE172954F}" name="Total costo" totalsRowFunction="sum" dataDxfId="4931" totalsRowDxfId="4930" dataCellStyle="Moneda">
      <calculatedColumnFormula>+Tabla110345345445545647945586877869510811712713622823724627233260269297315316384392394396416[[#This Row],[Costo]]*Tabla110345345445545647945586877869510811712713622823724627233260269297315316384392394396416[[#This Row],[Cant.]]</calculatedColumnFormula>
    </tableColumn>
  </tableColumns>
  <tableStyleInfo name="TableStyleLight8" showFirstColumn="0" showLastColumn="0" showRowStripes="1" showColumnStripes="0"/>
</table>
</file>

<file path=xl/tables/table9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9" xr:uid="{78B63EE6-C3DE-4AEA-82B0-B38245F0AB3D}" name="Tabla110345345445545647945586877869510811712713622823724627233260269297315316384392394396416420" displayName="Tabla110345345445545647945586877869510811712713622823724627233260269297315316384392394396416420" ref="B19:F21" totalsRowCount="1" headerRowDxfId="4929" dataDxfId="4927" totalsRowDxfId="4925" headerRowBorderDxfId="4928" tableBorderDxfId="4926" totalsRowBorderDxfId="4924">
  <autoFilter ref="B19:F20" xr:uid="{78B63EE6-C3DE-4AEA-82B0-B38245F0AB3D}"/>
  <sortState xmlns:xlrd2="http://schemas.microsoft.com/office/spreadsheetml/2017/richdata2" ref="B20:F20">
    <sortCondition descending="1" ref="F192:F208"/>
  </sortState>
  <tableColumns count="5">
    <tableColumn id="2" xr3:uid="{30B28D85-0D54-4EE5-9081-EDAC6F693BD3}" name="Ingrediente" dataDxfId="4923" totalsRowDxfId="4922"/>
    <tableColumn id="3" xr3:uid="{BC061743-6EC2-44C2-9430-8CD4EB8E2B9C}" name="Und" dataDxfId="4921" totalsRowDxfId="4920"/>
    <tableColumn id="4" xr3:uid="{27D2F459-B877-4F22-96E9-20D261526D4F}" name="Cant." dataDxfId="4919" totalsRowDxfId="4918"/>
    <tableColumn id="5" xr3:uid="{8485B1DD-C2CC-4DBB-A7CD-F32363404023}" name="Costo" dataDxfId="4917" totalsRowDxfId="4916" dataCellStyle="Moneda">
      <calculatedColumnFormula>+VLOOKUP(Tabla110345345445545647945586877869510811712713622823724627233260269297315316384392394396416420[[#This Row],[Ingrediente]],Tabla34[#All],3,0)</calculatedColumnFormula>
    </tableColumn>
    <tableColumn id="6" xr3:uid="{93A71B6B-420B-4A3F-BAB6-FDEADF0D1119}" name="Total costo" totalsRowFunction="sum" dataDxfId="4915" totalsRowDxfId="4914" dataCellStyle="Moneda">
      <calculatedColumnFormula>+Tabla110345345445545647945586877869510811712713622823724627233260269297315316384392394396416420[[#This Row],[Costo]]*Tabla110345345445545647945586877869510811712713622823724627233260269297315316384392394396416420[[#This Row],[Cant.]]</calculatedColumnFormula>
    </tableColumn>
  </tableColumns>
  <tableStyleInfo name="TableStyleLight8" showFirstColumn="0" showLastColumn="0" showRowStripes="1" showColumnStripes="0"/>
</table>
</file>

<file path=xl/tables/table9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0" xr:uid="{FA3BB418-9E8B-424C-984F-1F121430435F}" name="Tabla110345345445545647945586877869510811712713622823724627233260269297315316384392394396416421" displayName="Tabla110345345445545647945586877869510811712713622823724627233260269297315316384392394396416421" ref="B31:F33" totalsRowCount="1" headerRowDxfId="4913" dataDxfId="4911" totalsRowDxfId="4909" headerRowBorderDxfId="4912" tableBorderDxfId="4910" totalsRowBorderDxfId="4908">
  <autoFilter ref="B31:F32" xr:uid="{FA3BB418-9E8B-424C-984F-1F121430435F}"/>
  <sortState xmlns:xlrd2="http://schemas.microsoft.com/office/spreadsheetml/2017/richdata2" ref="B32:F32">
    <sortCondition descending="1" ref="F192:F208"/>
  </sortState>
  <tableColumns count="5">
    <tableColumn id="2" xr3:uid="{DA31138B-4463-47C6-8515-AAB49F46366A}" name="Ingrediente" dataDxfId="4907" totalsRowDxfId="4906"/>
    <tableColumn id="3" xr3:uid="{7482A4A0-3C59-4829-B278-E3DA46CAAFA0}" name="Und" dataDxfId="4905" totalsRowDxfId="4904"/>
    <tableColumn id="4" xr3:uid="{32D50756-F871-4C99-A194-3B2D362A1807}" name="Cant." dataDxfId="4903" totalsRowDxfId="4902"/>
    <tableColumn id="5" xr3:uid="{DB1FB0E3-50A8-4FAA-B607-C52B08A47E10}" name="Costo" dataDxfId="4901" totalsRowDxfId="4900" dataCellStyle="Moneda">
      <calculatedColumnFormula>+VLOOKUP(Tabla110345345445545647945586877869510811712713622823724627233260269297315316384392394396416421[[#This Row],[Ingrediente]],Tabla34[#All],3,0)</calculatedColumnFormula>
    </tableColumn>
    <tableColumn id="6" xr3:uid="{2FDDD56D-E2AC-4B1F-A1FA-EC34BCE338F1}" name="Total costo" totalsRowFunction="sum" dataDxfId="4899" totalsRowDxfId="4898" dataCellStyle="Moneda">
      <calculatedColumnFormula>+Tabla110345345445545647945586877869510811712713622823724627233260269297315316384392394396416421[[#This Row],[Costo]]*Tabla110345345445545647945586877869510811712713622823724627233260269297315316384392394396416421[[#This Row],[Cant.]]</calculatedColumnFormula>
    </tableColumn>
  </tableColumns>
  <tableStyleInfo name="TableStyleLight8" showFirstColumn="0" showLastColumn="0" showRowStripes="1" showColumnStripes="0"/>
</table>
</file>

<file path=xl/tables/table9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1" xr:uid="{B0628CB0-2B32-412A-AA42-1BE1A347598C}" name="Tabla110345345445545647945586877869510811712713622823724627233260269297315316384392394396416422" displayName="Tabla110345345445545647945586877869510811712713622823724627233260269297315316384392394396416422" ref="B43:F45" totalsRowCount="1" headerRowDxfId="4897" dataDxfId="4895" totalsRowDxfId="4893" headerRowBorderDxfId="4896" tableBorderDxfId="4894" totalsRowBorderDxfId="4892">
  <autoFilter ref="B43:F44" xr:uid="{B0628CB0-2B32-412A-AA42-1BE1A347598C}"/>
  <sortState xmlns:xlrd2="http://schemas.microsoft.com/office/spreadsheetml/2017/richdata2" ref="B44:F44">
    <sortCondition descending="1" ref="F192:F208"/>
  </sortState>
  <tableColumns count="5">
    <tableColumn id="2" xr3:uid="{B77ADD1B-1B8C-4F78-B4D6-7D1CF4481AD2}" name="Ingrediente" dataDxfId="4891" totalsRowDxfId="4890"/>
    <tableColumn id="3" xr3:uid="{E5A3CF5F-B6F7-42EF-9369-47282FB500A1}" name="Und" dataDxfId="4889" totalsRowDxfId="4888"/>
    <tableColumn id="4" xr3:uid="{5A1F42F2-52A1-44AF-8549-48097CCADEC4}" name="Cant." dataDxfId="4887" totalsRowDxfId="4886"/>
    <tableColumn id="5" xr3:uid="{D2797A9E-6113-4F89-A57F-438DFCAA78E9}" name="Costo" dataDxfId="4885" totalsRowDxfId="4884" dataCellStyle="Moneda">
      <calculatedColumnFormula>+VLOOKUP(Tabla110345345445545647945586877869510811712713622823724627233260269297315316384392394396416422[[#This Row],[Ingrediente]],Tabla34[#All],3,0)</calculatedColumnFormula>
    </tableColumn>
    <tableColumn id="6" xr3:uid="{F6267AA2-13FC-478B-922D-A2681C83B12B}" name="Total costo" totalsRowFunction="sum" dataDxfId="4883" totalsRowDxfId="4882" dataCellStyle="Moneda">
      <calculatedColumnFormula>+Tabla110345345445545647945586877869510811712713622823724627233260269297315316384392394396416422[[#This Row],[Costo]]*Tabla110345345445545647945586877869510811712713622823724627233260269297315316384392394396416422[[#This Row],[Cant.]]</calculatedColumnFormula>
    </tableColumn>
  </tableColumns>
  <tableStyleInfo name="TableStyleLight8" showFirstColumn="0" showLastColumn="0" showRowStripes="1" showColumnStripes="0"/>
</table>
</file>

<file path=xl/tables/table9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F51391F3-15E1-4088-AE8E-81966E354108}" name="Tabla110345345445545647945586877869510811712713622823724627233260269297315316384392394396416423" displayName="Tabla110345345445545647945586877869510811712713622823724627233260269297315316384392394396416423" ref="B54:F56" totalsRowCount="1" headerRowDxfId="4881" dataDxfId="4879" totalsRowDxfId="4877" headerRowBorderDxfId="4880" tableBorderDxfId="4878" totalsRowBorderDxfId="4876">
  <autoFilter ref="B54:F55" xr:uid="{F51391F3-15E1-4088-AE8E-81966E354108}"/>
  <sortState xmlns:xlrd2="http://schemas.microsoft.com/office/spreadsheetml/2017/richdata2" ref="B55:F55">
    <sortCondition descending="1" ref="F192:F208"/>
  </sortState>
  <tableColumns count="5">
    <tableColumn id="2" xr3:uid="{FA97F0E3-9522-4FA1-BC43-F1C77B37BEAE}" name="Ingrediente" dataDxfId="4875" totalsRowDxfId="4874"/>
    <tableColumn id="3" xr3:uid="{A33AAAE7-FE4F-4F37-94F5-0172EAACDD1A}" name="Und" dataDxfId="4873" totalsRowDxfId="4872"/>
    <tableColumn id="4" xr3:uid="{DB51CC63-421F-4743-B0F7-757707E0AF5E}" name="Cant." dataDxfId="4871" totalsRowDxfId="4870"/>
    <tableColumn id="5" xr3:uid="{6AAF47B0-0314-4451-82AA-106C4CA204D3}" name="Costo" dataDxfId="4869" totalsRowDxfId="4868" dataCellStyle="Moneda">
      <calculatedColumnFormula>+VLOOKUP(Tabla110345345445545647945586877869510811712713622823724627233260269297315316384392394396416423[[#This Row],[Ingrediente]],Tabla34[#All],3,0)</calculatedColumnFormula>
    </tableColumn>
    <tableColumn id="6" xr3:uid="{A70E41D0-C5EC-488D-9953-75F7A94E5FCF}" name="Total costo" totalsRowFunction="sum" dataDxfId="4867" totalsRowDxfId="4866" dataCellStyle="Moneda">
      <calculatedColumnFormula>+Tabla110345345445545647945586877869510811712713622823724627233260269297315316384392394396416423[[#This Row],[Costo]]*Tabla110345345445545647945586877869510811712713622823724627233260269297315316384392394396416423[[#This Row],[Cant.]]</calculatedColumnFormula>
    </tableColumn>
  </tableColumns>
  <tableStyleInfo name="TableStyleLight8" showFirstColumn="0" showLastColumn="0" showRowStripes="1" showColumnStripes="0"/>
</table>
</file>

<file path=xl/tables/table9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3" xr:uid="{800C9A18-B900-4910-953A-C09E87B9A793}" name="Tabla110345345445545647945586877869510811712713622823724627233260269297315316384392394396416424" displayName="Tabla110345345445545647945586877869510811712713622823724627233260269297315316384392394396416424" ref="B66:F68" totalsRowCount="1" headerRowDxfId="4865" dataDxfId="4863" totalsRowDxfId="4861" headerRowBorderDxfId="4864" tableBorderDxfId="4862" totalsRowBorderDxfId="4860">
  <autoFilter ref="B66:F67" xr:uid="{800C9A18-B900-4910-953A-C09E87B9A793}"/>
  <sortState xmlns:xlrd2="http://schemas.microsoft.com/office/spreadsheetml/2017/richdata2" ref="B67:F67">
    <sortCondition descending="1" ref="F192:F208"/>
  </sortState>
  <tableColumns count="5">
    <tableColumn id="2" xr3:uid="{39492B2E-9419-4BB3-959A-155E19D20E50}" name="Ingrediente" dataDxfId="4859" totalsRowDxfId="4858"/>
    <tableColumn id="3" xr3:uid="{27B5554B-BCD5-4E40-BEF8-35066AA9E279}" name="Und" dataDxfId="4857" totalsRowDxfId="4856"/>
    <tableColumn id="4" xr3:uid="{1EAC7BFC-769A-4AE6-81E3-887D94003F2B}" name="Cant." dataDxfId="4855" totalsRowDxfId="4854"/>
    <tableColumn id="5" xr3:uid="{8226550D-3E69-484F-A533-A8E45C3BB0FF}" name="Costo" dataDxfId="4853" totalsRowDxfId="4852" dataCellStyle="Moneda">
      <calculatedColumnFormula>+VLOOKUP(Tabla110345345445545647945586877869510811712713622823724627233260269297315316384392394396416424[[#This Row],[Ingrediente]],Tabla34[#All],3,0)</calculatedColumnFormula>
    </tableColumn>
    <tableColumn id="6" xr3:uid="{AE7059A8-898A-4909-A24C-71DEEC5B0BCB}" name="Total costo" totalsRowFunction="sum" dataDxfId="4851" totalsRowDxfId="4850" dataCellStyle="Moneda">
      <calculatedColumnFormula>+Tabla110345345445545647945586877869510811712713622823724627233260269297315316384392394396416424[[#This Row],[Costo]]*Tabla110345345445545647945586877869510811712713622823724627233260269297315316384392394396416424[[#This Row],[Cant.]]</calculatedColumnFormula>
    </tableColumn>
  </tableColumns>
  <tableStyleInfo name="TableStyleLight8" showFirstColumn="0" showLastColumn="0" showRowStripes="1" showColumnStripes="0"/>
</table>
</file>

<file path=xl/tables/table9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4" xr:uid="{DE715BF9-287C-48B4-93D9-DC1DF18A22D0}" name="Tabla110345345445545647945586877869510811712713622823724627233260269297315316384392394396416425" displayName="Tabla110345345445545647945586877869510811712713622823724627233260269297315316384392394396416425" ref="B78:F80" totalsRowCount="1" headerRowDxfId="4849" dataDxfId="4847" totalsRowDxfId="4845" headerRowBorderDxfId="4848" tableBorderDxfId="4846" totalsRowBorderDxfId="4844">
  <autoFilter ref="B78:F79" xr:uid="{DE715BF9-287C-48B4-93D9-DC1DF18A22D0}"/>
  <sortState xmlns:xlrd2="http://schemas.microsoft.com/office/spreadsheetml/2017/richdata2" ref="B79:F79">
    <sortCondition descending="1" ref="F192:F208"/>
  </sortState>
  <tableColumns count="5">
    <tableColumn id="2" xr3:uid="{2B3E8F14-9822-4EB5-9AEC-AF2781AB93D7}" name="Ingrediente" dataDxfId="4843" totalsRowDxfId="4842"/>
    <tableColumn id="3" xr3:uid="{4F34E611-D796-46F4-A017-C5B6E21D3D91}" name="Und" dataDxfId="4841" totalsRowDxfId="4840"/>
    <tableColumn id="4" xr3:uid="{298D265D-704B-4DC6-94DD-1E8C3EDAC9D3}" name="Cant." dataDxfId="4839" totalsRowDxfId="4838"/>
    <tableColumn id="5" xr3:uid="{A1260045-5245-4861-89E7-D001182AC6DD}" name="Costo" dataDxfId="4837" totalsRowDxfId="4836" dataCellStyle="Moneda">
      <calculatedColumnFormula>+VLOOKUP(Tabla110345345445545647945586877869510811712713622823724627233260269297315316384392394396416425[[#This Row],[Ingrediente]],Tabla34[#All],3,0)</calculatedColumnFormula>
    </tableColumn>
    <tableColumn id="6" xr3:uid="{EA8A76B7-68CC-41D8-80F6-08DD2C3084E1}" name="Total costo" totalsRowFunction="sum" dataDxfId="4835" totalsRowDxfId="4834" dataCellStyle="Moneda">
      <calculatedColumnFormula>+Tabla110345345445545647945586877869510811712713622823724627233260269297315316384392394396416425[[#This Row],[Costo]]*Tabla110345345445545647945586877869510811712713622823724627233260269297315316384392394396416425[[#This Row],[Cant.]]</calculatedColumnFormula>
    </tableColumn>
  </tableColumns>
  <tableStyleInfo name="TableStyleLight8" showFirstColumn="0" showLastColumn="0" showRowStripes="1" showColumnStripes="0"/>
</table>
</file>

<file path=xl/tables/table9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8" xr:uid="{2594C7B0-3E9E-4F73-A1FE-1497CE25A053}" name="Tabla110345345445545647945586877869510811712713622823724627233260269297315316384392394396416425489" displayName="Tabla110345345445545647945586877869510811712713622823724627233260269297315316384392394396416425489" ref="B93:F102" totalsRowCount="1" headerRowDxfId="4833" dataDxfId="4831" totalsRowDxfId="4829" headerRowBorderDxfId="4832" tableBorderDxfId="4830" totalsRowBorderDxfId="4828">
  <autoFilter ref="B93:F101" xr:uid="{079030F4-4D09-4CEA-BA41-FCE1AB6272A5}"/>
  <sortState xmlns:xlrd2="http://schemas.microsoft.com/office/spreadsheetml/2017/richdata2" ref="B94:F94">
    <sortCondition descending="1" ref="F199:F215"/>
  </sortState>
  <tableColumns count="5">
    <tableColumn id="2" xr3:uid="{8B0A6C12-E9EE-464A-A218-30C176C36E89}" name="Ingrediente" dataDxfId="4827" totalsRowDxfId="4826"/>
    <tableColumn id="3" xr3:uid="{D8BD7E97-5B72-444A-ABE4-362E9089B6DC}" name="Und" dataDxfId="4825" totalsRowDxfId="4824"/>
    <tableColumn id="4" xr3:uid="{A812AFA2-90F6-463F-9B7A-030E6BA94DBC}" name="Cant." dataDxfId="4823" totalsRowDxfId="4822"/>
    <tableColumn id="5" xr3:uid="{E6A78FED-CCBB-459F-AA18-657A55837983}" name="Costo" dataDxfId="4821" totalsRowDxfId="4820" dataCellStyle="Moneda">
      <calculatedColumnFormula>+VLOOKUP(Tabla110345345445545647945586877869510811712713622823724627233260269297315316384392394396416425489[[#This Row],[Ingrediente]],Tabla34[#All],3,0)</calculatedColumnFormula>
    </tableColumn>
    <tableColumn id="6" xr3:uid="{EDC88509-14BA-4AE8-9B84-E90BD52ADD35}" name="Total costo" totalsRowFunction="sum" dataDxfId="4819" totalsRowDxfId="4818" dataCellStyle="Moneda">
      <calculatedColumnFormula>+Tabla110345345445545647945586877869510811712713622823724627233260269297315316384392394396416425489[[#This Row],[Costo]]*Tabla110345345445545647945586877869510811712713622823724627233260269297315316384392394396416425489[[#This Row],[Cant.]]</calculatedColumnFormula>
    </tableColumn>
  </tableColumns>
  <tableStyleInfo name="TableStyleLight8" showFirstColumn="0" showLastColumn="0" showRowStripes="1" showColumnStripes="0"/>
</table>
</file>

<file path=xl/tables/table9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3" xr:uid="{90A87C5C-A8C3-40EA-B7A0-C2BC535DB3FB}" name="Tabla110345345445545647945586877869510811712713622823724627233260269297315316384" displayName="Tabla110345345445545647945586877869510811712713622823724627233260269297315316384" ref="B7:F9" totalsRowCount="1" headerRowDxfId="4817" dataDxfId="4815" totalsRowDxfId="4813" headerRowBorderDxfId="4816" tableBorderDxfId="4814" totalsRowBorderDxfId="4812">
  <autoFilter ref="B7:F8" xr:uid="{25E24D6A-940D-4437-B263-679AE371D044}"/>
  <sortState xmlns:xlrd2="http://schemas.microsoft.com/office/spreadsheetml/2017/richdata2" ref="B8:F8">
    <sortCondition descending="1" ref="F192:F208"/>
  </sortState>
  <tableColumns count="5">
    <tableColumn id="2" xr3:uid="{7AA87F1B-A59D-4A5A-A5A5-B05341DFA79F}" name="Ingrediente" dataDxfId="4811" totalsRowDxfId="4810"/>
    <tableColumn id="3" xr3:uid="{04F848CC-7C69-4516-85A4-15CD0A22DDBB}" name="Und" dataDxfId="4809" totalsRowDxfId="4808"/>
    <tableColumn id="4" xr3:uid="{9FE7F6E2-4343-4F79-8798-0A8B3879CDA7}" name="Cant." dataDxfId="4807" totalsRowDxfId="4806"/>
    <tableColumn id="5" xr3:uid="{F66C6C06-E97F-4312-9FBF-AE83F8BE65B1}" name="Costo" dataDxfId="4805" totalsRowDxfId="4804" dataCellStyle="Moneda">
      <calculatedColumnFormula>+VLOOKUP(Tabla110345345445545647945586877869510811712713622823724627233260269297315316384[[#This Row],[Ingrediente]],Tabla34[#All],3,0)</calculatedColumnFormula>
    </tableColumn>
    <tableColumn id="6" xr3:uid="{9ED11061-316C-4148-B35A-CDCAD7C7B121}" name="Total costo" totalsRowFunction="sum" dataDxfId="4803" totalsRowDxfId="4802" dataCellStyle="Moneda">
      <calculatedColumnFormula>+Tabla110345345445545647945586877869510811712713622823724627233260269297315316384[[#This Row],[Costo]]*Tabla110345345445545647945586877869510811712713622823724627233260269297315316384[[#This Row],[Cant.]]</calculatedColumnFormula>
    </tableColumn>
  </tableColumns>
  <tableStyleInfo name="TableStyleLight8" showFirstColumn="0" showLastColumn="0" showRowStripes="1" showColumnStripes="0"/>
</table>
</file>

<file path=xl/tables/table9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4" xr:uid="{C3E3E5F1-317B-44D2-8B4C-7CDF43155E33}" name="Tabla110345345445545647945586877869510811712713622823724627233260269297315316347385" displayName="Tabla110345345445545647945586877869510811712713622823724627233260269297315316347385" ref="K7:O9" totalsRowCount="1" headerRowDxfId="4801" dataDxfId="4799" totalsRowDxfId="4797" headerRowBorderDxfId="4800" tableBorderDxfId="4798" totalsRowBorderDxfId="4796">
  <autoFilter ref="K7:O8" xr:uid="{88463C6A-3C61-4E06-A201-77F146EF67E7}"/>
  <sortState xmlns:xlrd2="http://schemas.microsoft.com/office/spreadsheetml/2017/richdata2" ref="K8:O8">
    <sortCondition descending="1" ref="O192:O208"/>
  </sortState>
  <tableColumns count="5">
    <tableColumn id="2" xr3:uid="{5F78C029-C5EC-4ED9-B2D8-DEB8303A901D}" name="Ingrediente" dataDxfId="4795" totalsRowDxfId="4794"/>
    <tableColumn id="3" xr3:uid="{96DD3634-E50A-44CD-8019-EC070AFDD0D4}" name="Und" dataDxfId="4793" totalsRowDxfId="4792"/>
    <tableColumn id="4" xr3:uid="{0DBA3ED8-C5E7-4C3C-A29D-0BD43B05F901}" name="Cant." dataDxfId="4791" totalsRowDxfId="4790"/>
    <tableColumn id="5" xr3:uid="{56D7A57C-8315-48EC-B632-A70AA5FA5A44}" name="Costo" dataDxfId="4789" totalsRowDxfId="4788" dataCellStyle="Moneda">
      <calculatedColumnFormula>+VLOOKUP(Tabla110345345445545647945586877869510811712713622823724627233260269297315316347385[[#This Row],[Ingrediente]],Tabla34[#All],3,0)</calculatedColumnFormula>
    </tableColumn>
    <tableColumn id="6" xr3:uid="{6E1106AB-F7B0-412E-87B2-C7234C93C22C}" name="Total costo" totalsRowFunction="sum" dataDxfId="4787" totalsRowDxfId="4786" dataCellStyle="Moneda">
      <calculatedColumnFormula>+Tabla110345345445545647945586877869510811712713622823724627233260269297315316347385[[#This Row],[Costo]]*Tabla110345345445545647945586877869510811712713622823724627233260269297315316347385[[#This Row],[Cant.]]</calculatedColumnFormula>
    </tableColumn>
  </tableColumns>
  <tableStyleInfo name="TableStyleLight8" showFirstColumn="0" showLastColumn="0" showRowStripes="1" showColumnStripes="0"/>
</table>
</file>

<file path=xl/tables/table9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8" xr:uid="{F2ED4A30-FE8C-4523-A29B-2F7E027DD79B}" name="Tabla110345345445545647945586877869510811712713622823724627233260269297315316347385429" displayName="Tabla110345345445545647945586877869510811712713622823724627233260269297315316347385429" ref="B24:F26" totalsRowCount="1" headerRowDxfId="4785" dataDxfId="4783" totalsRowDxfId="4781" headerRowBorderDxfId="4784" tableBorderDxfId="4782" totalsRowBorderDxfId="4780">
  <autoFilter ref="B24:F25" xr:uid="{E2ED030F-0648-42EF-943F-F7F8307FFAC6}"/>
  <sortState xmlns:xlrd2="http://schemas.microsoft.com/office/spreadsheetml/2017/richdata2" ref="B25:F25">
    <sortCondition descending="1" ref="F192:F208"/>
  </sortState>
  <tableColumns count="5">
    <tableColumn id="2" xr3:uid="{A550B5C4-019C-4553-8BC8-BBD730722561}" name="Ingrediente" dataDxfId="4779" totalsRowDxfId="4778"/>
    <tableColumn id="3" xr3:uid="{55C80C90-DC5C-4C80-818E-BFDAD0994C53}" name="Und" dataDxfId="4777" totalsRowDxfId="4776"/>
    <tableColumn id="4" xr3:uid="{7D2AC14B-12B5-4176-ACA5-7C12EA9FB52C}" name="Cant." dataDxfId="4775" totalsRowDxfId="4774"/>
    <tableColumn id="5" xr3:uid="{BB93F3C2-9477-4802-9490-8E4B8DF3B5B9}" name="Costo" dataDxfId="4773" totalsRowDxfId="4772" dataCellStyle="Moneda">
      <calculatedColumnFormula>+VLOOKUP(Tabla110345345445545647945586877869510811712713622823724627233260269297315316347385429[[#This Row],[Ingrediente]],INSUMOS!A1:C938,3,0)</calculatedColumnFormula>
    </tableColumn>
    <tableColumn id="6" xr3:uid="{DA6446A5-8A6D-44C5-AFED-14D268A4CD74}" name="Total costo" totalsRowFunction="sum" dataDxfId="4771" totalsRowDxfId="4770" dataCellStyle="Moneda">
      <calculatedColumnFormula>+Tabla110345345445545647945586877869510811712713622823724627233260269297315316347385429[[#This Row],[Costo]]*Tabla110345345445545647945586877869510811712713622823724627233260269297315316347385429[[#This Row],[Cant.]]</calculatedColumnFormula>
    </tableColumn>
  </tableColumns>
  <tableStyleInfo name="TableStyleLight8" showFirstColumn="0" showLastColumn="0" showRowStripes="1" showColumnStripes="0"/>
</table>
</file>

<file path=xl/tables/table9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4" xr:uid="{B8E64E13-9158-4E3A-AC93-0AF793BB0896}" name="Tabla110345345445545647945586877869510811712713622823724627233260269297315316347385429525" displayName="Tabla110345345445545647945586877869510811712713622823724627233260269297315316347385429525" ref="B37:F39" totalsRowCount="1" headerRowDxfId="4769" dataDxfId="4767" totalsRowDxfId="4765" headerRowBorderDxfId="4768" tableBorderDxfId="4766" totalsRowBorderDxfId="4764">
  <autoFilter ref="B37:F38" xr:uid="{950FE2DD-7483-471B-831A-A755DEF24C87}"/>
  <sortState xmlns:xlrd2="http://schemas.microsoft.com/office/spreadsheetml/2017/richdata2" ref="B38:F38">
    <sortCondition descending="1" ref="F192:F208"/>
  </sortState>
  <tableColumns count="5">
    <tableColumn id="2" xr3:uid="{BBD544ED-DDD1-455A-9786-84F052457291}" name="Ingrediente" dataDxfId="4763" totalsRowDxfId="4762"/>
    <tableColumn id="3" xr3:uid="{5A0A601B-F400-4604-AEF1-EAA93949ED89}" name="Und" dataDxfId="4761" totalsRowDxfId="4760"/>
    <tableColumn id="4" xr3:uid="{4318328D-311F-4A51-B99D-BE84FE0CB8E3}" name="Cant." dataDxfId="4759" totalsRowDxfId="4758"/>
    <tableColumn id="5" xr3:uid="{52DD538E-762C-4004-BFD6-8E2A00B8B6EF}" name="Costo" dataDxfId="4757" totalsRowDxfId="4756" dataCellStyle="Moneda">
      <calculatedColumnFormula>+VLOOKUP(Tabla110345345445545647945586877869510811712713622823724627233260269297315316347385429525[[#This Row],[Ingrediente]],INSUMOS!A1:C938,3,0)</calculatedColumnFormula>
    </tableColumn>
    <tableColumn id="6" xr3:uid="{67009E61-9A26-46DC-8BBA-FAF19FB3D405}" name="Total costo" totalsRowFunction="sum" dataDxfId="4755" totalsRowDxfId="4754" dataCellStyle="Moneda">
      <calculatedColumnFormula>+Tabla110345345445545647945586877869510811712713622823724627233260269297315316347385429525[[#This Row],[Costo]]*Tabla110345345445545647945586877869510811712713622823724627233260269297315316347385429525[[#This Row],[Cant.]]</calculatedColumnFormula>
    </tableColumn>
  </tableColumns>
  <tableStyleInfo name="TableStyleLight8" showFirstColumn="0" showLastColumn="0" showRowStripes="1" showColumnStripes="0"/>
</table>
</file>

<file path=xl/tables/table9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5" xr:uid="{E6513F84-7B75-4E26-9D01-8FA45DF8E323}" name="Tabla110345345445545647945586877869510811712713622823724627233260269297315316347385429526" displayName="Tabla110345345445545647945586877869510811712713622823724627233260269297315316347385429526" ref="B48:F50" totalsRowCount="1" headerRowDxfId="4753" dataDxfId="4751" totalsRowDxfId="4749" headerRowBorderDxfId="4752" tableBorderDxfId="4750" totalsRowBorderDxfId="4748">
  <autoFilter ref="B48:F49" xr:uid="{15017802-025A-45AD-A15D-4822398FCB75}"/>
  <sortState xmlns:xlrd2="http://schemas.microsoft.com/office/spreadsheetml/2017/richdata2" ref="B49:F49">
    <sortCondition descending="1" ref="F192:F208"/>
  </sortState>
  <tableColumns count="5">
    <tableColumn id="2" xr3:uid="{0D21CCE3-BA49-4992-83CB-53B58BCD8C8B}" name="Ingrediente" dataDxfId="4747" totalsRowDxfId="4746"/>
    <tableColumn id="3" xr3:uid="{238EC903-9882-4EDD-80A2-E2806B8B9508}" name="Und" dataDxfId="4745" totalsRowDxfId="4744"/>
    <tableColumn id="4" xr3:uid="{E8A54B5E-8F1E-49F0-BC2A-748819651D8F}" name="Cant." dataDxfId="4743" totalsRowDxfId="4742"/>
    <tableColumn id="5" xr3:uid="{8B755096-5ABE-4755-806C-3B9526541D13}" name="Costo" dataDxfId="4741" totalsRowDxfId="4740" dataCellStyle="Moneda">
      <calculatedColumnFormula>+VLOOKUP(Tabla110345345445545647945586877869510811712713622823724627233260269297315316347385429526[[#This Row],[Ingrediente]],INSUMOS!A1:C938,3,0)</calculatedColumnFormula>
    </tableColumn>
    <tableColumn id="6" xr3:uid="{8A293EB4-A865-4D30-8228-A6E5F2CC268A}" name="Total costo" totalsRowFunction="sum" dataDxfId="4739" totalsRowDxfId="4738" dataCellStyle="Moneda">
      <calculatedColumnFormula>+Tabla110345345445545647945586877869510811712713622823724627233260269297315316347385429526[[#This Row],[Costo]]*Tabla110345345445545647945586877869510811712713622823724627233260269297315316347385429526[[#This Row],[Cant.]]</calculatedColumnFormula>
    </tableColumn>
  </tableColumns>
  <tableStyleInfo name="TableStyleLight8" showFirstColumn="0" showLastColumn="0" showRowStripes="1" showColumnStripes="0"/>
</table>
</file>

<file path=xl/tables/table9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0E172EE8-2BFA-407C-A4B5-2546F365940A}" name="Tabla110345345445545647945586877869510811712713622823724627233260269297315316347385226" displayName="Tabla110345345445545647945586877869510811712713622823724627233260269297315316347385226" ref="B60:F62" totalsRowCount="1" headerRowDxfId="4737" dataDxfId="4735" totalsRowDxfId="4733" headerRowBorderDxfId="4736" tableBorderDxfId="4734" totalsRowBorderDxfId="4732">
  <autoFilter ref="B60:F61" xr:uid="{0E172EE8-2BFA-407C-A4B5-2546F365940A}"/>
  <sortState xmlns:xlrd2="http://schemas.microsoft.com/office/spreadsheetml/2017/richdata2" ref="B61:F61">
    <sortCondition descending="1" ref="F192:F208"/>
  </sortState>
  <tableColumns count="5">
    <tableColumn id="2" xr3:uid="{EB2DE929-06DC-473D-9C45-F17E4B136F5D}" name="Ingrediente" dataDxfId="4731" totalsRowDxfId="4730"/>
    <tableColumn id="3" xr3:uid="{69328794-E464-4CB1-9EF4-E3CBCEFA7E41}" name="Und" dataDxfId="4729" totalsRowDxfId="4728"/>
    <tableColumn id="4" xr3:uid="{C10D80A9-9736-4167-A708-15D2C09D6C37}" name="Cant." dataDxfId="4727" totalsRowDxfId="4726"/>
    <tableColumn id="5" xr3:uid="{9141116D-C858-421A-8545-3C91EEE831B9}" name="Costo" dataDxfId="4725" totalsRowDxfId="4724" dataCellStyle="Moneda">
      <calculatedColumnFormula>+VLOOKUP(Tabla110345345445545647945586877869510811712713622823724627233260269297315316347385226[[#This Row],[Ingrediente]],Tabla34[#All],3,0)</calculatedColumnFormula>
    </tableColumn>
    <tableColumn id="6" xr3:uid="{9D03A87D-80F7-462F-9F0F-803EC1A73383}" name="Total costo" totalsRowFunction="sum" dataDxfId="4723" totalsRowDxfId="4722" dataCellStyle="Moneda">
      <calculatedColumnFormula>+Tabla110345345445545647945586877869510811712713622823724627233260269297315316347385226[[#This Row],[Costo]]*Tabla110345345445545647945586877869510811712713622823724627233260269297315316347385226[[#This Row],[Cant.]]</calculatedColumnFormula>
    </tableColumn>
  </tableColumns>
  <tableStyleInfo name="TableStyleLight8" showFirstColumn="0" showLastColumn="0" showRowStripes="1" showColumnStripes="0"/>
</table>
</file>

<file path=xl/tables/table9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87A32E87-EC51-4D8F-A837-24C59F13FE26}" name="Tabla1103453454455456479455868778695108117" displayName="Tabla1103453454455456479455868778695108117" ref="B7:H15" totalsRowCount="1" headerRowDxfId="4721" dataDxfId="4719" totalsRowDxfId="4717" headerRowBorderDxfId="4720" tableBorderDxfId="4718" totalsRowBorderDxfId="4716">
  <autoFilter ref="B7:H14" xr:uid="{25E24D6A-940D-4437-B263-679AE371D044}"/>
  <sortState xmlns:xlrd2="http://schemas.microsoft.com/office/spreadsheetml/2017/richdata2" ref="B8:H14">
    <sortCondition descending="1" ref="H10:H14"/>
  </sortState>
  <tableColumns count="7">
    <tableColumn id="2" xr3:uid="{3E0C2E37-03BD-43C6-8C5D-E7648C624E6C}" name="Ingrediente" dataDxfId="4715" totalsRowDxfId="4714"/>
    <tableColumn id="3" xr3:uid="{B18EF14A-E7E3-47A0-B69E-D76F4C62A4F4}" name="Und" dataDxfId="4713" totalsRowDxfId="4712"/>
    <tableColumn id="4" xr3:uid="{596E81D3-FDBB-4F79-9ADB-3DCD5F6A6C18}" name="Cant." dataDxfId="4711" totalsRowDxfId="4710"/>
    <tableColumn id="1" xr3:uid="{3BAF87AE-F961-4259-BBF8-A465F2AB9EFA}" name="Columna1" dataDxfId="4709" totalsRowDxfId="4708"/>
    <tableColumn id="7" xr3:uid="{4A4F7F50-ED6B-42A8-AA5D-802CBE3404CC}" name="Columna2" dataDxfId="4707" totalsRowDxfId="4706"/>
    <tableColumn id="5" xr3:uid="{38839BF2-6999-4E66-8485-E99CBA40D9CF}" name="Costo" dataDxfId="4705" totalsRowDxfId="4704" dataCellStyle="Moneda">
      <calculatedColumnFormula>+VLOOKUP(Tabla1103453454455456479455868778695108117[[#This Row],[Ingrediente]],Tabla34[#All],3,0)</calculatedColumnFormula>
    </tableColumn>
    <tableColumn id="6" xr3:uid="{9DDA531F-02FD-47BE-BB12-6708345BFBC1}" name="Total costo" totalsRowFunction="sum" dataDxfId="4703" totalsRowDxfId="4702" dataCellStyle="Moneda">
      <calculatedColumnFormula>+Tabla1103453454455456479455868778695108117[[#This Row],[Costo]]*Tabla1103453454455456479455868778695108117[[#This Row],[Columna2]]</calculatedColumnFormula>
    </tableColumn>
  </tableColumns>
  <tableStyleInfo name="TableStyleLight8" showFirstColumn="0" showLastColumn="0" showRowStripes="1" showColumnStripes="0"/>
</table>
</file>

<file path=xl/tables/table9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F197CA9-C27E-40C4-BFA6-BB415A938205}" name="Tabla110345345445545647936465969788796109118" displayName="Tabla110345345445545647936465969788796109118" ref="B18:H26" totalsRowCount="1" headerRowDxfId="4701" dataDxfId="4699" totalsRowDxfId="4697" headerRowBorderDxfId="4700" tableBorderDxfId="4698" totalsRowBorderDxfId="4696">
  <autoFilter ref="B18:H25" xr:uid="{465BE583-B429-4C2B-93EC-227E72041455}"/>
  <sortState xmlns:xlrd2="http://schemas.microsoft.com/office/spreadsheetml/2017/richdata2" ref="B19:H25">
    <sortCondition descending="1" ref="H21:H25"/>
  </sortState>
  <tableColumns count="7">
    <tableColumn id="2" xr3:uid="{CADA11E7-D9D4-448C-84EB-3E5DDAEB3E6D}" name="Ingrediente" dataDxfId="4695" totalsRowDxfId="4694"/>
    <tableColumn id="3" xr3:uid="{5A7904D5-DD51-416B-B6BE-2B23064829E2}" name="Und" dataDxfId="4693" totalsRowDxfId="4692"/>
    <tableColumn id="4" xr3:uid="{B459A62D-28DF-40B1-992D-3A404DCC31E2}" name="Cant." dataDxfId="4691" totalsRowDxfId="4690"/>
    <tableColumn id="1" xr3:uid="{C9837DFC-651A-43E9-A69A-7098E988A388}" name="Columna1" dataDxfId="4689" totalsRowDxfId="4688"/>
    <tableColumn id="7" xr3:uid="{439EDAED-4D37-4E34-A3C2-EF1B2D17BE6B}" name="Columna2" dataDxfId="4687" totalsRowDxfId="4686"/>
    <tableColumn id="5" xr3:uid="{2B073BE1-8015-438E-872B-29ADD65A5B72}" name="Costo" dataDxfId="4685" totalsRowDxfId="4684" dataCellStyle="Moneda">
      <calculatedColumnFormula>+VLOOKUP(Tabla110345345445545647936465969788796109118[[#This Row],[Ingrediente]],Tabla34[#All],3,0)</calculatedColumnFormula>
    </tableColumn>
    <tableColumn id="6" xr3:uid="{D672E359-D16B-46C8-8A08-0282FAEAE944}" name="Total costo" totalsRowFunction="sum" dataDxfId="4683" totalsRowDxfId="4682" dataCellStyle="Moneda">
      <calculatedColumnFormula>+Tabla110345345445545647936465969788796109118[[#This Row],[Costo]]*Tabla110345345445545647936465969788796109118[[#This Row],[Cant.]]</calculatedColumnFormula>
    </tableColumn>
  </tableColumns>
  <tableStyleInfo name="TableStyleLight8" showFirstColumn="0" showLastColumn="0" showRowStripes="1" showColumnStripes="0"/>
</table>
</file>

<file path=xl/tables/table9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E60754E-D308-4418-9498-2DEE6BDA95D2}" name="Tabla11034534544554564793637476070798897110119" displayName="Tabla11034534544554564793637476070798897110119" ref="B30:H36" totalsRowCount="1" headerRowDxfId="4681" dataDxfId="4679" totalsRowDxfId="4677" headerRowBorderDxfId="4680" tableBorderDxfId="4678" totalsRowBorderDxfId="4676">
  <autoFilter ref="B30:H35" xr:uid="{D046284E-C2C1-4680-A383-F9B742CBF79C}"/>
  <sortState xmlns:xlrd2="http://schemas.microsoft.com/office/spreadsheetml/2017/richdata2" ref="B31:H35">
    <sortCondition descending="1" ref="H32:H35"/>
  </sortState>
  <tableColumns count="7">
    <tableColumn id="2" xr3:uid="{D3D2A2BC-83EB-44D2-91A8-B52F0DB3EF24}" name="Ingrediente" dataDxfId="4675" totalsRowDxfId="4674"/>
    <tableColumn id="3" xr3:uid="{335A37A8-7BD3-4C4E-B79D-666D598F30E0}" name="Und" dataDxfId="4673" totalsRowDxfId="4672"/>
    <tableColumn id="4" xr3:uid="{8E179C8C-8154-4080-87F8-15F72F02E08A}" name="Cant." dataDxfId="4671" totalsRowDxfId="4670"/>
    <tableColumn id="1" xr3:uid="{8AE3ED67-19B6-413A-A0AD-B9FF4218160A}" name="Columna1" dataDxfId="4669" totalsRowDxfId="4668"/>
    <tableColumn id="7" xr3:uid="{3556C241-8E86-4FF3-9475-C77DA2C3EA7C}" name="Columna2" dataDxfId="4667" totalsRowDxfId="4666"/>
    <tableColumn id="5" xr3:uid="{FDC23D2E-EB27-4591-8426-9DB32F17C743}" name="Costo" dataDxfId="4665" totalsRowDxfId="4664" dataCellStyle="Moneda">
      <calculatedColumnFormula>+VLOOKUP(Tabla11034534544554564793637476070798897110119[[#This Row],[Ingrediente]],Tabla34[#All],3,0)</calculatedColumnFormula>
    </tableColumn>
    <tableColumn id="6" xr3:uid="{F900C1ED-008D-4868-AF6E-6BD6ECEECAD2}" name="Total costo" totalsRowFunction="sum" dataDxfId="4663" totalsRowDxfId="4662" dataCellStyle="Moneda">
      <calculatedColumnFormula>+Tabla11034534544554564793637476070798897110119[[#This Row],[Costo]]*Tabla11034534544554564793637476070798897110119[[#This Row],[Columna2]]</calculatedColumnFormula>
    </tableColumn>
  </tableColumns>
  <tableStyleInfo name="TableStyleLight8" showFirstColumn="0" showLastColumn="0" showRowStripes="1" showColumnStripes="0"/>
</table>
</file>

<file path=xl/tables/table9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22D7AAAB-C272-481A-8AE4-F87109B82392}" name="Tabla110345345445545647945586877869510811712713622823724627233260269" displayName="Tabla110345345445545647945586877869510811712713622823724627233260269" ref="B7:F9" totalsRowCount="1" headerRowDxfId="4661" dataDxfId="4659" totalsRowDxfId="4657" headerRowBorderDxfId="4660" tableBorderDxfId="4658" totalsRowBorderDxfId="4656">
  <autoFilter ref="B7:F8" xr:uid="{25E24D6A-940D-4437-B263-679AE371D044}"/>
  <sortState xmlns:xlrd2="http://schemas.microsoft.com/office/spreadsheetml/2017/richdata2" ref="B8:F8">
    <sortCondition descending="1" ref="F192:F208"/>
  </sortState>
  <tableColumns count="5">
    <tableColumn id="2" xr3:uid="{8A2E5F1B-427A-4D4A-B6E6-565DEA73829B}" name="Ingrediente" dataDxfId="4655" totalsRowDxfId="4654"/>
    <tableColumn id="3" xr3:uid="{7C8727F9-6F77-4F65-BEB2-A830DC0CD73B}" name="Und" dataDxfId="4653" totalsRowDxfId="4652"/>
    <tableColumn id="4" xr3:uid="{0E72EA6B-E0E7-429D-973C-9518AC3F809E}" name="Cant." dataDxfId="4651" totalsRowDxfId="4650"/>
    <tableColumn id="5" xr3:uid="{80580E50-0312-440B-BA3D-A5FF1BBDDF80}" name="Costo" dataDxfId="4649" totalsRowDxfId="4648" dataCellStyle="Moneda">
      <calculatedColumnFormula>+VLOOKUP(Tabla110345345445545647945586877869510811712713622823724627233260269[[#This Row],[Ingrediente]],Tabla34[#All],3,0)</calculatedColumnFormula>
    </tableColumn>
    <tableColumn id="6" xr3:uid="{CDC5929F-2F64-48DA-8DD8-0B0CCEA2FAF3}" name="Total costo" totalsRowFunction="sum" dataDxfId="4647" totalsRowDxfId="4646" dataCellStyle="Moneda">
      <calculatedColumnFormula>+Tabla110345345445545647945586877869510811712713622823724627233260269[[#This Row],[Costo]]*Tabla110345345445545647945586877869510811712713622823724627233260269[[#This Row],[Cant.]]</calculatedColumnFormula>
    </tableColumn>
  </tableColumns>
  <tableStyleInfo name="TableStyleLight8" showFirstColumn="0" showLastColumn="0" showRowStripes="1" showColumnStripes="0"/>
</table>
</file>

<file path=xl/tables/table9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3BA92228-C373-4CD1-B594-E2463A0EF43A}" name="Tabla110345345445545647945586877869510811712713622823724627233260269306" displayName="Tabla110345345445545647945586877869510811712713622823724627233260269306" ref="B19:F21" totalsRowCount="1" headerRowDxfId="4645" dataDxfId="4643" totalsRowDxfId="4641" headerRowBorderDxfId="4644" tableBorderDxfId="4642" totalsRowBorderDxfId="4640">
  <autoFilter ref="B19:F20" xr:uid="{C9384B78-32B1-426C-B370-9698646BCA5C}"/>
  <sortState xmlns:xlrd2="http://schemas.microsoft.com/office/spreadsheetml/2017/richdata2" ref="B20:F20">
    <sortCondition descending="1" ref="F192:F208"/>
  </sortState>
  <tableColumns count="5">
    <tableColumn id="2" xr3:uid="{4920391F-26F2-4DD7-9C30-8DE4662478E4}" name="Ingrediente" dataDxfId="4639" totalsRowDxfId="4638"/>
    <tableColumn id="3" xr3:uid="{F5CA2E41-4052-44C0-9720-25DFEC983D2F}" name="Und" dataDxfId="4637" totalsRowDxfId="4636"/>
    <tableColumn id="4" xr3:uid="{9A179334-2273-4FE9-939B-C009F4B88331}" name="Cant." dataDxfId="4635" totalsRowDxfId="4634"/>
    <tableColumn id="5" xr3:uid="{CADF5AA0-38B3-4335-9D8F-31DC15D205DC}" name="Costo" dataDxfId="4633" totalsRowDxfId="4632" dataCellStyle="Moneda">
      <calculatedColumnFormula>+VLOOKUP(Tabla110345345445545647945586877869510811712713622823724627233260269306[[#This Row],[Ingrediente]],Tabla34[#All],3,0)</calculatedColumnFormula>
    </tableColumn>
    <tableColumn id="6" xr3:uid="{C76F6161-73FD-49E4-AE5D-A42722A3A911}" name="Total costo" totalsRowFunction="sum" dataDxfId="4631" totalsRowDxfId="4630" dataCellStyle="Moneda">
      <calculatedColumnFormula>+Tabla110345345445545647945586877869510811712713622823724627233260269306[[#This Row],[Costo]]*Tabla110345345445545647945586877869510811712713622823724627233260269306[[#This Row],[Cant.]]</calculatedColumnFormula>
    </tableColumn>
  </tableColumns>
  <tableStyleInfo name="TableStyleLight8" showFirstColumn="0" showLastColumn="0" showRowStripes="1" showColumnStripes="0"/>
</table>
</file>

<file path=xl/tables/table9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5F99E571-9653-42D8-ADB5-7D97EA66421D}" name="Tabla110345345445545647945586877869510811712713622823724627233260269306307" displayName="Tabla110345345445545647945586877869510811712713622823724627233260269306307" ref="B31:F33" totalsRowCount="1" headerRowDxfId="4629" dataDxfId="4627" totalsRowDxfId="4625" headerRowBorderDxfId="4628" tableBorderDxfId="4626" totalsRowBorderDxfId="4624">
  <autoFilter ref="B31:F32" xr:uid="{A21B2BC0-8ABC-4E79-A17F-BC4EE1162AE7}"/>
  <sortState xmlns:xlrd2="http://schemas.microsoft.com/office/spreadsheetml/2017/richdata2" ref="B32:F32">
    <sortCondition descending="1" ref="F192:F208"/>
  </sortState>
  <tableColumns count="5">
    <tableColumn id="2" xr3:uid="{31A43317-9ADA-4BC1-82F5-BD7CAB7619BC}" name="Ingrediente" dataDxfId="4623" totalsRowDxfId="4622"/>
    <tableColumn id="3" xr3:uid="{58224569-9BB5-4DA3-AA22-348E43957B95}" name="Und" dataDxfId="4621" totalsRowDxfId="4620"/>
    <tableColumn id="4" xr3:uid="{70BB21A7-F544-472A-90AF-6DAAB722D45A}" name="Cant." dataDxfId="4619" totalsRowDxfId="4618"/>
    <tableColumn id="5" xr3:uid="{2079595E-7ED8-40E7-BD5B-D38AD489C216}" name="Costo" dataDxfId="4617" totalsRowDxfId="4616" dataCellStyle="Moneda">
      <calculatedColumnFormula>+VLOOKUP(Tabla110345345445545647945586877869510811712713622823724627233260269306307[[#This Row],[Ingrediente]],Tabla34[#All],3,0)</calculatedColumnFormula>
    </tableColumn>
    <tableColumn id="6" xr3:uid="{69E1718E-A8E4-4EC4-90EE-D5E23F27274B}" name="Total costo" totalsRowFunction="sum" dataDxfId="4615" totalsRowDxfId="4614" dataCellStyle="Moneda">
      <calculatedColumnFormula>+Tabla110345345445545647945586877869510811712713622823724627233260269306307[[#This Row],[Costo]]*Tabla110345345445545647945586877869510811712713622823724627233260269306307[[#This Row],[Cant.]]</calculatedColumnFormula>
    </tableColumn>
  </tableColumns>
  <tableStyleInfo name="TableStyleLight8" showFirstColumn="0" showLastColumn="0" showRowStripes="1" showColumnStripes="0"/>
</table>
</file>

<file path=xl/tables/table9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93FF5904-CD33-4A9C-8C9F-15CD918528D5}" name="Tabla110345345445545647945586877869510811712713622823724627233260269306309" displayName="Tabla110345345445545647945586877869510811712713622823724627233260269306309" ref="B67:F69" totalsRowCount="1" headerRowDxfId="4613" dataDxfId="4611" totalsRowDxfId="4609" headerRowBorderDxfId="4612" tableBorderDxfId="4610" totalsRowBorderDxfId="4608">
  <autoFilter ref="B67:F68" xr:uid="{C8524141-49B6-4FC7-873E-176E4324FA7D}"/>
  <sortState xmlns:xlrd2="http://schemas.microsoft.com/office/spreadsheetml/2017/richdata2" ref="B68:F68">
    <sortCondition descending="1" ref="F205:F221"/>
  </sortState>
  <tableColumns count="5">
    <tableColumn id="2" xr3:uid="{901160C9-9FE6-4C5A-BD29-8AFD089FDE57}" name="Ingrediente" dataDxfId="4607" totalsRowDxfId="4606"/>
    <tableColumn id="3" xr3:uid="{BB5087CF-90D3-4267-9654-53121FC17039}" name="Und" dataDxfId="4605" totalsRowDxfId="4604"/>
    <tableColumn id="4" xr3:uid="{2EEA6018-8466-4F4F-A62C-531561B96A0F}" name="Cant." dataDxfId="4603" totalsRowDxfId="4602"/>
    <tableColumn id="5" xr3:uid="{CD445C74-F3AE-4F5C-8A1B-21F9479A0B00}" name="Costo" dataDxfId="4601" totalsRowDxfId="4600" dataCellStyle="Moneda">
      <calculatedColumnFormula>+VLOOKUP(Tabla110345345445545647945586877869510811712713622823724627233260269306309[[#This Row],[Ingrediente]],Tabla34[#All],3,0)</calculatedColumnFormula>
    </tableColumn>
    <tableColumn id="6" xr3:uid="{A28EB8AB-3AE1-4783-B778-44A82195AE9D}" name="Total costo" totalsRowFunction="sum" dataDxfId="4599" totalsRowDxfId="4598" dataCellStyle="Moneda">
      <calculatedColumnFormula>+Tabla110345345445545647945586877869510811712713622823724627233260269306309[[#This Row],[Costo]]*Tabla110345345445545647945586877869510811712713622823724627233260269306309[[#This Row],[Cant.]]</calculatedColumnFormula>
    </tableColumn>
  </tableColumns>
  <tableStyleInfo name="TableStyleLight8" showFirstColumn="0" showLastColumn="0" showRowStripes="1" showColumnStripes="0"/>
</table>
</file>

<file path=xl/tables/table9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663E349B-07E7-494F-820A-AD372EF3F7B0}" name="Tabla110345345445545647945586877869510811712713622823724627233260269306311" displayName="Tabla110345345445545647945586877869510811712713622823724627233260269306311" ref="B80:F82" totalsRowCount="1" headerRowDxfId="4597" dataDxfId="4595" totalsRowDxfId="4593" headerRowBorderDxfId="4596" tableBorderDxfId="4594" totalsRowBorderDxfId="4592">
  <autoFilter ref="B80:F81" xr:uid="{4BADACAD-7F7C-4452-B716-06E79BFF6D5C}"/>
  <sortState xmlns:xlrd2="http://schemas.microsoft.com/office/spreadsheetml/2017/richdata2" ref="B81:F81">
    <sortCondition descending="1" ref="F195:F211"/>
  </sortState>
  <tableColumns count="5">
    <tableColumn id="2" xr3:uid="{1C96CC7B-42D0-4729-91BC-0B90B71CE98C}" name="Ingrediente" dataDxfId="4591" totalsRowDxfId="4590"/>
    <tableColumn id="3" xr3:uid="{AC20E8CA-2D8B-4509-A232-BBCF25F73D95}" name="Und" dataDxfId="4589" totalsRowDxfId="4588"/>
    <tableColumn id="4" xr3:uid="{2BA1FB59-5AED-4460-AC5C-07AB6F58699D}" name="Cant." dataDxfId="4587" totalsRowDxfId="4586"/>
    <tableColumn id="5" xr3:uid="{EC9F0180-FE4C-4AC4-B941-3074D33F6A1D}" name="Costo" dataDxfId="4585" totalsRowDxfId="4584" dataCellStyle="Moneda">
      <calculatedColumnFormula>+VLOOKUP(Tabla110345345445545647945586877869510811712713622823724627233260269306311[[#This Row],[Ingrediente]],Tabla34[#All],3,0)</calculatedColumnFormula>
    </tableColumn>
    <tableColumn id="6" xr3:uid="{04F99323-6A6C-419E-8ECF-4BFF1D614B71}" name="Total costo" totalsRowFunction="sum" dataDxfId="4583" totalsRowDxfId="4582" dataCellStyle="Moneda">
      <calculatedColumnFormula>+Tabla110345345445545647945586877869510811712713622823724627233260269306311[[#This Row],[Costo]]*Tabla110345345445545647945586877869510811712713622823724627233260269306311[[#This Row],[Cant.]]</calculatedColumnFormula>
    </tableColumn>
  </tableColumns>
  <tableStyleInfo name="TableStyleLight8" showFirstColumn="0" showLastColumn="0" showRowStripes="1" showColumnStripes="0"/>
</table>
</file>

<file path=xl/tables/table9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CE6150E2-92CB-4095-9B78-EF8032932058}" name="Tabla110345345445545647945586877869510811712713622823724627233260269306312" displayName="Tabla110345345445545647945586877869510811712713622823724627233260269306312" ref="B92:F94" totalsRowCount="1" headerRowDxfId="4581" dataDxfId="4579" totalsRowDxfId="4577" headerRowBorderDxfId="4580" tableBorderDxfId="4578" totalsRowBorderDxfId="4576">
  <autoFilter ref="B92:F93" xr:uid="{5AB2BA9A-DD1A-4A25-8B6E-98DD83A3CACC}"/>
  <sortState xmlns:xlrd2="http://schemas.microsoft.com/office/spreadsheetml/2017/richdata2" ref="B93:F93">
    <sortCondition descending="1" ref="F195:F211"/>
  </sortState>
  <tableColumns count="5">
    <tableColumn id="2" xr3:uid="{DDC2B54D-ACE2-4AA7-9307-45D1BFF9E3C3}" name="Ingrediente" dataDxfId="4575" totalsRowDxfId="4574"/>
    <tableColumn id="3" xr3:uid="{42C0E702-4921-42F6-82D6-54EBE22C2DA2}" name="Und" dataDxfId="4573" totalsRowDxfId="4572"/>
    <tableColumn id="4" xr3:uid="{310E9232-509F-4976-85ED-9A9DE513FFB1}" name="Cant." dataDxfId="4571" totalsRowDxfId="4570"/>
    <tableColumn id="5" xr3:uid="{66E4F7BB-1977-413B-8F47-CAC84F764201}" name="Costo" dataDxfId="4569" totalsRowDxfId="4568" dataCellStyle="Moneda">
      <calculatedColumnFormula>+VLOOKUP(Tabla110345345445545647945586877869510811712713622823724627233260269306312[[#This Row],[Ingrediente]],Tabla34[#All],3,0)</calculatedColumnFormula>
    </tableColumn>
    <tableColumn id="6" xr3:uid="{EC28CC8B-3EC5-4171-996E-61B351933F18}" name="Total costo" totalsRowFunction="sum" dataDxfId="4567" totalsRowDxfId="4566" dataCellStyle="Moneda">
      <calculatedColumnFormula>+Tabla110345345445545647945586877869510811712713622823724627233260269306312[[#This Row],[Costo]]*Tabla110345345445545647945586877869510811712713622823724627233260269306312[[#This Row],[Cant.]]</calculatedColumnFormula>
    </tableColumn>
  </tableColumns>
  <tableStyleInfo name="TableStyleLight8" showFirstColumn="0" showLastColumn="0" showRowStripes="1" showColumnStripes="0"/>
</table>
</file>

<file path=xl/tables/table9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9C7EF72A-575F-4A62-84C0-E13208640E14}" name="Tabla110345345445545647945586877869510811712713622823724627233260269306313" displayName="Tabla110345345445545647945586877869510811712713622823724627233260269306313" ref="B104:F106" totalsRowCount="1" headerRowDxfId="4565" dataDxfId="4563" totalsRowDxfId="4561" headerRowBorderDxfId="4564" tableBorderDxfId="4562" totalsRowBorderDxfId="4560">
  <autoFilter ref="B104:F105" xr:uid="{081DDAF3-B802-4E6F-A8C5-D111E99B0C9E}"/>
  <sortState xmlns:xlrd2="http://schemas.microsoft.com/office/spreadsheetml/2017/richdata2" ref="B105:F105">
    <sortCondition descending="1" ref="F195:F211"/>
  </sortState>
  <tableColumns count="5">
    <tableColumn id="2" xr3:uid="{9566ACC7-8D3D-4E0C-B8DC-FF7131C910FF}" name="Ingrediente" dataDxfId="4559" totalsRowDxfId="4558"/>
    <tableColumn id="3" xr3:uid="{5E75088D-3A96-4263-B076-33CC00B3D076}" name="Und" dataDxfId="4557" totalsRowDxfId="4556"/>
    <tableColumn id="4" xr3:uid="{B32A1611-91E9-4279-9BCC-8553A8B18F2D}" name="Cant." dataDxfId="4555" totalsRowDxfId="4554"/>
    <tableColumn id="5" xr3:uid="{647F2025-44DF-40AA-87DD-18DF716461B8}" name="Costo" dataDxfId="4553" totalsRowDxfId="4552" dataCellStyle="Moneda">
      <calculatedColumnFormula>+VLOOKUP(Tabla110345345445545647945586877869510811712713622823724627233260269306313[[#This Row],[Ingrediente]],Tabla34[#All],3,0)</calculatedColumnFormula>
    </tableColumn>
    <tableColumn id="6" xr3:uid="{18CE88D9-0331-4C55-8DDC-9A4D1412AC6D}" name="Total costo" totalsRowFunction="sum" dataDxfId="4551" totalsRowDxfId="4550" dataCellStyle="Moneda">
      <calculatedColumnFormula>+Tabla110345345445545647945586877869510811712713622823724627233260269306313[[#This Row],[Costo]]*Tabla110345345445545647945586877869510811712713622823724627233260269306313[[#This Row],[Cant.]]</calculatedColumnFormula>
    </tableColumn>
  </tableColumns>
  <tableStyleInfo name="TableStyleLight8" showFirstColumn="0" showLastColumn="0" showRowStripes="1" showColumnStripes="0"/>
</table>
</file>

<file path=xl/tables/table9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1677A2C1-EC7B-4EC2-A505-79C0EE80E715}" name="Tabla110345345445545647945586877869510811712713622823724627233260269306314" displayName="Tabla110345345445545647945586877869510811712713622823724627233260269306314" ref="B115:F117" totalsRowCount="1" headerRowDxfId="4549" dataDxfId="4547" totalsRowDxfId="4545" headerRowBorderDxfId="4548" tableBorderDxfId="4546" totalsRowBorderDxfId="4544">
  <autoFilter ref="B115:F116" xr:uid="{9D1411CB-9BA1-447F-AB8C-56907AF1299D}"/>
  <sortState xmlns:xlrd2="http://schemas.microsoft.com/office/spreadsheetml/2017/richdata2" ref="B116:F116">
    <sortCondition descending="1" ref="F195:F211"/>
  </sortState>
  <tableColumns count="5">
    <tableColumn id="2" xr3:uid="{C57D7985-B14C-424B-81BD-B8B74208CF4E}" name="Ingrediente" dataDxfId="4543" totalsRowDxfId="4542"/>
    <tableColumn id="3" xr3:uid="{7C034240-2CCA-4A48-92A1-CC1778F7938E}" name="Und" dataDxfId="4541" totalsRowDxfId="4540"/>
    <tableColumn id="4" xr3:uid="{16ADE5C7-0028-468F-9F27-60F0C260AC6F}" name="Cant." dataDxfId="4539" totalsRowDxfId="4538"/>
    <tableColumn id="5" xr3:uid="{D85AB277-9E0D-49FC-BCFC-F9DAB5DECE7D}" name="Costo" dataDxfId="4537" totalsRowDxfId="4536" dataCellStyle="Moneda">
      <calculatedColumnFormula>+VLOOKUP(Tabla110345345445545647945586877869510811712713622823724627233260269306314[[#This Row],[Ingrediente]],Tabla34[#All],3,0)</calculatedColumnFormula>
    </tableColumn>
    <tableColumn id="6" xr3:uid="{8DA9038F-90AA-4D2D-B82B-F192EE06CB5B}" name="Total costo" totalsRowFunction="sum" dataDxfId="4535" totalsRowDxfId="4534" dataCellStyle="Moneda">
      <calculatedColumnFormula>+Tabla110345345445545647945586877869510811712713622823724627233260269306314[[#This Row],[Costo]]*Tabla110345345445545647945586877869510811712713622823724627233260269306314[[#This Row],[Cant.]]</calculatedColumnFormula>
    </tableColumn>
  </tableColumns>
  <tableStyleInfo name="TableStyleLight8" showFirstColumn="0" showLastColumn="0" showRowStripes="1" showColumnStripes="0"/>
</table>
</file>

<file path=xl/tables/table9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1" xr:uid="{AA89151C-94E3-4BC4-B384-D70185EA819E}" name="Tabla110345345445545647945586877869510811712713622823724627233260269306308372" displayName="Tabla110345345445545647945586877869510811712713622823724627233260269306308372" ref="B53:F55" totalsRowCount="1" headerRowDxfId="4533" dataDxfId="4531" totalsRowDxfId="4529" headerRowBorderDxfId="4532" tableBorderDxfId="4530" totalsRowBorderDxfId="4528">
  <autoFilter ref="B53:F54" xr:uid="{DED5B708-CD2C-45F6-B5EF-421E7AD26EF8}"/>
  <sortState xmlns:xlrd2="http://schemas.microsoft.com/office/spreadsheetml/2017/richdata2" ref="B54:F54">
    <sortCondition descending="1" ref="F192:F208"/>
  </sortState>
  <tableColumns count="5">
    <tableColumn id="2" xr3:uid="{CC3CE2C9-694D-487C-B9A0-CF2826860888}" name="Ingrediente" dataDxfId="4527" totalsRowDxfId="4526"/>
    <tableColumn id="3" xr3:uid="{C2F9DACB-7F06-448A-9C43-D466B4A101E2}" name="Und" dataDxfId="4525" totalsRowDxfId="4524"/>
    <tableColumn id="4" xr3:uid="{C5365CAE-9AED-41C6-91A8-E7034441404B}" name="Cant." dataDxfId="4523" totalsRowDxfId="4522"/>
    <tableColumn id="5" xr3:uid="{E3EF2980-8A78-48B1-B16E-D3C94153A1D6}" name="Costo" dataDxfId="4521" totalsRowDxfId="4520" dataCellStyle="Moneda">
      <calculatedColumnFormula>+VLOOKUP(Tabla110345345445545647945586877869510811712713622823724627233260269306308372[[#This Row],[Ingrediente]],Tabla34[#All],3,0)</calculatedColumnFormula>
    </tableColumn>
    <tableColumn id="6" xr3:uid="{F9E98920-0780-4F8B-A0C1-6919C2825045}" name="Total costo" totalsRowFunction="sum" dataDxfId="4519" totalsRowDxfId="4518" dataCellStyle="Moneda">
      <calculatedColumnFormula>+Tabla110345345445545647945586877869510811712713622823724627233260269306308372[[#This Row],[Costo]]*Tabla110345345445545647945586877869510811712713622823724627233260269306308372[[#This Row],[Cant.]]</calculatedColumnFormula>
    </tableColumn>
  </tableColumns>
  <tableStyleInfo name="TableStyleLight8" showFirstColumn="0" showLastColumn="0" showRowStripes="1" showColumnStripes="0"/>
</table>
</file>

<file path=xl/tables/table9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9EA86D7E-4FD0-49B0-8746-E7AC5D2FC3A6}" name="Tabla110345345445545647945586877869510811712713622823724627233260269306308" displayName="Tabla110345345445545647945586877869510811712713622823724627233260269306308" ref="B42:F44" totalsRowCount="1" headerRowDxfId="4517" dataDxfId="4515" totalsRowDxfId="4513" headerRowBorderDxfId="4516" tableBorderDxfId="4514" totalsRowBorderDxfId="4512">
  <autoFilter ref="B42:F43" xr:uid="{99B68551-EA3C-4368-98EF-FFFEAE63CEAF}"/>
  <sortState xmlns:xlrd2="http://schemas.microsoft.com/office/spreadsheetml/2017/richdata2" ref="B43:F43">
    <sortCondition descending="1" ref="F192:F208"/>
  </sortState>
  <tableColumns count="5">
    <tableColumn id="2" xr3:uid="{C64EE847-7672-4414-A4A8-624009F89678}" name="Ingrediente" dataDxfId="4511" totalsRowDxfId="4510"/>
    <tableColumn id="3" xr3:uid="{91017FE2-CC0A-4B1A-8F38-33C6D6DEA4D8}" name="Und" dataDxfId="4509" totalsRowDxfId="4508"/>
    <tableColumn id="4" xr3:uid="{0DF4D875-6195-43C1-A1B3-D46A7A436DDC}" name="Cant." dataDxfId="4507" totalsRowDxfId="4506"/>
    <tableColumn id="5" xr3:uid="{1A63F09A-2138-4282-805D-F6DE1D89EF6A}" name="Costo" dataDxfId="4505" totalsRowDxfId="4504" dataCellStyle="Moneda">
      <calculatedColumnFormula>+VLOOKUP(Tabla110345345445545647945586877869510811712713622823724627233260269306308[[#This Row],[Ingrediente]],Tabla34[#All],3,0)</calculatedColumnFormula>
    </tableColumn>
    <tableColumn id="6" xr3:uid="{6A7A033E-7162-468D-A038-B3AB8D104DB9}" name="Total costo" totalsRowFunction="sum" dataDxfId="4503" totalsRowDxfId="4502" dataCellStyle="Moneda">
      <calculatedColumnFormula>+Tabla110345345445545647945586877869510811712713622823724627233260269306308[[#This Row],[Costo]]*Tabla110345345445545647945586877869510811712713622823724627233260269306308[[#This Row],[Cant.]]</calculatedColumnFormula>
    </tableColumn>
  </tableColumns>
  <tableStyleInfo name="TableStyleLight8" showFirstColumn="0" showLastColumn="0" showRowStripes="1" showColumnStripes="0"/>
</table>
</file>

<file path=xl/tables/table9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6" xr:uid="{6C30F2CA-A60D-4928-A89B-CB3D064C6DC7}" name="Tabla110345345445545647945586877869510811712713622823724627233260269297315316384392394396416418426437" displayName="Tabla110345345445545647945586877869510811712713622823724627233260269297315316384392394396416418426437" ref="B8:F10" totalsRowCount="1" headerRowDxfId="4501" dataDxfId="4499" totalsRowDxfId="4497" headerRowBorderDxfId="4500" tableBorderDxfId="4498" totalsRowBorderDxfId="4496">
  <autoFilter ref="B8:F9" xr:uid="{6C30F2CA-A60D-4928-A89B-CB3D064C6DC7}"/>
  <sortState xmlns:xlrd2="http://schemas.microsoft.com/office/spreadsheetml/2017/richdata2" ref="B9:F9">
    <sortCondition descending="1" ref="F181:F197"/>
  </sortState>
  <tableColumns count="5">
    <tableColumn id="2" xr3:uid="{B3C9191C-7276-495F-AEFB-15EAA2AA7617}" name="Ingrediente" dataDxfId="4495" totalsRowDxfId="4494"/>
    <tableColumn id="3" xr3:uid="{F5B0113B-8CCA-4D7F-AA2B-3E691F0355E4}" name="Und" dataDxfId="4493" totalsRowDxfId="4492"/>
    <tableColumn id="4" xr3:uid="{A8E78C89-82BC-41E4-ACED-62E08990B451}" name="Cant." dataDxfId="4491" totalsRowDxfId="4490"/>
    <tableColumn id="5" xr3:uid="{0D76FF3D-188E-4175-9B9F-59FDD71508AD}" name="Costo" dataDxfId="4489" totalsRowDxfId="4488" dataCellStyle="Moneda">
      <calculatedColumnFormula>+VLOOKUP(Tabla110345345445545647945586877869510811712713622823724627233260269297315316384392394396416418426437[[#This Row],[Ingrediente]],Tabla34[#All],3,0)</calculatedColumnFormula>
    </tableColumn>
    <tableColumn id="6" xr3:uid="{73041FB4-5751-4662-A04C-3D924A45F4C3}" name="Total costo" totalsRowFunction="sum" dataDxfId="4487" totalsRowDxfId="4486" dataCellStyle="Moneda">
      <calculatedColumnFormula>+Tabla110345345445545647945586877869510811712713622823724627233260269297315316384392394396416418426437[[#This Row],[Costo]]*Tabla110345345445545647945586877869510811712713622823724627233260269297315316384392394396416418426437[[#This Row],[Cant.]]</calculatedColumnFormula>
    </tableColumn>
  </tableColumns>
  <tableStyleInfo name="TableStyleLight8" showFirstColumn="0" showLastColumn="0" showRowStripes="1" showColumnStripes="0"/>
</table>
</file>

<file path=xl/tables/table9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0" xr:uid="{2612AC15-EECF-4167-9980-9AA984E218B7}" name="Tabla110345345445545647945586877869510811712713622823724627233260269297315316384392394396416418426441" displayName="Tabla110345345445545647945586877869510811712713622823724627233260269297315316384392394396416418426441" ref="B20:F22" totalsRowCount="1" headerRowDxfId="4485" dataDxfId="4483" totalsRowDxfId="4481" headerRowBorderDxfId="4484" tableBorderDxfId="4482" totalsRowBorderDxfId="4480">
  <autoFilter ref="B20:F21" xr:uid="{2612AC15-EECF-4167-9980-9AA984E218B7}"/>
  <sortState xmlns:xlrd2="http://schemas.microsoft.com/office/spreadsheetml/2017/richdata2" ref="B21:F21">
    <sortCondition descending="1" ref="F146:F162"/>
  </sortState>
  <tableColumns count="5">
    <tableColumn id="2" xr3:uid="{213E4C55-B6EF-4A10-96B9-AB9ADADFCB33}" name="Ingrediente" dataDxfId="4479" totalsRowDxfId="4478"/>
    <tableColumn id="3" xr3:uid="{5D7A3159-5228-44DA-A6E5-0E5D81EEEA16}" name="Und" dataDxfId="4477" totalsRowDxfId="4476"/>
    <tableColumn id="4" xr3:uid="{4D6B1982-D6A1-4887-B3E4-F0B63C706137}" name="Cant." dataDxfId="4475" totalsRowDxfId="4474"/>
    <tableColumn id="5" xr3:uid="{0BDAC367-C51C-4A2A-8028-58048D6B2265}" name="Costo" dataDxfId="4473" totalsRowDxfId="4472" dataCellStyle="Moneda">
      <calculatedColumnFormula>+VLOOKUP(Tabla110345345445545647945586877869510811712713622823724627233260269297315316384392394396416418426441[[#This Row],[Ingrediente]],Tabla34[#All],3,0)</calculatedColumnFormula>
    </tableColumn>
    <tableColumn id="6" xr3:uid="{95077628-711D-4984-949B-2807BBF79C6B}" name="Total costo" totalsRowFunction="sum" dataDxfId="4471" totalsRowDxfId="4470" dataCellStyle="Moneda">
      <calculatedColumnFormula>+Tabla110345345445545647945586877869510811712713622823724627233260269297315316384392394396416418426441[[#This Row],[Costo]]*Tabla110345345445545647945586877869510811712713622823724627233260269297315316384392394396416418426441[[#This Row],[Cant.]]</calculatedColumnFormula>
    </tableColumn>
  </tableColumns>
  <tableStyleInfo name="TableStyleLight8" showFirstColumn="0" showLastColumn="0" showRowStripes="1" showColumnStripes="0"/>
</table>
</file>

<file path=xl/tables/table9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1" xr:uid="{FEE24E85-D959-4457-B65D-80259237D4C9}" name="Tabla110345345445545647945586877869510811712713622823724627233260269297315316384392394396416418426442" displayName="Tabla110345345445545647945586877869510811712713622823724627233260269297315316384392394396416418426442" ref="B42:F44" totalsRowCount="1" headerRowDxfId="4469" dataDxfId="4467" totalsRowDxfId="4465" headerRowBorderDxfId="4468" tableBorderDxfId="4466" totalsRowBorderDxfId="4464">
  <autoFilter ref="B42:F43" xr:uid="{FEE24E85-D959-4457-B65D-80259237D4C9}"/>
  <sortState xmlns:xlrd2="http://schemas.microsoft.com/office/spreadsheetml/2017/richdata2" ref="B43:F43">
    <sortCondition descending="1" ref="F157:F173"/>
  </sortState>
  <tableColumns count="5">
    <tableColumn id="2" xr3:uid="{651BE333-F6C6-410E-9176-C133A7972FC7}" name="Ingrediente" dataDxfId="4463" totalsRowDxfId="4462"/>
    <tableColumn id="3" xr3:uid="{76697FC0-B8C7-4BAD-A0CD-5201A75A0BF1}" name="Und" dataDxfId="4461" totalsRowDxfId="4460"/>
    <tableColumn id="4" xr3:uid="{2F825E96-E2CB-455F-AC6E-3D85EBE6840B}" name="Cant." dataDxfId="4459" totalsRowDxfId="4458"/>
    <tableColumn id="5" xr3:uid="{ADD2DACB-5D7F-43C6-88A9-676950E78A66}" name="Costo" dataDxfId="4457" totalsRowDxfId="4456" dataCellStyle="Moneda">
      <calculatedColumnFormula>+VLOOKUP(Tabla110345345445545647945586877869510811712713622823724627233260269297315316384392394396416418426442[[#This Row],[Ingrediente]],Tabla34[#All],3,0)</calculatedColumnFormula>
    </tableColumn>
    <tableColumn id="6" xr3:uid="{5F97B65C-5C1F-4152-8D61-0BD05ABFD415}" name="Total costo" totalsRowFunction="sum" dataDxfId="4455" totalsRowDxfId="4454" dataCellStyle="Moneda">
      <calculatedColumnFormula>+Tabla110345345445545647945586877869510811712713622823724627233260269297315316384392394396416418426442[[#This Row],[Costo]]*Tabla110345345445545647945586877869510811712713622823724627233260269297315316384392394396416418426442[[#This Row],[Cant.]]</calculatedColumnFormula>
    </tableColumn>
  </tableColumns>
  <tableStyleInfo name="TableStyleLight8" showFirstColumn="0" showLastColumn="0" showRowStripes="1" showColumnStripes="0"/>
</table>
</file>

<file path=xl/tables/table9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2" xr:uid="{14264CE4-0362-4FFB-8FD4-4A2A4ABABFCD}" name="Tabla110345345445545647945586877869510811712713622823724627233260269297315316384392394396416418426443" displayName="Tabla110345345445545647945586877869510811712713622823724627233260269297315316384392394396416418426443" ref="B53:F55" totalsRowCount="1" headerRowDxfId="4453" dataDxfId="4451" totalsRowDxfId="4449" headerRowBorderDxfId="4452" tableBorderDxfId="4450" totalsRowBorderDxfId="4448">
  <autoFilter ref="B53:F54" xr:uid="{14264CE4-0362-4FFB-8FD4-4A2A4ABABFCD}"/>
  <sortState xmlns:xlrd2="http://schemas.microsoft.com/office/spreadsheetml/2017/richdata2" ref="B54:F54">
    <sortCondition descending="1" ref="F157:F173"/>
  </sortState>
  <tableColumns count="5">
    <tableColumn id="2" xr3:uid="{F897AA49-BDF1-4F42-95A9-FEC2376A9759}" name="Ingrediente" dataDxfId="4447" totalsRowDxfId="4446"/>
    <tableColumn id="3" xr3:uid="{30D1E09D-4161-434A-8C21-B4D88CE11ED7}" name="Und" dataDxfId="4445" totalsRowDxfId="4444"/>
    <tableColumn id="4" xr3:uid="{2851B9FF-4E73-4B89-99C5-E313DE05C824}" name="Cant." dataDxfId="4443" totalsRowDxfId="4442"/>
    <tableColumn id="5" xr3:uid="{C0074040-1AFB-47D8-891B-A2946AF4F813}" name="Costo" dataDxfId="4441" totalsRowDxfId="4440" dataCellStyle="Moneda">
      <calculatedColumnFormula>+VLOOKUP(Tabla110345345445545647945586877869510811712713622823724627233260269297315316384392394396416418426443[[#This Row],[Ingrediente]],Tabla34[#All],3,0)</calculatedColumnFormula>
    </tableColumn>
    <tableColumn id="6" xr3:uid="{6554AC5B-3B7E-49FC-8686-070676DCC5E9}" name="Total costo" totalsRowFunction="sum" dataDxfId="4439" totalsRowDxfId="4438" dataCellStyle="Moneda">
      <calculatedColumnFormula>+Tabla110345345445545647945586877869510811712713622823724627233260269297315316384392394396416418426443[[#This Row],[Costo]]*Tabla110345345445545647945586877869510811712713622823724627233260269297315316384392394396416418426443[[#This Row],[Cant.]]</calculatedColumnFormula>
    </tableColumn>
  </tableColumns>
  <tableStyleInfo name="TableStyleLight8" showFirstColumn="0" showLastColumn="0" showRowStripes="1" showColumnStripes="0"/>
</table>
</file>

<file path=xl/tables/table9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4" xr:uid="{16B4A9D3-D21C-473D-B3CC-B86C4F2EC115}" name="Tabla110345345445545647945586877869510811712713622823724627233260269297315316384392394396416418426445" displayName="Tabla110345345445545647945586877869510811712713622823724627233260269297315316384392394396416418426445" ref="B66:F68" totalsRowCount="1" headerRowDxfId="4437" dataDxfId="4435" totalsRowDxfId="4433" headerRowBorderDxfId="4436" tableBorderDxfId="4434" totalsRowBorderDxfId="4432">
  <autoFilter ref="B66:F67" xr:uid="{16B4A9D3-D21C-473D-B3CC-B86C4F2EC115}"/>
  <sortState xmlns:xlrd2="http://schemas.microsoft.com/office/spreadsheetml/2017/richdata2" ref="B67:F67">
    <sortCondition descending="1" ref="F146:F162"/>
  </sortState>
  <tableColumns count="5">
    <tableColumn id="2" xr3:uid="{BF670ED3-9063-4F01-A549-13F2E97C752C}" name="Ingrediente" dataDxfId="4431" totalsRowDxfId="4430"/>
    <tableColumn id="3" xr3:uid="{7A94F436-B556-4A5B-9CD1-4DB6BF84B35D}" name="Und" dataDxfId="4429" totalsRowDxfId="4428"/>
    <tableColumn id="4" xr3:uid="{3B0291FD-3325-4A9E-BB23-81FD5CA41659}" name="Cant." dataDxfId="4427" totalsRowDxfId="4426"/>
    <tableColumn id="5" xr3:uid="{C84CEF32-FABB-4983-9749-0EB755E17BC1}" name="Costo" dataDxfId="4425" totalsRowDxfId="4424" dataCellStyle="Moneda">
      <calculatedColumnFormula>+VLOOKUP(Tabla110345345445545647945586877869510811712713622823724627233260269297315316384392394396416418426445[[#This Row],[Ingrediente]],Tabla34[#All],3,0)</calculatedColumnFormula>
    </tableColumn>
    <tableColumn id="6" xr3:uid="{605F7441-6B72-4677-9A40-63859C85623B}" name="Total costo" totalsRowFunction="sum" dataDxfId="4423" totalsRowDxfId="4422" dataCellStyle="Moneda">
      <calculatedColumnFormula>+Tabla110345345445545647945586877869510811712713622823724627233260269297315316384392394396416418426445[[#This Row],[Costo]]*Tabla110345345445545647945586877869510811712713622823724627233260269297315316384392394396416418426445[[#This Row],[Cant.]]</calculatedColumnFormula>
    </tableColumn>
  </tableColumns>
  <tableStyleInfo name="TableStyleLight8" showFirstColumn="0" showLastColumn="0" showRowStripes="1" showColumnStripes="0"/>
</table>
</file>

<file path=xl/tables/table9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6" xr:uid="{60E39A03-637D-4D24-911F-A9B6818E2E2C}" name="Tabla110345345445545647945586877869510811712713622823724627233260269297315316384392394396416418426447" displayName="Tabla110345345445545647945586877869510811712713622823724627233260269297315316384392394396416418426447" ref="B78:F80" totalsRowCount="1" headerRowDxfId="4421" dataDxfId="4419" totalsRowDxfId="4417" headerRowBorderDxfId="4420" tableBorderDxfId="4418" totalsRowBorderDxfId="4416">
  <autoFilter ref="B78:F79" xr:uid="{60E39A03-637D-4D24-911F-A9B6818E2E2C}"/>
  <sortState xmlns:xlrd2="http://schemas.microsoft.com/office/spreadsheetml/2017/richdata2" ref="B79:F79">
    <sortCondition descending="1" ref="F135:F151"/>
  </sortState>
  <tableColumns count="5">
    <tableColumn id="2" xr3:uid="{F5016C4B-106D-4E08-8147-254D1388A202}" name="Ingrediente" dataDxfId="4415" totalsRowDxfId="4414"/>
    <tableColumn id="3" xr3:uid="{55D3C6A2-5BC3-4FC4-9BCE-A329D34FA12B}" name="Und" dataDxfId="4413" totalsRowDxfId="4412"/>
    <tableColumn id="4" xr3:uid="{67F75169-107F-425F-9294-E78190E0A974}" name="Cant." dataDxfId="4411" totalsRowDxfId="4410"/>
    <tableColumn id="5" xr3:uid="{FBC79FFE-5A04-4C72-9FA2-F2023774673C}" name="Costo" dataDxfId="4409" totalsRowDxfId="4408" dataCellStyle="Moneda">
      <calculatedColumnFormula>+VLOOKUP(Tabla110345345445545647945586877869510811712713622823724627233260269297315316384392394396416418426447[[#This Row],[Ingrediente]],Tabla34[#All],3,0)</calculatedColumnFormula>
    </tableColumn>
    <tableColumn id="6" xr3:uid="{562697FA-6C72-485F-A8A8-931F6A0B164E}" name="Total costo" totalsRowFunction="sum" dataDxfId="4407" totalsRowDxfId="4406" dataCellStyle="Moneda">
      <calculatedColumnFormula>+Tabla110345345445545647945586877869510811712713622823724627233260269297315316384392394396416418426447[[#This Row],[Costo]]*Tabla110345345445545647945586877869510811712713622823724627233260269297315316384392394396416418426447[[#This Row],[Cant.]]</calculatedColumnFormula>
    </tableColumn>
  </tableColumns>
  <tableStyleInfo name="TableStyleLight8" showFirstColumn="0" showLastColumn="0" showRowStripes="1" showColumnStripes="0"/>
</table>
</file>

<file path=xl/tables/table9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0" xr:uid="{76AC2707-D847-4284-AF7D-951A8EED728B}" name="Tabla110345345445545647945586877869510811712713622823724627233260269297315316384392394396416418426451" displayName="Tabla110345345445545647945586877869510811712713622823724627233260269297315316384392394396416418426451" ref="B92:F94" totalsRowCount="1" headerRowDxfId="4405" dataDxfId="4403" totalsRowDxfId="4401" headerRowBorderDxfId="4404" tableBorderDxfId="4402" totalsRowBorderDxfId="4400">
  <autoFilter ref="B92:F93" xr:uid="{76AC2707-D847-4284-AF7D-951A8EED728B}"/>
  <sortState xmlns:xlrd2="http://schemas.microsoft.com/office/spreadsheetml/2017/richdata2" ref="B93:F93">
    <sortCondition descending="1" ref="F105:F121"/>
  </sortState>
  <tableColumns count="5">
    <tableColumn id="2" xr3:uid="{29B15799-31AC-487D-91D9-21790ADDE89A}" name="Ingrediente" dataDxfId="4399" totalsRowDxfId="4398"/>
    <tableColumn id="3" xr3:uid="{8C75FBC2-3B2F-424F-9EBF-0DD4A2CCEC88}" name="Und" dataDxfId="4397" totalsRowDxfId="4396"/>
    <tableColumn id="4" xr3:uid="{6DA40C8F-E860-4A8C-B0D9-892D32DC846A}" name="Cant." dataDxfId="4395" totalsRowDxfId="4394"/>
    <tableColumn id="5" xr3:uid="{CCEC2CA2-FE68-4A1D-AD80-B8ED0E0E219C}" name="Costo" dataDxfId="4393" totalsRowDxfId="4392" dataCellStyle="Moneda">
      <calculatedColumnFormula>+VLOOKUP(Tabla110345345445545647945586877869510811712713622823724627233260269297315316384392394396416418426451[[#This Row],[Ingrediente]],Tabla34[#All],3,0)</calculatedColumnFormula>
    </tableColumn>
    <tableColumn id="6" xr3:uid="{A566F207-6C8C-49E0-968C-224AA2721A28}" name="Total costo" totalsRowFunction="sum" dataDxfId="4391" totalsRowDxfId="4390" dataCellStyle="Moneda">
      <calculatedColumnFormula>+Tabla110345345445545647945586877869510811712713622823724627233260269297315316384392394396416418426451[[#This Row],[Costo]]*Tabla110345345445545647945586877869510811712713622823724627233260269297315316384392394396416418426451[[#This Row],[Cant.]]</calculatedColumnFormula>
    </tableColumn>
  </tableColumns>
  <tableStyleInfo name="TableStyleLight8" showFirstColumn="0" showLastColumn="0" showRowStripes="1" showColumnStripes="0"/>
</table>
</file>

<file path=xl/tables/table9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1" xr:uid="{9B3E27D9-F904-4A25-8AB0-F612B6078212}" name="Tabla110345345445545647945586877869510811712713622823724627233260269297315316384392394396416418426452" displayName="Tabla110345345445545647945586877869510811712713622823724627233260269297315316384392394396416418426452" ref="B104:F106" totalsRowCount="1" headerRowDxfId="4389" dataDxfId="4387" totalsRowDxfId="4385" headerRowBorderDxfId="4388" tableBorderDxfId="4386" totalsRowBorderDxfId="4384">
  <autoFilter ref="B104:F105" xr:uid="{9B3E27D9-F904-4A25-8AB0-F612B6078212}"/>
  <sortState xmlns:xlrd2="http://schemas.microsoft.com/office/spreadsheetml/2017/richdata2" ref="B105:F105">
    <sortCondition descending="1" ref="F105:F121"/>
  </sortState>
  <tableColumns count="5">
    <tableColumn id="2" xr3:uid="{83C1717B-2739-40B3-B3B5-1B5BA6A72EFC}" name="Ingrediente" dataDxfId="4383" totalsRowDxfId="4382"/>
    <tableColumn id="3" xr3:uid="{292E197D-8186-48EB-A03F-2297C2A6A091}" name="Und" dataDxfId="4381" totalsRowDxfId="4380"/>
    <tableColumn id="4" xr3:uid="{953D2487-30AB-4765-8323-A4A9AC2CB86F}" name="Cant." dataDxfId="4379" totalsRowDxfId="4378"/>
    <tableColumn id="5" xr3:uid="{8574991D-BA33-4063-B796-51481272F0C8}" name="Costo" dataDxfId="4377" totalsRowDxfId="4376" dataCellStyle="Moneda">
      <calculatedColumnFormula>+VLOOKUP(Tabla110345345445545647945586877869510811712713622823724627233260269297315316384392394396416418426452[[#This Row],[Ingrediente]],Tabla34[#All],3,0)</calculatedColumnFormula>
    </tableColumn>
    <tableColumn id="6" xr3:uid="{C018D8FB-C258-4CC4-A2C9-3100B4B80C75}" name="Total costo" totalsRowFunction="sum" dataDxfId="4375" totalsRowDxfId="4374" dataCellStyle="Moneda">
      <calculatedColumnFormula>+Tabla110345345445545647945586877869510811712713622823724627233260269297315316384392394396416418426452[[#This Row],[Costo]]*Tabla110345345445545647945586877869510811712713622823724627233260269297315316384392394396416418426452[[#This Row],[Cant.]]</calculatedColumnFormula>
    </tableColumn>
  </tableColumns>
  <tableStyleInfo name="TableStyleLight8" showFirstColumn="0" showLastColumn="0" showRowStripes="1" showColumnStripes="0"/>
</table>
</file>

<file path=xl/tables/table9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2" xr:uid="{FB4D2D23-B082-4ED9-B768-F0DF39A89D36}" name="Tabla110345345445545647945586877869510811712713622823724627233260269297315316384392394396416418426453" displayName="Tabla110345345445545647945586877869510811712713622823724627233260269297315316384392394396416418426453" ref="B116:F118" totalsRowCount="1" headerRowDxfId="4373" dataDxfId="4371" totalsRowDxfId="4369" headerRowBorderDxfId="4372" tableBorderDxfId="4370" totalsRowBorderDxfId="4368">
  <autoFilter ref="B116:F117" xr:uid="{FB4D2D23-B082-4ED9-B768-F0DF39A89D36}"/>
  <sortState xmlns:xlrd2="http://schemas.microsoft.com/office/spreadsheetml/2017/richdata2" ref="B117:F117">
    <sortCondition descending="1" ref="F105:F121"/>
  </sortState>
  <tableColumns count="5">
    <tableColumn id="2" xr3:uid="{DEFE4423-9B70-45D6-9E2C-241B91EABB63}" name="Ingrediente" dataDxfId="4367" totalsRowDxfId="4366"/>
    <tableColumn id="3" xr3:uid="{86F93633-C6B0-4B9A-80F5-A5D161FF11E1}" name="Und" dataDxfId="4365" totalsRowDxfId="4364"/>
    <tableColumn id="4" xr3:uid="{7F3BA72F-66FB-41A7-85E9-B5AAFE08B0D7}" name="Cant." dataDxfId="4363" totalsRowDxfId="4362"/>
    <tableColumn id="5" xr3:uid="{245075A4-200C-49AE-BB3E-B7A121BE1E61}" name="Costo" dataDxfId="4361" totalsRowDxfId="4360" dataCellStyle="Moneda">
      <calculatedColumnFormula>+VLOOKUP(Tabla110345345445545647945586877869510811712713622823724627233260269297315316384392394396416418426453[[#This Row],[Ingrediente]],Tabla34[#All],3,0)</calculatedColumnFormula>
    </tableColumn>
    <tableColumn id="6" xr3:uid="{ABE3FEE6-18B6-40F4-9617-DD765D32F5BF}" name="Total costo" totalsRowFunction="sum" dataDxfId="4359" totalsRowDxfId="4358" dataCellStyle="Moneda">
      <calculatedColumnFormula>+Tabla110345345445545647945586877869510811712713622823724627233260269297315316384392394396416418426453[[#This Row],[Costo]]*Tabla110345345445545647945586877869510811712713622823724627233260269297315316384392394396416418426453[[#This Row],[Cant.]]</calculatedColumnFormula>
    </tableColumn>
  </tableColumns>
  <tableStyleInfo name="TableStyleLight8" showFirstColumn="0" showLastColumn="0" showRowStripes="1" showColumnStripes="0"/>
</table>
</file>

<file path=xl/tables/table9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3" xr:uid="{D38DBB05-5944-47F4-86AC-5EE580CB340B}" name="Tabla110345345445545647945586877869510811712713622823724627233260269297315316384392394396416418426454" displayName="Tabla110345345445545647945586877869510811712713622823724627233260269297315316384392394396416418426454" ref="B127:F129" totalsRowCount="1" headerRowDxfId="4357" dataDxfId="4355" totalsRowDxfId="4353" headerRowBorderDxfId="4356" tableBorderDxfId="4354" totalsRowBorderDxfId="4352">
  <autoFilter ref="B127:F128" xr:uid="{D38DBB05-5944-47F4-86AC-5EE580CB340B}"/>
  <sortState xmlns:xlrd2="http://schemas.microsoft.com/office/spreadsheetml/2017/richdata2" ref="B128:F128">
    <sortCondition descending="1" ref="F105:F121"/>
  </sortState>
  <tableColumns count="5">
    <tableColumn id="2" xr3:uid="{19AF349F-A6BE-4FED-89FE-5BB5A3A0CD2F}" name="Ingrediente" dataDxfId="4351" totalsRowDxfId="4350"/>
    <tableColumn id="3" xr3:uid="{8E741D25-397F-4F4C-B854-0630AF7A3BC1}" name="Und" dataDxfId="4349" totalsRowDxfId="4348"/>
    <tableColumn id="4" xr3:uid="{166EC178-4063-4D41-988D-D6EFFA418FA0}" name="Cant." dataDxfId="4347" totalsRowDxfId="4346"/>
    <tableColumn id="5" xr3:uid="{1A47F2BE-C070-48EA-97E2-DE1DC12CF161}" name="Costo" dataDxfId="4345" totalsRowDxfId="4344" dataCellStyle="Moneda">
      <calculatedColumnFormula>+VLOOKUP(Tabla110345345445545647945586877869510811712713622823724627233260269297315316384392394396416418426454[[#This Row],[Ingrediente]],Tabla34[#All],3,0)</calculatedColumnFormula>
    </tableColumn>
    <tableColumn id="6" xr3:uid="{EE8CE55A-B26E-4373-ABF8-7F2AD60B6B97}" name="Total costo" totalsRowFunction="sum" dataDxfId="4343" totalsRowDxfId="4342" dataCellStyle="Moneda">
      <calculatedColumnFormula>+Tabla110345345445545647945586877869510811712713622823724627233260269297315316384392394396416418426454[[#This Row],[Costo]]*Tabla110345345445545647945586877869510811712713622823724627233260269297315316384392394396416418426454[[#This Row],[Cant.]]</calculatedColumnFormula>
    </tableColumn>
  </tableColumns>
  <tableStyleInfo name="TableStyleLight8" showFirstColumn="0" showLastColumn="0" showRowStripes="1" showColumnStripes="0"/>
</table>
</file>

<file path=xl/tables/table9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4" xr:uid="{A348C0E0-8B9A-4DAE-9D7E-1C5C6658944A}" name="Tabla110345345445545647945586877869510811712713622823724627233260269297315316384392394396416418426455" displayName="Tabla110345345445545647945586877869510811712713622823724627233260269297315316384392394396416418426455" ref="B139:F141" totalsRowCount="1" headerRowDxfId="4341" dataDxfId="4339" totalsRowDxfId="4337" headerRowBorderDxfId="4340" tableBorderDxfId="4338" totalsRowBorderDxfId="4336">
  <autoFilter ref="B139:F140" xr:uid="{A348C0E0-8B9A-4DAE-9D7E-1C5C6658944A}"/>
  <sortState xmlns:xlrd2="http://schemas.microsoft.com/office/spreadsheetml/2017/richdata2" ref="B140:F140">
    <sortCondition descending="1" ref="F105:F121"/>
  </sortState>
  <tableColumns count="5">
    <tableColumn id="2" xr3:uid="{0727ECA8-4F59-4950-BD47-BE38468B6FD8}" name="Ingrediente" dataDxfId="4335" totalsRowDxfId="4334"/>
    <tableColumn id="3" xr3:uid="{25327341-862B-41E4-A5BD-65749319C572}" name="Und" dataDxfId="4333" totalsRowDxfId="4332"/>
    <tableColumn id="4" xr3:uid="{CCBFB95A-FDA0-47D5-B949-43F31673688B}" name="Cant." dataDxfId="4331" totalsRowDxfId="4330"/>
    <tableColumn id="5" xr3:uid="{5C61E9EF-1097-4CB7-B695-DEF4B37A2FDA}" name="Costo" dataDxfId="4329" totalsRowDxfId="4328" dataCellStyle="Moneda">
      <calculatedColumnFormula>+VLOOKUP(Tabla110345345445545647945586877869510811712713622823724627233260269297315316384392394396416418426455[[#This Row],[Ingrediente]],Tabla34[#All],3,0)</calculatedColumnFormula>
    </tableColumn>
    <tableColumn id="6" xr3:uid="{C2D09C14-6ED4-4A15-835D-1BDF2A4F4E97}" name="Total costo" totalsRowFunction="sum" dataDxfId="4327" totalsRowDxfId="4326" dataCellStyle="Moneda">
      <calculatedColumnFormula>+Tabla110345345445545647945586877869510811712713622823724627233260269297315316384392394396416418426455[[#This Row],[Costo]]*Tabla110345345445545647945586877869510811712713622823724627233260269297315316384392394396416418426455[[#This Row],[Cant.]]</calculatedColumnFormula>
    </tableColumn>
  </tableColumns>
  <tableStyleInfo name="TableStyleLight8" showFirstColumn="0" showLastColumn="0" showRowStripes="1" showColumnStripes="0"/>
</table>
</file>

<file path=xl/tables/table9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5" xr:uid="{3FDB7897-3B7E-4713-88EF-33A29DD37651}" name="Tabla110345345445545647945586877869510811712713622823724627233260269297315316384392394396416418426456" displayName="Tabla110345345445545647945586877869510811712713622823724627233260269297315316384392394396416418426456" ref="B151:F153" totalsRowCount="1" headerRowDxfId="4325" dataDxfId="4323" totalsRowDxfId="4321" headerRowBorderDxfId="4324" tableBorderDxfId="4322" totalsRowBorderDxfId="4320">
  <autoFilter ref="B151:F152" xr:uid="{3FDB7897-3B7E-4713-88EF-33A29DD37651}"/>
  <sortState xmlns:xlrd2="http://schemas.microsoft.com/office/spreadsheetml/2017/richdata2" ref="B152:F152">
    <sortCondition descending="1" ref="F105:F121"/>
  </sortState>
  <tableColumns count="5">
    <tableColumn id="2" xr3:uid="{52126FDC-EE66-4B12-AE9A-9475386AE064}" name="Ingrediente" dataDxfId="4319" totalsRowDxfId="4318"/>
    <tableColumn id="3" xr3:uid="{8BB1F64D-9470-4881-909E-C3AE807D50A6}" name="Und" dataDxfId="4317" totalsRowDxfId="4316"/>
    <tableColumn id="4" xr3:uid="{452EAEA7-C34F-4D54-8565-BDBD319C4B78}" name="Cant." dataDxfId="4315" totalsRowDxfId="4314"/>
    <tableColumn id="5" xr3:uid="{9031CF98-2101-4D39-B05E-D2987D928F99}" name="Costo" dataDxfId="4313" totalsRowDxfId="4312" dataCellStyle="Moneda">
      <calculatedColumnFormula>+VLOOKUP(Tabla110345345445545647945586877869510811712713622823724627233260269297315316384392394396416418426456[[#This Row],[Ingrediente]],Tabla34[#All],3,0)</calculatedColumnFormula>
    </tableColumn>
    <tableColumn id="6" xr3:uid="{472F4E82-66BB-41BD-A56D-30CEC9938BE0}" name="Total costo" totalsRowFunction="sum" dataDxfId="4311" totalsRowDxfId="4310" dataCellStyle="Moneda">
      <calculatedColumnFormula>+Tabla110345345445545647945586877869510811712713622823724627233260269297315316384392394396416418426456[[#This Row],[Costo]]*Tabla110345345445545647945586877869510811712713622823724627233260269297315316384392394396416418426456[[#This Row],[Cant.]]</calculatedColumnFormula>
    </tableColumn>
  </tableColumns>
  <tableStyleInfo name="TableStyleLight8" showFirstColumn="0" showLastColumn="0" showRowStripes="1" showColumnStripes="0"/>
</table>
</file>

<file path=xl/tables/table9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AC93ABA-2D5A-4351-95EF-28276051B0F9}" name="Tabla110345345445545647945586877869510811712713622823724627233260269297315316384392394396416418426441135" displayName="Tabla110345345445545647945586877869510811712713622823724627233260269297315316384392394396416418426441135" ref="B31:F33" totalsRowCount="1" headerRowDxfId="4309" dataDxfId="4307" totalsRowDxfId="4305" headerRowBorderDxfId="4308" tableBorderDxfId="4306" totalsRowBorderDxfId="4304">
  <autoFilter ref="B31:F32" xr:uid="{EAC93ABA-2D5A-4351-95EF-28276051B0F9}"/>
  <sortState xmlns:xlrd2="http://schemas.microsoft.com/office/spreadsheetml/2017/richdata2" ref="B32:F32">
    <sortCondition descending="1" ref="F146:F162"/>
  </sortState>
  <tableColumns count="5">
    <tableColumn id="2" xr3:uid="{DA15D23A-DF1E-4031-8C2B-6741E23E7FF9}" name="Ingrediente" dataDxfId="4303" totalsRowDxfId="4302"/>
    <tableColumn id="3" xr3:uid="{68C7B6AA-5B79-4AF7-9CA8-DB11727C43CD}" name="Und" dataDxfId="4301" totalsRowDxfId="4300"/>
    <tableColumn id="4" xr3:uid="{8543DEE7-4A8F-4CE2-8214-4924E2B15792}" name="Cant." dataDxfId="4299" totalsRowDxfId="4298"/>
    <tableColumn id="5" xr3:uid="{4CDABBD8-42E5-489F-BEF8-DA8FAA22FCF3}" name="Costo" dataDxfId="4297" totalsRowDxfId="4296" dataCellStyle="Moneda">
      <calculatedColumnFormula>+VLOOKUP(Tabla110345345445545647945586877869510811712713622823724627233260269297315316384392394396416418426441135[[#This Row],[Ingrediente]],Tabla34[#All],3,0)</calculatedColumnFormula>
    </tableColumn>
    <tableColumn id="6" xr3:uid="{3BDB2419-330A-4677-A863-789162E9C111}" name="Total costo" totalsRowFunction="sum" dataDxfId="4295" totalsRowDxfId="4294" dataCellStyle="Moneda">
      <calculatedColumnFormula>+Tabla110345345445545647945586877869510811712713622823724627233260269297315316384392394396416418426441135[[#This Row],[Costo]]*Tabla110345345445545647945586877869510811712713622823724627233260269297315316384392394396416418426441135[[#This Row],[Cant.]]</calculatedColumnFormula>
    </tableColumn>
  </tableColumns>
  <tableStyleInfo name="TableStyleLight8" showFirstColumn="0" showLastColumn="0" showRowStripes="1" showColumnStripes="0"/>
</table>
</file>

<file path=xl/tables/table9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2" xr:uid="{6B030FF8-B960-40E6-AADD-20167BE8882D}" name="Tabla110345345445545647945586877869510811712713622823724627233260269297315316384392394396416418426441135373" displayName="Tabla110345345445545647945586877869510811712713622823724627233260269297315316384392394396416418426441135373" ref="B162:F164" totalsRowCount="1" headerRowDxfId="4293" dataDxfId="4291" totalsRowDxfId="4289" headerRowBorderDxfId="4292" tableBorderDxfId="4290" totalsRowBorderDxfId="4288">
  <autoFilter ref="B162:F163" xr:uid="{0AE81BEC-B7F3-48BD-8BBB-C9C5D182C027}"/>
  <sortState xmlns:xlrd2="http://schemas.microsoft.com/office/spreadsheetml/2017/richdata2" ref="B163:F163">
    <sortCondition descending="1" ref="F104:F120"/>
  </sortState>
  <tableColumns count="5">
    <tableColumn id="2" xr3:uid="{90FD704F-57DE-4227-98DC-90E3A64CD1E3}" name="Ingrediente" dataDxfId="4287" totalsRowDxfId="4286"/>
    <tableColumn id="3" xr3:uid="{62CD980B-D750-4F22-9049-C9ED03E7CE6D}" name="Und" dataDxfId="4285" totalsRowDxfId="4284"/>
    <tableColumn id="4" xr3:uid="{20247F10-9153-4F74-9A0E-9A219FDC6594}" name="Cant." dataDxfId="4283" totalsRowDxfId="4282"/>
    <tableColumn id="5" xr3:uid="{3AC70018-63FA-485E-9C18-4221FED3D19C}" name="Costo" dataDxfId="4281" totalsRowDxfId="4280" dataCellStyle="Moneda">
      <calculatedColumnFormula>+VLOOKUP(Tabla110345345445545647945586877869510811712713622823724627233260269297315316384392394396416418426441135373[[#This Row],[Ingrediente]],Tabla34[#All],3,0)</calculatedColumnFormula>
    </tableColumn>
    <tableColumn id="6" xr3:uid="{83A175E8-E865-4884-822C-89D5D45747E0}" name="Total costo" totalsRowFunction="sum" dataDxfId="4279" totalsRowDxfId="4278" dataCellStyle="Moneda">
      <calculatedColumnFormula>+Tabla110345345445545647945586877869510811712713622823724627233260269297315316384392394396416418426441135373[[#This Row],[Costo]]*Tabla110345345445545647945586877869510811712713622823724627233260269297315316384392394396416418426441135373[[#This Row],[Cant.]]</calculatedColumnFormula>
    </tableColumn>
  </tableColumns>
  <tableStyleInfo name="TableStyleLight8" showFirstColumn="0" showLastColumn="0" showRowStripes="1" showColumnStripes="0"/>
</table>
</file>

<file path=xl/tables/table9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1" xr:uid="{F3BBDF0C-22A5-4F73-8A52-21BD432BED42}" name="Tabla110345345445545647945586877869510811712713622823724627233260269297315316384392394396416418426441135373432" displayName="Tabla110345345445545647945586877869510811712713622823724627233260269297315316384392394396416418426441135373432" ref="B176:F178" totalsRowCount="1" headerRowDxfId="4277" dataDxfId="4275" totalsRowDxfId="4273" headerRowBorderDxfId="4276" tableBorderDxfId="4274" totalsRowBorderDxfId="4272">
  <autoFilter ref="B176:F177" xr:uid="{ACA1DF8E-2744-48F0-A4A6-ED9EDE946181}"/>
  <sortState xmlns:xlrd2="http://schemas.microsoft.com/office/spreadsheetml/2017/richdata2" ref="B177:F177">
    <sortCondition descending="1" ref="F104:F120"/>
  </sortState>
  <tableColumns count="5">
    <tableColumn id="2" xr3:uid="{E7912004-3B96-40DC-8568-98F64FFF4789}" name="Ingrediente" dataDxfId="4271" totalsRowDxfId="4270"/>
    <tableColumn id="3" xr3:uid="{6701F65B-CD33-401D-A0CA-760FED797E29}" name="Und" dataDxfId="4269" totalsRowDxfId="4268"/>
    <tableColumn id="4" xr3:uid="{A9978D6C-D69E-49AD-BBD6-4BEF0286FA3E}" name="Cant." dataDxfId="4267" totalsRowDxfId="4266"/>
    <tableColumn id="5" xr3:uid="{BA317DD1-289C-4E9A-829E-ADF7125CBFAF}" name="Costo" dataDxfId="4265" totalsRowDxfId="4264" dataCellStyle="Moneda">
      <calculatedColumnFormula>+VLOOKUP(Tabla110345345445545647945586877869510811712713622823724627233260269297315316384392394396416418426441135373432[[#This Row],[Ingrediente]],Tabla34[#All],3,0)</calculatedColumnFormula>
    </tableColumn>
    <tableColumn id="6" xr3:uid="{B9D403A7-EEDB-4051-B0A2-8E549C49A568}" name="Total costo" totalsRowFunction="sum" dataDxfId="4263" totalsRowDxfId="4262" dataCellStyle="Moneda">
      <calculatedColumnFormula>+Tabla110345345445545647945586877869510811712713622823724627233260269297315316384392394396416418426441135373432[[#This Row],[Costo]]*Tabla110345345445545647945586877869510811712713622823724627233260269297315316384392394396416418426441135373432[[#This Row],[Cant.]]</calculatedColumnFormula>
    </tableColumn>
  </tableColumns>
  <tableStyleInfo name="TableStyleLight8" showFirstColumn="0" showLastColumn="0" showRowStripes="1" showColumnStripes="0"/>
</table>
</file>

<file path=xl/tables/table9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7" xr:uid="{878496EB-ECBE-4992-95BB-6E299663C5F5}" name="Tabla110345345445545647945586877869510811712713622823724627233260269297315316384392394396416418" displayName="Tabla110345345445545647945586877869510811712713622823724627233260269297315316384392394396416418" ref="B7:F10" totalsRowCount="1" headerRowDxfId="4261" dataDxfId="4259" totalsRowDxfId="4257" headerRowBorderDxfId="4260" tableBorderDxfId="4258" totalsRowBorderDxfId="4256">
  <autoFilter ref="B7:F9" xr:uid="{25E24D6A-940D-4437-B263-679AE371D044}"/>
  <sortState xmlns:xlrd2="http://schemas.microsoft.com/office/spreadsheetml/2017/richdata2" ref="B8:F8">
    <sortCondition descending="1" ref="F192:F208"/>
  </sortState>
  <tableColumns count="5">
    <tableColumn id="2" xr3:uid="{877A7701-3297-423F-A6E7-A80A81BE1D63}" name="Ingrediente" dataDxfId="4255" totalsRowDxfId="4254"/>
    <tableColumn id="3" xr3:uid="{17FE95EC-77ED-4325-B91A-99730DC73240}" name="Und" dataDxfId="4253" totalsRowDxfId="4252"/>
    <tableColumn id="4" xr3:uid="{F33A1803-43FB-4753-AEF3-50927610B89C}" name="Cant." dataDxfId="4251" totalsRowDxfId="4250"/>
    <tableColumn id="5" xr3:uid="{160EB499-6EBC-458D-B515-66D7B9AA8C81}" name="Costo" dataDxfId="4249" totalsRowDxfId="4248" dataCellStyle="Moneda">
      <calculatedColumnFormula>+VLOOKUP(Tabla110345345445545647945586877869510811712713622823724627233260269297315316384392394396416418[[#This Row],[Ingrediente]],Tabla34[#All],3,0)</calculatedColumnFormula>
    </tableColumn>
    <tableColumn id="6" xr3:uid="{7C495BFF-0EEF-4DC0-9649-D2F5901DA0C8}" name="Total costo" totalsRowFunction="sum" dataDxfId="4247" totalsRowDxfId="4246" dataCellStyle="Moneda">
      <calculatedColumnFormula>+Tabla110345345445545647945586877869510811712713622823724627233260269297315316384392394396416418[[#This Row],[Costo]]*Tabla110345345445545647945586877869510811712713622823724627233260269297315316384392394396416418[[#This Row],[Cant.]]</calculatedColumnFormula>
    </tableColumn>
  </tableColumns>
  <tableStyleInfo name="TableStyleLight8" showFirstColumn="0" showLastColumn="0" showRowStripes="1" showColumnStripes="0"/>
</table>
</file>

<file path=xl/tables/table9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9" xr:uid="{1EFB2893-888D-4993-9DFE-DEBBB3F9FD8B}" name="Tabla110345345445545647945586877869510811712713622823724627233260269297315316384392394396416418430" displayName="Tabla110345345445545647945586877869510811712713622823724627233260269297315316384392394396416418430" ref="B19:F23" totalsRowCount="1" headerRowDxfId="4245" dataDxfId="4243" totalsRowDxfId="4241" headerRowBorderDxfId="4244" tableBorderDxfId="4242" totalsRowBorderDxfId="4240">
  <autoFilter ref="B19:F22" xr:uid="{1EFB2893-888D-4993-9DFE-DEBBB3F9FD8B}"/>
  <sortState xmlns:xlrd2="http://schemas.microsoft.com/office/spreadsheetml/2017/richdata2" ref="B20:F20">
    <sortCondition descending="1" ref="F198:F214"/>
  </sortState>
  <tableColumns count="5">
    <tableColumn id="2" xr3:uid="{E79E4C33-8B09-477F-AF7E-975BEBBFABA4}" name="Ingrediente" dataDxfId="4239" totalsRowDxfId="4238"/>
    <tableColumn id="3" xr3:uid="{E91C6A38-B7F2-4B8F-BE31-1A96D7D35FE1}" name="Und" dataDxfId="4237" totalsRowDxfId="4236"/>
    <tableColumn id="4" xr3:uid="{A7B8848D-E9B2-4369-AB18-FD148EB8D1B8}" name="Cant." dataDxfId="4235" totalsRowDxfId="4234"/>
    <tableColumn id="5" xr3:uid="{168E72CF-378F-47BD-97DA-A8D0AFF4FA32}" name="Costo" dataDxfId="4233" totalsRowDxfId="4232" dataCellStyle="Moneda">
      <calculatedColumnFormula>+VLOOKUP(Tabla110345345445545647945586877869510811712713622823724627233260269297315316384392394396416418430[[#This Row],[Ingrediente]],Tabla34[#All],3,0)</calculatedColumnFormula>
    </tableColumn>
    <tableColumn id="6" xr3:uid="{52C29934-70CB-464F-B286-6F51F7BDF5D3}" name="Total costo" totalsRowFunction="sum" dataDxfId="4231" totalsRowDxfId="4230" dataCellStyle="Moneda">
      <calculatedColumnFormula>+Tabla110345345445545647945586877869510811712713622823724627233260269297315316384392394396416418430[[#This Row],[Costo]]*Tabla110345345445545647945586877869510811712713622823724627233260269297315316384392394396416418430[[#This Row],[Cant.]]</calculatedColumnFormula>
    </tableColumn>
  </tableColumns>
  <tableStyleInfo name="TableStyleLight8" showFirstColumn="0" showLastColumn="0" showRowStripes="1" showColumnStripes="0"/>
</table>
</file>

<file path=xl/tables/table9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0" xr:uid="{A68C96AD-3DF4-449F-B572-7D8E9F902481}" name="Tabla110345345445545647945586877869510811712713622823724627233260269297315316384392394396416418431" displayName="Tabla110345345445545647945586877869510811712713622823724627233260269297315316384392394396416418431" ref="B30:F33" totalsRowCount="1" headerRowDxfId="4229" dataDxfId="4227" totalsRowDxfId="4225" headerRowBorderDxfId="4228" tableBorderDxfId="4226" totalsRowBorderDxfId="4224">
  <autoFilter ref="B30:F32" xr:uid="{A68C96AD-3DF4-449F-B572-7D8E9F902481}"/>
  <sortState xmlns:xlrd2="http://schemas.microsoft.com/office/spreadsheetml/2017/richdata2" ref="B31:F31">
    <sortCondition descending="1" ref="F203:F219"/>
  </sortState>
  <tableColumns count="5">
    <tableColumn id="2" xr3:uid="{A2ED5A62-C2EA-46AB-A5BC-3718ADE37F6D}" name="Ingrediente" dataDxfId="4223" totalsRowDxfId="4222"/>
    <tableColumn id="3" xr3:uid="{A10D8D14-CD13-4E27-A544-1E3570CAFB9B}" name="Und" dataDxfId="4221" totalsRowDxfId="4220"/>
    <tableColumn id="4" xr3:uid="{FB2A0E6C-93E4-4441-8B2A-36B932647704}" name="Cant." dataDxfId="4219" totalsRowDxfId="4218"/>
    <tableColumn id="5" xr3:uid="{E42F14DE-3D96-49F3-93EB-D7585122FAC3}" name="Costo" dataDxfId="4217" totalsRowDxfId="4216" dataCellStyle="Moneda">
      <calculatedColumnFormula>+VLOOKUP(Tabla110345345445545647945586877869510811712713622823724627233260269297315316384392394396416418431[[#This Row],[Ingrediente]],Tabla34[#All],3,0)</calculatedColumnFormula>
    </tableColumn>
    <tableColumn id="6" xr3:uid="{9B5120BC-6557-44E6-BD22-413528E41590}" name="Total costo" totalsRowFunction="sum" dataDxfId="4215" totalsRowDxfId="4214" dataCellStyle="Moneda">
      <calculatedColumnFormula>+Tabla110345345445545647945586877869510811712713622823724627233260269297315316384392394396416418431[[#This Row],[Costo]]*Tabla110345345445545647945586877869510811712713622823724627233260269297315316384392394396416418431[[#This Row],[Cant.]]</calculatedColumnFormula>
    </tableColumn>
  </tableColumns>
  <tableStyleInfo name="TableStyleLight8" showFirstColumn="0" showLastColumn="0" showRowStripes="1" showColumnStripes="0"/>
</table>
</file>

<file path=xl/tables/table9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0" xr:uid="{4897D62C-52CB-4BE8-8C8B-0A6B89D8A19B}" name="Tabla11034534544554564793638293294303304386391" displayName="Tabla11034534544554564793638293294303304386391" ref="B41:F46" totalsRowCount="1" headerRowDxfId="4213" dataDxfId="4211" totalsRowDxfId="4209" headerRowBorderDxfId="4212" tableBorderDxfId="4210" totalsRowBorderDxfId="4208">
  <autoFilter ref="B41:F45" xr:uid="{87A4AB10-5752-492A-A636-12436809D6C4}"/>
  <sortState xmlns:xlrd2="http://schemas.microsoft.com/office/spreadsheetml/2017/richdata2" ref="B42:F45">
    <sortCondition descending="1" ref="F49"/>
  </sortState>
  <tableColumns count="5">
    <tableColumn id="2" xr3:uid="{9ACE83EF-169F-4A1E-A949-0534DB82FACE}" name="Ingrediente" dataDxfId="4207" totalsRowDxfId="4206"/>
    <tableColumn id="3" xr3:uid="{74B9E956-FF49-44B4-B65B-B084BD6D83B0}" name="Und" dataDxfId="4205" totalsRowDxfId="4204"/>
    <tableColumn id="4" xr3:uid="{D28CAE40-1874-4114-9D7D-024EDF8FC467}" name="Cant." dataDxfId="4203" totalsRowDxfId="4202"/>
    <tableColumn id="5" xr3:uid="{143FB294-913A-4B23-AD3D-EC57FB65DDB0}" name="Costo" dataDxfId="4201" totalsRowDxfId="4200" dataCellStyle="Moneda">
      <calculatedColumnFormula>+VLOOKUP(Tabla11034534544554564793638293294303304386391[[#This Row],[Ingrediente]],Tabla34[#All],3,0)</calculatedColumnFormula>
    </tableColumn>
    <tableColumn id="6" xr3:uid="{7D8E3F80-465A-4FC5-897B-E5579B73B12F}" name="Total costo" totalsRowFunction="sum" dataDxfId="4199" totalsRowDxfId="4198" dataCellStyle="Moneda">
      <calculatedColumnFormula>+Tabla11034534544554564793638293294303304386391[[#This Row],[Costo]]*Tabla11034534544554564793638293294303304386391[[#This Row],[Cant.]]</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table" Target="../tables/table11.xml"/><Relationship Id="rId18" Type="http://schemas.openxmlformats.org/officeDocument/2006/relationships/table" Target="../tables/table16.xml"/><Relationship Id="rId26" Type="http://schemas.openxmlformats.org/officeDocument/2006/relationships/table" Target="../tables/table24.xml"/><Relationship Id="rId39" Type="http://schemas.openxmlformats.org/officeDocument/2006/relationships/comments" Target="../comments1.xml"/><Relationship Id="rId21" Type="http://schemas.openxmlformats.org/officeDocument/2006/relationships/table" Target="../tables/table19.xml"/><Relationship Id="rId34" Type="http://schemas.openxmlformats.org/officeDocument/2006/relationships/table" Target="../tables/table32.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5" Type="http://schemas.openxmlformats.org/officeDocument/2006/relationships/table" Target="../tables/table23.xml"/><Relationship Id="rId33" Type="http://schemas.openxmlformats.org/officeDocument/2006/relationships/table" Target="../tables/table31.xml"/><Relationship Id="rId38" Type="http://schemas.openxmlformats.org/officeDocument/2006/relationships/table" Target="../tables/table36.xml"/><Relationship Id="rId2" Type="http://schemas.openxmlformats.org/officeDocument/2006/relationships/vmlDrawing" Target="../drawings/vmlDrawing1.vml"/><Relationship Id="rId16" Type="http://schemas.openxmlformats.org/officeDocument/2006/relationships/table" Target="../tables/table14.xml"/><Relationship Id="rId20" Type="http://schemas.openxmlformats.org/officeDocument/2006/relationships/table" Target="../tables/table18.xml"/><Relationship Id="rId29" Type="http://schemas.openxmlformats.org/officeDocument/2006/relationships/table" Target="../tables/table27.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24" Type="http://schemas.openxmlformats.org/officeDocument/2006/relationships/table" Target="../tables/table22.xml"/><Relationship Id="rId32" Type="http://schemas.openxmlformats.org/officeDocument/2006/relationships/table" Target="../tables/table30.xml"/><Relationship Id="rId37" Type="http://schemas.openxmlformats.org/officeDocument/2006/relationships/table" Target="../tables/table35.xml"/><Relationship Id="rId5" Type="http://schemas.openxmlformats.org/officeDocument/2006/relationships/table" Target="../tables/table3.xml"/><Relationship Id="rId15" Type="http://schemas.openxmlformats.org/officeDocument/2006/relationships/table" Target="../tables/table13.xml"/><Relationship Id="rId23" Type="http://schemas.openxmlformats.org/officeDocument/2006/relationships/table" Target="../tables/table21.xml"/><Relationship Id="rId28" Type="http://schemas.openxmlformats.org/officeDocument/2006/relationships/table" Target="../tables/table26.xml"/><Relationship Id="rId36" Type="http://schemas.openxmlformats.org/officeDocument/2006/relationships/table" Target="../tables/table34.xml"/><Relationship Id="rId10" Type="http://schemas.openxmlformats.org/officeDocument/2006/relationships/table" Target="../tables/table8.xml"/><Relationship Id="rId19" Type="http://schemas.openxmlformats.org/officeDocument/2006/relationships/table" Target="../tables/table17.xml"/><Relationship Id="rId31" Type="http://schemas.openxmlformats.org/officeDocument/2006/relationships/table" Target="../tables/table29.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 Id="rId27" Type="http://schemas.openxmlformats.org/officeDocument/2006/relationships/table" Target="../tables/table25.xml"/><Relationship Id="rId30" Type="http://schemas.openxmlformats.org/officeDocument/2006/relationships/table" Target="../tables/table28.xml"/><Relationship Id="rId35" Type="http://schemas.openxmlformats.org/officeDocument/2006/relationships/table" Target="../tables/table33.xml"/><Relationship Id="rId8" Type="http://schemas.openxmlformats.org/officeDocument/2006/relationships/table" Target="../tables/table6.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table" Target="../tables/table152.xml"/><Relationship Id="rId21" Type="http://schemas.openxmlformats.org/officeDocument/2006/relationships/table" Target="../tables/table56.xml"/><Relationship Id="rId42" Type="http://schemas.openxmlformats.org/officeDocument/2006/relationships/table" Target="../tables/table77.xml"/><Relationship Id="rId63" Type="http://schemas.openxmlformats.org/officeDocument/2006/relationships/table" Target="../tables/table98.xml"/><Relationship Id="rId84" Type="http://schemas.openxmlformats.org/officeDocument/2006/relationships/table" Target="../tables/table119.xml"/><Relationship Id="rId138" Type="http://schemas.openxmlformats.org/officeDocument/2006/relationships/table" Target="../tables/table173.xml"/><Relationship Id="rId159" Type="http://schemas.openxmlformats.org/officeDocument/2006/relationships/table" Target="../tables/table194.xml"/><Relationship Id="rId170" Type="http://schemas.openxmlformats.org/officeDocument/2006/relationships/table" Target="../tables/table205.xml"/><Relationship Id="rId191" Type="http://schemas.openxmlformats.org/officeDocument/2006/relationships/table" Target="../tables/table226.xml"/><Relationship Id="rId205" Type="http://schemas.openxmlformats.org/officeDocument/2006/relationships/table" Target="../tables/table240.xml"/><Relationship Id="rId226" Type="http://schemas.openxmlformats.org/officeDocument/2006/relationships/table" Target="../tables/table261.xml"/><Relationship Id="rId107" Type="http://schemas.openxmlformats.org/officeDocument/2006/relationships/table" Target="../tables/table142.xml"/><Relationship Id="rId11" Type="http://schemas.openxmlformats.org/officeDocument/2006/relationships/table" Target="../tables/table46.xml"/><Relationship Id="rId32" Type="http://schemas.openxmlformats.org/officeDocument/2006/relationships/table" Target="../tables/table67.xml"/><Relationship Id="rId53" Type="http://schemas.openxmlformats.org/officeDocument/2006/relationships/table" Target="../tables/table88.xml"/><Relationship Id="rId74" Type="http://schemas.openxmlformats.org/officeDocument/2006/relationships/table" Target="../tables/table109.xml"/><Relationship Id="rId128" Type="http://schemas.openxmlformats.org/officeDocument/2006/relationships/table" Target="../tables/table163.xml"/><Relationship Id="rId149" Type="http://schemas.openxmlformats.org/officeDocument/2006/relationships/table" Target="../tables/table184.xml"/><Relationship Id="rId5" Type="http://schemas.openxmlformats.org/officeDocument/2006/relationships/table" Target="../tables/table40.xml"/><Relationship Id="rId95" Type="http://schemas.openxmlformats.org/officeDocument/2006/relationships/table" Target="../tables/table130.xml"/><Relationship Id="rId160" Type="http://schemas.openxmlformats.org/officeDocument/2006/relationships/table" Target="../tables/table195.xml"/><Relationship Id="rId181" Type="http://schemas.openxmlformats.org/officeDocument/2006/relationships/table" Target="../tables/table216.xml"/><Relationship Id="rId216" Type="http://schemas.openxmlformats.org/officeDocument/2006/relationships/table" Target="../tables/table251.xml"/><Relationship Id="rId22" Type="http://schemas.openxmlformats.org/officeDocument/2006/relationships/table" Target="../tables/table57.xml"/><Relationship Id="rId43" Type="http://schemas.openxmlformats.org/officeDocument/2006/relationships/table" Target="../tables/table78.xml"/><Relationship Id="rId64" Type="http://schemas.openxmlformats.org/officeDocument/2006/relationships/table" Target="../tables/table99.xml"/><Relationship Id="rId118" Type="http://schemas.openxmlformats.org/officeDocument/2006/relationships/table" Target="../tables/table153.xml"/><Relationship Id="rId139" Type="http://schemas.openxmlformats.org/officeDocument/2006/relationships/table" Target="../tables/table174.xml"/><Relationship Id="rId85" Type="http://schemas.openxmlformats.org/officeDocument/2006/relationships/table" Target="../tables/table120.xml"/><Relationship Id="rId150" Type="http://schemas.openxmlformats.org/officeDocument/2006/relationships/table" Target="../tables/table185.xml"/><Relationship Id="rId171" Type="http://schemas.openxmlformats.org/officeDocument/2006/relationships/table" Target="../tables/table206.xml"/><Relationship Id="rId192" Type="http://schemas.openxmlformats.org/officeDocument/2006/relationships/table" Target="../tables/table227.xml"/><Relationship Id="rId206" Type="http://schemas.openxmlformats.org/officeDocument/2006/relationships/table" Target="../tables/table241.xml"/><Relationship Id="rId227" Type="http://schemas.openxmlformats.org/officeDocument/2006/relationships/table" Target="../tables/table262.xml"/><Relationship Id="rId12" Type="http://schemas.openxmlformats.org/officeDocument/2006/relationships/table" Target="../tables/table47.xml"/><Relationship Id="rId33" Type="http://schemas.openxmlformats.org/officeDocument/2006/relationships/table" Target="../tables/table68.xml"/><Relationship Id="rId108" Type="http://schemas.openxmlformats.org/officeDocument/2006/relationships/table" Target="../tables/table143.xml"/><Relationship Id="rId129" Type="http://schemas.openxmlformats.org/officeDocument/2006/relationships/table" Target="../tables/table164.xml"/><Relationship Id="rId54" Type="http://schemas.openxmlformats.org/officeDocument/2006/relationships/table" Target="../tables/table89.xml"/><Relationship Id="rId75" Type="http://schemas.openxmlformats.org/officeDocument/2006/relationships/table" Target="../tables/table110.xml"/><Relationship Id="rId96" Type="http://schemas.openxmlformats.org/officeDocument/2006/relationships/table" Target="../tables/table131.xml"/><Relationship Id="rId140" Type="http://schemas.openxmlformats.org/officeDocument/2006/relationships/table" Target="../tables/table175.xml"/><Relationship Id="rId161" Type="http://schemas.openxmlformats.org/officeDocument/2006/relationships/table" Target="../tables/table196.xml"/><Relationship Id="rId182" Type="http://schemas.openxmlformats.org/officeDocument/2006/relationships/table" Target="../tables/table217.xml"/><Relationship Id="rId217" Type="http://schemas.openxmlformats.org/officeDocument/2006/relationships/table" Target="../tables/table252.xml"/><Relationship Id="rId6" Type="http://schemas.openxmlformats.org/officeDocument/2006/relationships/table" Target="../tables/table41.xml"/><Relationship Id="rId23" Type="http://schemas.openxmlformats.org/officeDocument/2006/relationships/table" Target="../tables/table58.xml"/><Relationship Id="rId119" Type="http://schemas.openxmlformats.org/officeDocument/2006/relationships/table" Target="../tables/table154.xml"/><Relationship Id="rId44" Type="http://schemas.openxmlformats.org/officeDocument/2006/relationships/table" Target="../tables/table79.xml"/><Relationship Id="rId65" Type="http://schemas.openxmlformats.org/officeDocument/2006/relationships/table" Target="../tables/table100.xml"/><Relationship Id="rId86" Type="http://schemas.openxmlformats.org/officeDocument/2006/relationships/table" Target="../tables/table121.xml"/><Relationship Id="rId130" Type="http://schemas.openxmlformats.org/officeDocument/2006/relationships/table" Target="../tables/table165.xml"/><Relationship Id="rId151" Type="http://schemas.openxmlformats.org/officeDocument/2006/relationships/table" Target="../tables/table186.xml"/><Relationship Id="rId172" Type="http://schemas.openxmlformats.org/officeDocument/2006/relationships/table" Target="../tables/table207.xml"/><Relationship Id="rId193" Type="http://schemas.openxmlformats.org/officeDocument/2006/relationships/table" Target="../tables/table228.xml"/><Relationship Id="rId207" Type="http://schemas.openxmlformats.org/officeDocument/2006/relationships/table" Target="../tables/table242.xml"/><Relationship Id="rId13" Type="http://schemas.openxmlformats.org/officeDocument/2006/relationships/table" Target="../tables/table48.xml"/><Relationship Id="rId109" Type="http://schemas.openxmlformats.org/officeDocument/2006/relationships/table" Target="../tables/table144.xml"/><Relationship Id="rId34" Type="http://schemas.openxmlformats.org/officeDocument/2006/relationships/table" Target="../tables/table69.xml"/><Relationship Id="rId55" Type="http://schemas.openxmlformats.org/officeDocument/2006/relationships/table" Target="../tables/table90.xml"/><Relationship Id="rId76" Type="http://schemas.openxmlformats.org/officeDocument/2006/relationships/table" Target="../tables/table111.xml"/><Relationship Id="rId97" Type="http://schemas.openxmlformats.org/officeDocument/2006/relationships/table" Target="../tables/table132.xml"/><Relationship Id="rId120" Type="http://schemas.openxmlformats.org/officeDocument/2006/relationships/table" Target="../tables/table155.xml"/><Relationship Id="rId141" Type="http://schemas.openxmlformats.org/officeDocument/2006/relationships/table" Target="../tables/table176.xml"/><Relationship Id="rId7" Type="http://schemas.openxmlformats.org/officeDocument/2006/relationships/table" Target="../tables/table42.xml"/><Relationship Id="rId162" Type="http://schemas.openxmlformats.org/officeDocument/2006/relationships/table" Target="../tables/table197.xml"/><Relationship Id="rId183" Type="http://schemas.openxmlformats.org/officeDocument/2006/relationships/table" Target="../tables/table218.xml"/><Relationship Id="rId218" Type="http://schemas.openxmlformats.org/officeDocument/2006/relationships/table" Target="../tables/table253.xml"/><Relationship Id="rId24" Type="http://schemas.openxmlformats.org/officeDocument/2006/relationships/table" Target="../tables/table59.xml"/><Relationship Id="rId45" Type="http://schemas.openxmlformats.org/officeDocument/2006/relationships/table" Target="../tables/table80.xml"/><Relationship Id="rId66" Type="http://schemas.openxmlformats.org/officeDocument/2006/relationships/table" Target="../tables/table101.xml"/><Relationship Id="rId87" Type="http://schemas.openxmlformats.org/officeDocument/2006/relationships/table" Target="../tables/table122.xml"/><Relationship Id="rId110" Type="http://schemas.openxmlformats.org/officeDocument/2006/relationships/table" Target="../tables/table145.xml"/><Relationship Id="rId131" Type="http://schemas.openxmlformats.org/officeDocument/2006/relationships/table" Target="../tables/table166.xml"/><Relationship Id="rId152" Type="http://schemas.openxmlformats.org/officeDocument/2006/relationships/table" Target="../tables/table187.xml"/><Relationship Id="rId173" Type="http://schemas.openxmlformats.org/officeDocument/2006/relationships/table" Target="../tables/table208.xml"/><Relationship Id="rId194" Type="http://schemas.openxmlformats.org/officeDocument/2006/relationships/table" Target="../tables/table229.xml"/><Relationship Id="rId208" Type="http://schemas.openxmlformats.org/officeDocument/2006/relationships/table" Target="../tables/table243.xml"/><Relationship Id="rId14" Type="http://schemas.openxmlformats.org/officeDocument/2006/relationships/table" Target="../tables/table49.xml"/><Relationship Id="rId35" Type="http://schemas.openxmlformats.org/officeDocument/2006/relationships/table" Target="../tables/table70.xml"/><Relationship Id="rId56" Type="http://schemas.openxmlformats.org/officeDocument/2006/relationships/table" Target="../tables/table91.xml"/><Relationship Id="rId77" Type="http://schemas.openxmlformats.org/officeDocument/2006/relationships/table" Target="../tables/table112.xml"/><Relationship Id="rId100" Type="http://schemas.openxmlformats.org/officeDocument/2006/relationships/table" Target="../tables/table135.xml"/><Relationship Id="rId8" Type="http://schemas.openxmlformats.org/officeDocument/2006/relationships/table" Target="../tables/table43.xml"/><Relationship Id="rId98" Type="http://schemas.openxmlformats.org/officeDocument/2006/relationships/table" Target="../tables/table133.xml"/><Relationship Id="rId121" Type="http://schemas.openxmlformats.org/officeDocument/2006/relationships/table" Target="../tables/table156.xml"/><Relationship Id="rId142" Type="http://schemas.openxmlformats.org/officeDocument/2006/relationships/table" Target="../tables/table177.xml"/><Relationship Id="rId163" Type="http://schemas.openxmlformats.org/officeDocument/2006/relationships/table" Target="../tables/table198.xml"/><Relationship Id="rId184" Type="http://schemas.openxmlformats.org/officeDocument/2006/relationships/table" Target="../tables/table219.xml"/><Relationship Id="rId219" Type="http://schemas.openxmlformats.org/officeDocument/2006/relationships/table" Target="../tables/table254.xml"/><Relationship Id="rId3" Type="http://schemas.openxmlformats.org/officeDocument/2006/relationships/table" Target="../tables/table38.xml"/><Relationship Id="rId214" Type="http://schemas.openxmlformats.org/officeDocument/2006/relationships/table" Target="../tables/table249.xml"/><Relationship Id="rId25" Type="http://schemas.openxmlformats.org/officeDocument/2006/relationships/table" Target="../tables/table60.xml"/><Relationship Id="rId46" Type="http://schemas.openxmlformats.org/officeDocument/2006/relationships/table" Target="../tables/table81.xml"/><Relationship Id="rId67" Type="http://schemas.openxmlformats.org/officeDocument/2006/relationships/table" Target="../tables/table102.xml"/><Relationship Id="rId116" Type="http://schemas.openxmlformats.org/officeDocument/2006/relationships/table" Target="../tables/table151.xml"/><Relationship Id="rId137" Type="http://schemas.openxmlformats.org/officeDocument/2006/relationships/table" Target="../tables/table172.xml"/><Relationship Id="rId158" Type="http://schemas.openxmlformats.org/officeDocument/2006/relationships/table" Target="../tables/table193.xml"/><Relationship Id="rId20" Type="http://schemas.openxmlformats.org/officeDocument/2006/relationships/table" Target="../tables/table55.xml"/><Relationship Id="rId41" Type="http://schemas.openxmlformats.org/officeDocument/2006/relationships/table" Target="../tables/table76.xml"/><Relationship Id="rId62" Type="http://schemas.openxmlformats.org/officeDocument/2006/relationships/table" Target="../tables/table97.xml"/><Relationship Id="rId83" Type="http://schemas.openxmlformats.org/officeDocument/2006/relationships/table" Target="../tables/table118.xml"/><Relationship Id="rId88" Type="http://schemas.openxmlformats.org/officeDocument/2006/relationships/table" Target="../tables/table123.xml"/><Relationship Id="rId111" Type="http://schemas.openxmlformats.org/officeDocument/2006/relationships/table" Target="../tables/table146.xml"/><Relationship Id="rId132" Type="http://schemas.openxmlformats.org/officeDocument/2006/relationships/table" Target="../tables/table167.xml"/><Relationship Id="rId153" Type="http://schemas.openxmlformats.org/officeDocument/2006/relationships/table" Target="../tables/table188.xml"/><Relationship Id="rId174" Type="http://schemas.openxmlformats.org/officeDocument/2006/relationships/table" Target="../tables/table209.xml"/><Relationship Id="rId179" Type="http://schemas.openxmlformats.org/officeDocument/2006/relationships/table" Target="../tables/table214.xml"/><Relationship Id="rId195" Type="http://schemas.openxmlformats.org/officeDocument/2006/relationships/table" Target="../tables/table230.xml"/><Relationship Id="rId209" Type="http://schemas.openxmlformats.org/officeDocument/2006/relationships/table" Target="../tables/table244.xml"/><Relationship Id="rId190" Type="http://schemas.openxmlformats.org/officeDocument/2006/relationships/table" Target="../tables/table225.xml"/><Relationship Id="rId204" Type="http://schemas.openxmlformats.org/officeDocument/2006/relationships/table" Target="../tables/table239.xml"/><Relationship Id="rId220" Type="http://schemas.openxmlformats.org/officeDocument/2006/relationships/table" Target="../tables/table255.xml"/><Relationship Id="rId225" Type="http://schemas.openxmlformats.org/officeDocument/2006/relationships/table" Target="../tables/table260.xml"/><Relationship Id="rId15" Type="http://schemas.openxmlformats.org/officeDocument/2006/relationships/table" Target="../tables/table50.xml"/><Relationship Id="rId36" Type="http://schemas.openxmlformats.org/officeDocument/2006/relationships/table" Target="../tables/table71.xml"/><Relationship Id="rId57" Type="http://schemas.openxmlformats.org/officeDocument/2006/relationships/table" Target="../tables/table92.xml"/><Relationship Id="rId106" Type="http://schemas.openxmlformats.org/officeDocument/2006/relationships/table" Target="../tables/table141.xml"/><Relationship Id="rId127" Type="http://schemas.openxmlformats.org/officeDocument/2006/relationships/table" Target="../tables/table162.xml"/><Relationship Id="rId10" Type="http://schemas.openxmlformats.org/officeDocument/2006/relationships/table" Target="../tables/table45.xml"/><Relationship Id="rId31" Type="http://schemas.openxmlformats.org/officeDocument/2006/relationships/table" Target="../tables/table66.xml"/><Relationship Id="rId52" Type="http://schemas.openxmlformats.org/officeDocument/2006/relationships/table" Target="../tables/table87.xml"/><Relationship Id="rId73" Type="http://schemas.openxmlformats.org/officeDocument/2006/relationships/table" Target="../tables/table108.xml"/><Relationship Id="rId78" Type="http://schemas.openxmlformats.org/officeDocument/2006/relationships/table" Target="../tables/table113.xml"/><Relationship Id="rId94" Type="http://schemas.openxmlformats.org/officeDocument/2006/relationships/table" Target="../tables/table129.xml"/><Relationship Id="rId99" Type="http://schemas.openxmlformats.org/officeDocument/2006/relationships/table" Target="../tables/table134.xml"/><Relationship Id="rId101" Type="http://schemas.openxmlformats.org/officeDocument/2006/relationships/table" Target="../tables/table136.xml"/><Relationship Id="rId122" Type="http://schemas.openxmlformats.org/officeDocument/2006/relationships/table" Target="../tables/table157.xml"/><Relationship Id="rId143" Type="http://schemas.openxmlformats.org/officeDocument/2006/relationships/table" Target="../tables/table178.xml"/><Relationship Id="rId148" Type="http://schemas.openxmlformats.org/officeDocument/2006/relationships/table" Target="../tables/table183.xml"/><Relationship Id="rId164" Type="http://schemas.openxmlformats.org/officeDocument/2006/relationships/table" Target="../tables/table199.xml"/><Relationship Id="rId169" Type="http://schemas.openxmlformats.org/officeDocument/2006/relationships/table" Target="../tables/table204.xml"/><Relationship Id="rId185" Type="http://schemas.openxmlformats.org/officeDocument/2006/relationships/table" Target="../tables/table220.xml"/><Relationship Id="rId4" Type="http://schemas.openxmlformats.org/officeDocument/2006/relationships/table" Target="../tables/table39.xml"/><Relationship Id="rId9" Type="http://schemas.openxmlformats.org/officeDocument/2006/relationships/table" Target="../tables/table44.xml"/><Relationship Id="rId180" Type="http://schemas.openxmlformats.org/officeDocument/2006/relationships/table" Target="../tables/table215.xml"/><Relationship Id="rId210" Type="http://schemas.openxmlformats.org/officeDocument/2006/relationships/table" Target="../tables/table245.xml"/><Relationship Id="rId215" Type="http://schemas.openxmlformats.org/officeDocument/2006/relationships/table" Target="../tables/table250.xml"/><Relationship Id="rId26" Type="http://schemas.openxmlformats.org/officeDocument/2006/relationships/table" Target="../tables/table61.xml"/><Relationship Id="rId47" Type="http://schemas.openxmlformats.org/officeDocument/2006/relationships/table" Target="../tables/table82.xml"/><Relationship Id="rId68" Type="http://schemas.openxmlformats.org/officeDocument/2006/relationships/table" Target="../tables/table103.xml"/><Relationship Id="rId89" Type="http://schemas.openxmlformats.org/officeDocument/2006/relationships/table" Target="../tables/table124.xml"/><Relationship Id="rId112" Type="http://schemas.openxmlformats.org/officeDocument/2006/relationships/table" Target="../tables/table147.xml"/><Relationship Id="rId133" Type="http://schemas.openxmlformats.org/officeDocument/2006/relationships/table" Target="../tables/table168.xml"/><Relationship Id="rId154" Type="http://schemas.openxmlformats.org/officeDocument/2006/relationships/table" Target="../tables/table189.xml"/><Relationship Id="rId175" Type="http://schemas.openxmlformats.org/officeDocument/2006/relationships/table" Target="../tables/table210.xml"/><Relationship Id="rId196" Type="http://schemas.openxmlformats.org/officeDocument/2006/relationships/table" Target="../tables/table231.xml"/><Relationship Id="rId200" Type="http://schemas.openxmlformats.org/officeDocument/2006/relationships/table" Target="../tables/table235.xml"/><Relationship Id="rId16" Type="http://schemas.openxmlformats.org/officeDocument/2006/relationships/table" Target="../tables/table51.xml"/><Relationship Id="rId221" Type="http://schemas.openxmlformats.org/officeDocument/2006/relationships/table" Target="../tables/table256.xml"/><Relationship Id="rId37" Type="http://schemas.openxmlformats.org/officeDocument/2006/relationships/table" Target="../tables/table72.xml"/><Relationship Id="rId58" Type="http://schemas.openxmlformats.org/officeDocument/2006/relationships/table" Target="../tables/table93.xml"/><Relationship Id="rId79" Type="http://schemas.openxmlformats.org/officeDocument/2006/relationships/table" Target="../tables/table114.xml"/><Relationship Id="rId102" Type="http://schemas.openxmlformats.org/officeDocument/2006/relationships/table" Target="../tables/table137.xml"/><Relationship Id="rId123" Type="http://schemas.openxmlformats.org/officeDocument/2006/relationships/table" Target="../tables/table158.xml"/><Relationship Id="rId144" Type="http://schemas.openxmlformats.org/officeDocument/2006/relationships/table" Target="../tables/table179.xml"/><Relationship Id="rId90" Type="http://schemas.openxmlformats.org/officeDocument/2006/relationships/table" Target="../tables/table125.xml"/><Relationship Id="rId165" Type="http://schemas.openxmlformats.org/officeDocument/2006/relationships/table" Target="../tables/table200.xml"/><Relationship Id="rId186" Type="http://schemas.openxmlformats.org/officeDocument/2006/relationships/table" Target="../tables/table221.xml"/><Relationship Id="rId211" Type="http://schemas.openxmlformats.org/officeDocument/2006/relationships/table" Target="../tables/table246.xml"/><Relationship Id="rId27" Type="http://schemas.openxmlformats.org/officeDocument/2006/relationships/table" Target="../tables/table62.xml"/><Relationship Id="rId48" Type="http://schemas.openxmlformats.org/officeDocument/2006/relationships/table" Target="../tables/table83.xml"/><Relationship Id="rId69" Type="http://schemas.openxmlformats.org/officeDocument/2006/relationships/table" Target="../tables/table104.xml"/><Relationship Id="rId113" Type="http://schemas.openxmlformats.org/officeDocument/2006/relationships/table" Target="../tables/table148.xml"/><Relationship Id="rId134" Type="http://schemas.openxmlformats.org/officeDocument/2006/relationships/table" Target="../tables/table169.xml"/><Relationship Id="rId80" Type="http://schemas.openxmlformats.org/officeDocument/2006/relationships/table" Target="../tables/table115.xml"/><Relationship Id="rId155" Type="http://schemas.openxmlformats.org/officeDocument/2006/relationships/table" Target="../tables/table190.xml"/><Relationship Id="rId176" Type="http://schemas.openxmlformats.org/officeDocument/2006/relationships/table" Target="../tables/table211.xml"/><Relationship Id="rId197" Type="http://schemas.openxmlformats.org/officeDocument/2006/relationships/table" Target="../tables/table232.xml"/><Relationship Id="rId201" Type="http://schemas.openxmlformats.org/officeDocument/2006/relationships/table" Target="../tables/table236.xml"/><Relationship Id="rId222" Type="http://schemas.openxmlformats.org/officeDocument/2006/relationships/table" Target="../tables/table257.xml"/><Relationship Id="rId17" Type="http://schemas.openxmlformats.org/officeDocument/2006/relationships/table" Target="../tables/table52.xml"/><Relationship Id="rId38" Type="http://schemas.openxmlformats.org/officeDocument/2006/relationships/table" Target="../tables/table73.xml"/><Relationship Id="rId59" Type="http://schemas.openxmlformats.org/officeDocument/2006/relationships/table" Target="../tables/table94.xml"/><Relationship Id="rId103" Type="http://schemas.openxmlformats.org/officeDocument/2006/relationships/table" Target="../tables/table138.xml"/><Relationship Id="rId124" Type="http://schemas.openxmlformats.org/officeDocument/2006/relationships/table" Target="../tables/table159.xml"/><Relationship Id="rId70" Type="http://schemas.openxmlformats.org/officeDocument/2006/relationships/table" Target="../tables/table105.xml"/><Relationship Id="rId91" Type="http://schemas.openxmlformats.org/officeDocument/2006/relationships/table" Target="../tables/table126.xml"/><Relationship Id="rId145" Type="http://schemas.openxmlformats.org/officeDocument/2006/relationships/table" Target="../tables/table180.xml"/><Relationship Id="rId166" Type="http://schemas.openxmlformats.org/officeDocument/2006/relationships/table" Target="../tables/table201.xml"/><Relationship Id="rId187" Type="http://schemas.openxmlformats.org/officeDocument/2006/relationships/table" Target="../tables/table222.xml"/><Relationship Id="rId1" Type="http://schemas.openxmlformats.org/officeDocument/2006/relationships/drawing" Target="../drawings/drawing1.xml"/><Relationship Id="rId212" Type="http://schemas.openxmlformats.org/officeDocument/2006/relationships/table" Target="../tables/table247.xml"/><Relationship Id="rId28" Type="http://schemas.openxmlformats.org/officeDocument/2006/relationships/table" Target="../tables/table63.xml"/><Relationship Id="rId49" Type="http://schemas.openxmlformats.org/officeDocument/2006/relationships/table" Target="../tables/table84.xml"/><Relationship Id="rId114" Type="http://schemas.openxmlformats.org/officeDocument/2006/relationships/table" Target="../tables/table149.xml"/><Relationship Id="rId60" Type="http://schemas.openxmlformats.org/officeDocument/2006/relationships/table" Target="../tables/table95.xml"/><Relationship Id="rId81" Type="http://schemas.openxmlformats.org/officeDocument/2006/relationships/table" Target="../tables/table116.xml"/><Relationship Id="rId135" Type="http://schemas.openxmlformats.org/officeDocument/2006/relationships/table" Target="../tables/table170.xml"/><Relationship Id="rId156" Type="http://schemas.openxmlformats.org/officeDocument/2006/relationships/table" Target="../tables/table191.xml"/><Relationship Id="rId177" Type="http://schemas.openxmlformats.org/officeDocument/2006/relationships/table" Target="../tables/table212.xml"/><Relationship Id="rId198" Type="http://schemas.openxmlformats.org/officeDocument/2006/relationships/table" Target="../tables/table233.xml"/><Relationship Id="rId202" Type="http://schemas.openxmlformats.org/officeDocument/2006/relationships/table" Target="../tables/table237.xml"/><Relationship Id="rId223" Type="http://schemas.openxmlformats.org/officeDocument/2006/relationships/table" Target="../tables/table258.xml"/><Relationship Id="rId18" Type="http://schemas.openxmlformats.org/officeDocument/2006/relationships/table" Target="../tables/table53.xml"/><Relationship Id="rId39" Type="http://schemas.openxmlformats.org/officeDocument/2006/relationships/table" Target="../tables/table74.xml"/><Relationship Id="rId50" Type="http://schemas.openxmlformats.org/officeDocument/2006/relationships/table" Target="../tables/table85.xml"/><Relationship Id="rId104" Type="http://schemas.openxmlformats.org/officeDocument/2006/relationships/table" Target="../tables/table139.xml"/><Relationship Id="rId125" Type="http://schemas.openxmlformats.org/officeDocument/2006/relationships/table" Target="../tables/table160.xml"/><Relationship Id="rId146" Type="http://schemas.openxmlformats.org/officeDocument/2006/relationships/table" Target="../tables/table181.xml"/><Relationship Id="rId167" Type="http://schemas.openxmlformats.org/officeDocument/2006/relationships/table" Target="../tables/table202.xml"/><Relationship Id="rId188" Type="http://schemas.openxmlformats.org/officeDocument/2006/relationships/table" Target="../tables/table223.xml"/><Relationship Id="rId71" Type="http://schemas.openxmlformats.org/officeDocument/2006/relationships/table" Target="../tables/table106.xml"/><Relationship Id="rId92" Type="http://schemas.openxmlformats.org/officeDocument/2006/relationships/table" Target="../tables/table127.xml"/><Relationship Id="rId213" Type="http://schemas.openxmlformats.org/officeDocument/2006/relationships/table" Target="../tables/table248.xml"/><Relationship Id="rId2" Type="http://schemas.openxmlformats.org/officeDocument/2006/relationships/table" Target="../tables/table37.xml"/><Relationship Id="rId29" Type="http://schemas.openxmlformats.org/officeDocument/2006/relationships/table" Target="../tables/table64.xml"/><Relationship Id="rId40" Type="http://schemas.openxmlformats.org/officeDocument/2006/relationships/table" Target="../tables/table75.xml"/><Relationship Id="rId115" Type="http://schemas.openxmlformats.org/officeDocument/2006/relationships/table" Target="../tables/table150.xml"/><Relationship Id="rId136" Type="http://schemas.openxmlformats.org/officeDocument/2006/relationships/table" Target="../tables/table171.xml"/><Relationship Id="rId157" Type="http://schemas.openxmlformats.org/officeDocument/2006/relationships/table" Target="../tables/table192.xml"/><Relationship Id="rId178" Type="http://schemas.openxmlformats.org/officeDocument/2006/relationships/table" Target="../tables/table213.xml"/><Relationship Id="rId61" Type="http://schemas.openxmlformats.org/officeDocument/2006/relationships/table" Target="../tables/table96.xml"/><Relationship Id="rId82" Type="http://schemas.openxmlformats.org/officeDocument/2006/relationships/table" Target="../tables/table117.xml"/><Relationship Id="rId199" Type="http://schemas.openxmlformats.org/officeDocument/2006/relationships/table" Target="../tables/table234.xml"/><Relationship Id="rId203" Type="http://schemas.openxmlformats.org/officeDocument/2006/relationships/table" Target="../tables/table238.xml"/><Relationship Id="rId19" Type="http://schemas.openxmlformats.org/officeDocument/2006/relationships/table" Target="../tables/table54.xml"/><Relationship Id="rId224" Type="http://schemas.openxmlformats.org/officeDocument/2006/relationships/table" Target="../tables/table259.xml"/><Relationship Id="rId30" Type="http://schemas.openxmlformats.org/officeDocument/2006/relationships/table" Target="../tables/table65.xml"/><Relationship Id="rId105" Type="http://schemas.openxmlformats.org/officeDocument/2006/relationships/table" Target="../tables/table140.xml"/><Relationship Id="rId126" Type="http://schemas.openxmlformats.org/officeDocument/2006/relationships/table" Target="../tables/table161.xml"/><Relationship Id="rId147" Type="http://schemas.openxmlformats.org/officeDocument/2006/relationships/table" Target="../tables/table182.xml"/><Relationship Id="rId168" Type="http://schemas.openxmlformats.org/officeDocument/2006/relationships/table" Target="../tables/table203.xml"/><Relationship Id="rId51" Type="http://schemas.openxmlformats.org/officeDocument/2006/relationships/table" Target="../tables/table86.xml"/><Relationship Id="rId72" Type="http://schemas.openxmlformats.org/officeDocument/2006/relationships/table" Target="../tables/table107.xml"/><Relationship Id="rId93" Type="http://schemas.openxmlformats.org/officeDocument/2006/relationships/table" Target="../tables/table128.xml"/><Relationship Id="rId189" Type="http://schemas.openxmlformats.org/officeDocument/2006/relationships/table" Target="../tables/table224.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69.xml"/><Relationship Id="rId3" Type="http://schemas.openxmlformats.org/officeDocument/2006/relationships/table" Target="../tables/table264.xml"/><Relationship Id="rId7" Type="http://schemas.openxmlformats.org/officeDocument/2006/relationships/table" Target="../tables/table268.xml"/><Relationship Id="rId2" Type="http://schemas.openxmlformats.org/officeDocument/2006/relationships/table" Target="../tables/table263.xml"/><Relationship Id="rId1" Type="http://schemas.openxmlformats.org/officeDocument/2006/relationships/drawing" Target="../drawings/drawing2.xml"/><Relationship Id="rId6" Type="http://schemas.openxmlformats.org/officeDocument/2006/relationships/table" Target="../tables/table267.xml"/><Relationship Id="rId11" Type="http://schemas.openxmlformats.org/officeDocument/2006/relationships/table" Target="../tables/table272.xml"/><Relationship Id="rId5" Type="http://schemas.openxmlformats.org/officeDocument/2006/relationships/table" Target="../tables/table266.xml"/><Relationship Id="rId10" Type="http://schemas.openxmlformats.org/officeDocument/2006/relationships/table" Target="../tables/table271.xml"/><Relationship Id="rId4" Type="http://schemas.openxmlformats.org/officeDocument/2006/relationships/table" Target="../tables/table265.xml"/><Relationship Id="rId9" Type="http://schemas.openxmlformats.org/officeDocument/2006/relationships/table" Target="../tables/table270.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79.xml"/><Relationship Id="rId3" Type="http://schemas.openxmlformats.org/officeDocument/2006/relationships/table" Target="../tables/table274.xml"/><Relationship Id="rId7" Type="http://schemas.openxmlformats.org/officeDocument/2006/relationships/table" Target="../tables/table278.xml"/><Relationship Id="rId2" Type="http://schemas.openxmlformats.org/officeDocument/2006/relationships/table" Target="../tables/table273.xml"/><Relationship Id="rId1" Type="http://schemas.openxmlformats.org/officeDocument/2006/relationships/drawing" Target="../drawings/drawing3.xml"/><Relationship Id="rId6" Type="http://schemas.openxmlformats.org/officeDocument/2006/relationships/table" Target="../tables/table277.xml"/><Relationship Id="rId5" Type="http://schemas.openxmlformats.org/officeDocument/2006/relationships/table" Target="../tables/table276.xml"/><Relationship Id="rId10" Type="http://schemas.openxmlformats.org/officeDocument/2006/relationships/table" Target="../tables/table281.xml"/><Relationship Id="rId4" Type="http://schemas.openxmlformats.org/officeDocument/2006/relationships/table" Target="../tables/table275.xml"/><Relationship Id="rId9" Type="http://schemas.openxmlformats.org/officeDocument/2006/relationships/table" Target="../tables/table280.xml"/></Relationships>
</file>

<file path=xl/worksheets/_rels/sheet5.xml.rels><?xml version="1.0" encoding="UTF-8" standalone="yes"?>
<Relationships xmlns="http://schemas.openxmlformats.org/package/2006/relationships"><Relationship Id="rId13" Type="http://schemas.openxmlformats.org/officeDocument/2006/relationships/table" Target="../tables/table292.xml"/><Relationship Id="rId18" Type="http://schemas.openxmlformats.org/officeDocument/2006/relationships/table" Target="../tables/table297.xml"/><Relationship Id="rId26" Type="http://schemas.openxmlformats.org/officeDocument/2006/relationships/table" Target="../tables/table305.xml"/><Relationship Id="rId39" Type="http://schemas.openxmlformats.org/officeDocument/2006/relationships/table" Target="../tables/table318.xml"/><Relationship Id="rId21" Type="http://schemas.openxmlformats.org/officeDocument/2006/relationships/table" Target="../tables/table300.xml"/><Relationship Id="rId34" Type="http://schemas.openxmlformats.org/officeDocument/2006/relationships/table" Target="../tables/table313.xml"/><Relationship Id="rId42" Type="http://schemas.openxmlformats.org/officeDocument/2006/relationships/table" Target="../tables/table321.xml"/><Relationship Id="rId47" Type="http://schemas.openxmlformats.org/officeDocument/2006/relationships/table" Target="../tables/table326.xml"/><Relationship Id="rId50" Type="http://schemas.openxmlformats.org/officeDocument/2006/relationships/table" Target="../tables/table329.xml"/><Relationship Id="rId7" Type="http://schemas.openxmlformats.org/officeDocument/2006/relationships/table" Target="../tables/table286.xml"/><Relationship Id="rId2" Type="http://schemas.openxmlformats.org/officeDocument/2006/relationships/drawing" Target="../drawings/drawing4.xml"/><Relationship Id="rId16" Type="http://schemas.openxmlformats.org/officeDocument/2006/relationships/table" Target="../tables/table295.xml"/><Relationship Id="rId29" Type="http://schemas.openxmlformats.org/officeDocument/2006/relationships/table" Target="../tables/table308.xml"/><Relationship Id="rId11" Type="http://schemas.openxmlformats.org/officeDocument/2006/relationships/table" Target="../tables/table290.xml"/><Relationship Id="rId24" Type="http://schemas.openxmlformats.org/officeDocument/2006/relationships/table" Target="../tables/table303.xml"/><Relationship Id="rId32" Type="http://schemas.openxmlformats.org/officeDocument/2006/relationships/table" Target="../tables/table311.xml"/><Relationship Id="rId37" Type="http://schemas.openxmlformats.org/officeDocument/2006/relationships/table" Target="../tables/table316.xml"/><Relationship Id="rId40" Type="http://schemas.openxmlformats.org/officeDocument/2006/relationships/table" Target="../tables/table319.xml"/><Relationship Id="rId45" Type="http://schemas.openxmlformats.org/officeDocument/2006/relationships/table" Target="../tables/table324.xml"/><Relationship Id="rId5" Type="http://schemas.openxmlformats.org/officeDocument/2006/relationships/table" Target="../tables/table284.xml"/><Relationship Id="rId15" Type="http://schemas.openxmlformats.org/officeDocument/2006/relationships/table" Target="../tables/table294.xml"/><Relationship Id="rId23" Type="http://schemas.openxmlformats.org/officeDocument/2006/relationships/table" Target="../tables/table302.xml"/><Relationship Id="rId28" Type="http://schemas.openxmlformats.org/officeDocument/2006/relationships/table" Target="../tables/table307.xml"/><Relationship Id="rId36" Type="http://schemas.openxmlformats.org/officeDocument/2006/relationships/table" Target="../tables/table315.xml"/><Relationship Id="rId49" Type="http://schemas.openxmlformats.org/officeDocument/2006/relationships/table" Target="../tables/table328.xml"/><Relationship Id="rId10" Type="http://schemas.openxmlformats.org/officeDocument/2006/relationships/table" Target="../tables/table289.xml"/><Relationship Id="rId19" Type="http://schemas.openxmlformats.org/officeDocument/2006/relationships/table" Target="../tables/table298.xml"/><Relationship Id="rId31" Type="http://schemas.openxmlformats.org/officeDocument/2006/relationships/table" Target="../tables/table310.xml"/><Relationship Id="rId44" Type="http://schemas.openxmlformats.org/officeDocument/2006/relationships/table" Target="../tables/table323.xml"/><Relationship Id="rId4" Type="http://schemas.openxmlformats.org/officeDocument/2006/relationships/table" Target="../tables/table283.xml"/><Relationship Id="rId9" Type="http://schemas.openxmlformats.org/officeDocument/2006/relationships/table" Target="../tables/table288.xml"/><Relationship Id="rId14" Type="http://schemas.openxmlformats.org/officeDocument/2006/relationships/table" Target="../tables/table293.xml"/><Relationship Id="rId22" Type="http://schemas.openxmlformats.org/officeDocument/2006/relationships/table" Target="../tables/table301.xml"/><Relationship Id="rId27" Type="http://schemas.openxmlformats.org/officeDocument/2006/relationships/table" Target="../tables/table306.xml"/><Relationship Id="rId30" Type="http://schemas.openxmlformats.org/officeDocument/2006/relationships/table" Target="../tables/table309.xml"/><Relationship Id="rId35" Type="http://schemas.openxmlformats.org/officeDocument/2006/relationships/table" Target="../tables/table314.xml"/><Relationship Id="rId43" Type="http://schemas.openxmlformats.org/officeDocument/2006/relationships/table" Target="../tables/table322.xml"/><Relationship Id="rId48" Type="http://schemas.openxmlformats.org/officeDocument/2006/relationships/table" Target="../tables/table327.xml"/><Relationship Id="rId8" Type="http://schemas.openxmlformats.org/officeDocument/2006/relationships/table" Target="../tables/table287.xml"/><Relationship Id="rId51" Type="http://schemas.openxmlformats.org/officeDocument/2006/relationships/table" Target="../tables/table330.xml"/><Relationship Id="rId3" Type="http://schemas.openxmlformats.org/officeDocument/2006/relationships/table" Target="../tables/table282.xml"/><Relationship Id="rId12" Type="http://schemas.openxmlformats.org/officeDocument/2006/relationships/table" Target="../tables/table291.xml"/><Relationship Id="rId17" Type="http://schemas.openxmlformats.org/officeDocument/2006/relationships/table" Target="../tables/table296.xml"/><Relationship Id="rId25" Type="http://schemas.openxmlformats.org/officeDocument/2006/relationships/table" Target="../tables/table304.xml"/><Relationship Id="rId33" Type="http://schemas.openxmlformats.org/officeDocument/2006/relationships/table" Target="../tables/table312.xml"/><Relationship Id="rId38" Type="http://schemas.openxmlformats.org/officeDocument/2006/relationships/table" Target="../tables/table317.xml"/><Relationship Id="rId46" Type="http://schemas.openxmlformats.org/officeDocument/2006/relationships/table" Target="../tables/table325.xml"/><Relationship Id="rId20" Type="http://schemas.openxmlformats.org/officeDocument/2006/relationships/table" Target="../tables/table299.xml"/><Relationship Id="rId41" Type="http://schemas.openxmlformats.org/officeDocument/2006/relationships/table" Target="../tables/table320.xml"/><Relationship Id="rId1" Type="http://schemas.openxmlformats.org/officeDocument/2006/relationships/printerSettings" Target="../printerSettings/printerSettings2.bin"/><Relationship Id="rId6" Type="http://schemas.openxmlformats.org/officeDocument/2006/relationships/table" Target="../tables/table285.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6.xml"/><Relationship Id="rId13" Type="http://schemas.openxmlformats.org/officeDocument/2006/relationships/table" Target="../tables/table341.xml"/><Relationship Id="rId3" Type="http://schemas.openxmlformats.org/officeDocument/2006/relationships/table" Target="../tables/table331.xml"/><Relationship Id="rId7" Type="http://schemas.openxmlformats.org/officeDocument/2006/relationships/table" Target="../tables/table335.xml"/><Relationship Id="rId12" Type="http://schemas.openxmlformats.org/officeDocument/2006/relationships/table" Target="../tables/table340.xml"/><Relationship Id="rId17" Type="http://schemas.openxmlformats.org/officeDocument/2006/relationships/table" Target="../tables/table345.xml"/><Relationship Id="rId2" Type="http://schemas.openxmlformats.org/officeDocument/2006/relationships/drawing" Target="../drawings/drawing5.xml"/><Relationship Id="rId16" Type="http://schemas.openxmlformats.org/officeDocument/2006/relationships/table" Target="../tables/table344.xml"/><Relationship Id="rId1" Type="http://schemas.openxmlformats.org/officeDocument/2006/relationships/printerSettings" Target="../printerSettings/printerSettings3.bin"/><Relationship Id="rId6" Type="http://schemas.openxmlformats.org/officeDocument/2006/relationships/table" Target="../tables/table334.xml"/><Relationship Id="rId11" Type="http://schemas.openxmlformats.org/officeDocument/2006/relationships/table" Target="../tables/table339.xml"/><Relationship Id="rId5" Type="http://schemas.openxmlformats.org/officeDocument/2006/relationships/table" Target="../tables/table333.xml"/><Relationship Id="rId15" Type="http://schemas.openxmlformats.org/officeDocument/2006/relationships/table" Target="../tables/table343.xml"/><Relationship Id="rId10" Type="http://schemas.openxmlformats.org/officeDocument/2006/relationships/table" Target="../tables/table338.xml"/><Relationship Id="rId4" Type="http://schemas.openxmlformats.org/officeDocument/2006/relationships/table" Target="../tables/table332.xml"/><Relationship Id="rId9" Type="http://schemas.openxmlformats.org/officeDocument/2006/relationships/table" Target="../tables/table337.xml"/><Relationship Id="rId14" Type="http://schemas.openxmlformats.org/officeDocument/2006/relationships/table" Target="../tables/table34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51.xml"/><Relationship Id="rId13" Type="http://schemas.openxmlformats.org/officeDocument/2006/relationships/table" Target="../tables/table356.xml"/><Relationship Id="rId3" Type="http://schemas.openxmlformats.org/officeDocument/2006/relationships/table" Target="../tables/table346.xml"/><Relationship Id="rId7" Type="http://schemas.openxmlformats.org/officeDocument/2006/relationships/table" Target="../tables/table350.xml"/><Relationship Id="rId12" Type="http://schemas.openxmlformats.org/officeDocument/2006/relationships/table" Target="../tables/table355.xml"/><Relationship Id="rId17" Type="http://schemas.openxmlformats.org/officeDocument/2006/relationships/table" Target="../tables/table360.xml"/><Relationship Id="rId2" Type="http://schemas.openxmlformats.org/officeDocument/2006/relationships/drawing" Target="../drawings/drawing6.xml"/><Relationship Id="rId16" Type="http://schemas.openxmlformats.org/officeDocument/2006/relationships/table" Target="../tables/table359.xml"/><Relationship Id="rId1" Type="http://schemas.openxmlformats.org/officeDocument/2006/relationships/printerSettings" Target="../printerSettings/printerSettings4.bin"/><Relationship Id="rId6" Type="http://schemas.openxmlformats.org/officeDocument/2006/relationships/table" Target="../tables/table349.xml"/><Relationship Id="rId11" Type="http://schemas.openxmlformats.org/officeDocument/2006/relationships/table" Target="../tables/table354.xml"/><Relationship Id="rId5" Type="http://schemas.openxmlformats.org/officeDocument/2006/relationships/table" Target="../tables/table348.xml"/><Relationship Id="rId15" Type="http://schemas.openxmlformats.org/officeDocument/2006/relationships/table" Target="../tables/table358.xml"/><Relationship Id="rId10" Type="http://schemas.openxmlformats.org/officeDocument/2006/relationships/table" Target="../tables/table353.xml"/><Relationship Id="rId4" Type="http://schemas.openxmlformats.org/officeDocument/2006/relationships/table" Target="../tables/table347.xml"/><Relationship Id="rId9" Type="http://schemas.openxmlformats.org/officeDocument/2006/relationships/table" Target="../tables/table352.xml"/><Relationship Id="rId14" Type="http://schemas.openxmlformats.org/officeDocument/2006/relationships/table" Target="../tables/table35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366.xml"/><Relationship Id="rId13" Type="http://schemas.openxmlformats.org/officeDocument/2006/relationships/table" Target="../tables/table371.xml"/><Relationship Id="rId18" Type="http://schemas.openxmlformats.org/officeDocument/2006/relationships/table" Target="../tables/table376.xml"/><Relationship Id="rId26" Type="http://schemas.openxmlformats.org/officeDocument/2006/relationships/table" Target="../tables/table384.xml"/><Relationship Id="rId3" Type="http://schemas.openxmlformats.org/officeDocument/2006/relationships/table" Target="../tables/table361.xml"/><Relationship Id="rId21" Type="http://schemas.openxmlformats.org/officeDocument/2006/relationships/table" Target="../tables/table379.xml"/><Relationship Id="rId7" Type="http://schemas.openxmlformats.org/officeDocument/2006/relationships/table" Target="../tables/table365.xml"/><Relationship Id="rId12" Type="http://schemas.openxmlformats.org/officeDocument/2006/relationships/table" Target="../tables/table370.xml"/><Relationship Id="rId17" Type="http://schemas.openxmlformats.org/officeDocument/2006/relationships/table" Target="../tables/table375.xml"/><Relationship Id="rId25" Type="http://schemas.openxmlformats.org/officeDocument/2006/relationships/table" Target="../tables/table383.xml"/><Relationship Id="rId2" Type="http://schemas.openxmlformats.org/officeDocument/2006/relationships/drawing" Target="../drawings/drawing7.xml"/><Relationship Id="rId16" Type="http://schemas.openxmlformats.org/officeDocument/2006/relationships/table" Target="../tables/table374.xml"/><Relationship Id="rId20" Type="http://schemas.openxmlformats.org/officeDocument/2006/relationships/table" Target="../tables/table378.xml"/><Relationship Id="rId1" Type="http://schemas.openxmlformats.org/officeDocument/2006/relationships/printerSettings" Target="../printerSettings/printerSettings5.bin"/><Relationship Id="rId6" Type="http://schemas.openxmlformats.org/officeDocument/2006/relationships/table" Target="../tables/table364.xml"/><Relationship Id="rId11" Type="http://schemas.openxmlformats.org/officeDocument/2006/relationships/table" Target="../tables/table369.xml"/><Relationship Id="rId24" Type="http://schemas.openxmlformats.org/officeDocument/2006/relationships/table" Target="../tables/table382.xml"/><Relationship Id="rId5" Type="http://schemas.openxmlformats.org/officeDocument/2006/relationships/table" Target="../tables/table363.xml"/><Relationship Id="rId15" Type="http://schemas.openxmlformats.org/officeDocument/2006/relationships/table" Target="../tables/table373.xml"/><Relationship Id="rId23" Type="http://schemas.openxmlformats.org/officeDocument/2006/relationships/table" Target="../tables/table381.xml"/><Relationship Id="rId10" Type="http://schemas.openxmlformats.org/officeDocument/2006/relationships/table" Target="../tables/table368.xml"/><Relationship Id="rId19" Type="http://schemas.openxmlformats.org/officeDocument/2006/relationships/table" Target="../tables/table377.xml"/><Relationship Id="rId4" Type="http://schemas.openxmlformats.org/officeDocument/2006/relationships/table" Target="../tables/table362.xml"/><Relationship Id="rId9" Type="http://schemas.openxmlformats.org/officeDocument/2006/relationships/table" Target="../tables/table367.xml"/><Relationship Id="rId14" Type="http://schemas.openxmlformats.org/officeDocument/2006/relationships/table" Target="../tables/table372.xml"/><Relationship Id="rId22" Type="http://schemas.openxmlformats.org/officeDocument/2006/relationships/table" Target="../tables/table380.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90.xml"/><Relationship Id="rId3" Type="http://schemas.openxmlformats.org/officeDocument/2006/relationships/table" Target="../tables/table385.xml"/><Relationship Id="rId7" Type="http://schemas.openxmlformats.org/officeDocument/2006/relationships/table" Target="../tables/table389.xml"/><Relationship Id="rId2" Type="http://schemas.openxmlformats.org/officeDocument/2006/relationships/drawing" Target="../drawings/drawing8.xml"/><Relationship Id="rId1" Type="http://schemas.openxmlformats.org/officeDocument/2006/relationships/printerSettings" Target="../printerSettings/printerSettings6.bin"/><Relationship Id="rId6" Type="http://schemas.openxmlformats.org/officeDocument/2006/relationships/table" Target="../tables/table388.xml"/><Relationship Id="rId5" Type="http://schemas.openxmlformats.org/officeDocument/2006/relationships/table" Target="../tables/table387.xml"/><Relationship Id="rId4" Type="http://schemas.openxmlformats.org/officeDocument/2006/relationships/table" Target="../tables/table38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96.xml"/><Relationship Id="rId13" Type="http://schemas.openxmlformats.org/officeDocument/2006/relationships/table" Target="../tables/table401.xml"/><Relationship Id="rId18" Type="http://schemas.openxmlformats.org/officeDocument/2006/relationships/table" Target="../tables/table406.xml"/><Relationship Id="rId3" Type="http://schemas.openxmlformats.org/officeDocument/2006/relationships/table" Target="../tables/table391.xml"/><Relationship Id="rId21" Type="http://schemas.openxmlformats.org/officeDocument/2006/relationships/table" Target="../tables/table409.xml"/><Relationship Id="rId7" Type="http://schemas.openxmlformats.org/officeDocument/2006/relationships/table" Target="../tables/table395.xml"/><Relationship Id="rId12" Type="http://schemas.openxmlformats.org/officeDocument/2006/relationships/table" Target="../tables/table400.xml"/><Relationship Id="rId17" Type="http://schemas.openxmlformats.org/officeDocument/2006/relationships/table" Target="../tables/table405.xml"/><Relationship Id="rId2" Type="http://schemas.openxmlformats.org/officeDocument/2006/relationships/drawing" Target="../drawings/drawing9.xml"/><Relationship Id="rId16" Type="http://schemas.openxmlformats.org/officeDocument/2006/relationships/table" Target="../tables/table404.xml"/><Relationship Id="rId20" Type="http://schemas.openxmlformats.org/officeDocument/2006/relationships/table" Target="../tables/table408.xml"/><Relationship Id="rId1" Type="http://schemas.openxmlformats.org/officeDocument/2006/relationships/printerSettings" Target="../printerSettings/printerSettings7.bin"/><Relationship Id="rId6" Type="http://schemas.openxmlformats.org/officeDocument/2006/relationships/table" Target="../tables/table394.xml"/><Relationship Id="rId11" Type="http://schemas.openxmlformats.org/officeDocument/2006/relationships/table" Target="../tables/table399.xml"/><Relationship Id="rId5" Type="http://schemas.openxmlformats.org/officeDocument/2006/relationships/table" Target="../tables/table393.xml"/><Relationship Id="rId15" Type="http://schemas.openxmlformats.org/officeDocument/2006/relationships/table" Target="../tables/table403.xml"/><Relationship Id="rId23" Type="http://schemas.openxmlformats.org/officeDocument/2006/relationships/table" Target="../tables/table411.xml"/><Relationship Id="rId10" Type="http://schemas.openxmlformats.org/officeDocument/2006/relationships/table" Target="../tables/table398.xml"/><Relationship Id="rId19" Type="http://schemas.openxmlformats.org/officeDocument/2006/relationships/table" Target="../tables/table407.xml"/><Relationship Id="rId4" Type="http://schemas.openxmlformats.org/officeDocument/2006/relationships/table" Target="../tables/table392.xml"/><Relationship Id="rId9" Type="http://schemas.openxmlformats.org/officeDocument/2006/relationships/table" Target="../tables/table397.xml"/><Relationship Id="rId14" Type="http://schemas.openxmlformats.org/officeDocument/2006/relationships/table" Target="../tables/table402.xml"/><Relationship Id="rId22" Type="http://schemas.openxmlformats.org/officeDocument/2006/relationships/table" Target="../tables/table410.xml"/></Relationships>
</file>

<file path=xl/worksheets/_rels/sheet11.xml.rels><?xml version="1.0" encoding="UTF-8" standalone="yes"?>
<Relationships xmlns="http://schemas.openxmlformats.org/package/2006/relationships"><Relationship Id="rId13" Type="http://schemas.openxmlformats.org/officeDocument/2006/relationships/table" Target="../tables/table422.xml"/><Relationship Id="rId18" Type="http://schemas.openxmlformats.org/officeDocument/2006/relationships/table" Target="../tables/table427.xml"/><Relationship Id="rId26" Type="http://schemas.openxmlformats.org/officeDocument/2006/relationships/table" Target="../tables/table435.xml"/><Relationship Id="rId39" Type="http://schemas.openxmlformats.org/officeDocument/2006/relationships/table" Target="../tables/table448.xml"/><Relationship Id="rId21" Type="http://schemas.openxmlformats.org/officeDocument/2006/relationships/table" Target="../tables/table430.xml"/><Relationship Id="rId34" Type="http://schemas.openxmlformats.org/officeDocument/2006/relationships/table" Target="../tables/table443.xml"/><Relationship Id="rId42" Type="http://schemas.openxmlformats.org/officeDocument/2006/relationships/table" Target="../tables/table451.xml"/><Relationship Id="rId7" Type="http://schemas.openxmlformats.org/officeDocument/2006/relationships/table" Target="../tables/table416.xml"/><Relationship Id="rId2" Type="http://schemas.openxmlformats.org/officeDocument/2006/relationships/drawing" Target="../drawings/drawing10.xml"/><Relationship Id="rId16" Type="http://schemas.openxmlformats.org/officeDocument/2006/relationships/table" Target="../tables/table425.xml"/><Relationship Id="rId20" Type="http://schemas.openxmlformats.org/officeDocument/2006/relationships/table" Target="../tables/table429.xml"/><Relationship Id="rId29" Type="http://schemas.openxmlformats.org/officeDocument/2006/relationships/table" Target="../tables/table438.xml"/><Relationship Id="rId41" Type="http://schemas.openxmlformats.org/officeDocument/2006/relationships/table" Target="../tables/table450.xml"/><Relationship Id="rId1" Type="http://schemas.openxmlformats.org/officeDocument/2006/relationships/printerSettings" Target="../printerSettings/printerSettings8.bin"/><Relationship Id="rId6" Type="http://schemas.openxmlformats.org/officeDocument/2006/relationships/table" Target="../tables/table415.xml"/><Relationship Id="rId11" Type="http://schemas.openxmlformats.org/officeDocument/2006/relationships/table" Target="../tables/table420.xml"/><Relationship Id="rId24" Type="http://schemas.openxmlformats.org/officeDocument/2006/relationships/table" Target="../tables/table433.xml"/><Relationship Id="rId32" Type="http://schemas.openxmlformats.org/officeDocument/2006/relationships/table" Target="../tables/table441.xml"/><Relationship Id="rId37" Type="http://schemas.openxmlformats.org/officeDocument/2006/relationships/table" Target="../tables/table446.xml"/><Relationship Id="rId40" Type="http://schemas.openxmlformats.org/officeDocument/2006/relationships/table" Target="../tables/table449.xml"/><Relationship Id="rId5" Type="http://schemas.openxmlformats.org/officeDocument/2006/relationships/table" Target="../tables/table414.xml"/><Relationship Id="rId15" Type="http://schemas.openxmlformats.org/officeDocument/2006/relationships/table" Target="../tables/table424.xml"/><Relationship Id="rId23" Type="http://schemas.openxmlformats.org/officeDocument/2006/relationships/table" Target="../tables/table432.xml"/><Relationship Id="rId28" Type="http://schemas.openxmlformats.org/officeDocument/2006/relationships/table" Target="../tables/table437.xml"/><Relationship Id="rId36" Type="http://schemas.openxmlformats.org/officeDocument/2006/relationships/table" Target="../tables/table445.xml"/><Relationship Id="rId10" Type="http://schemas.openxmlformats.org/officeDocument/2006/relationships/table" Target="../tables/table419.xml"/><Relationship Id="rId19" Type="http://schemas.openxmlformats.org/officeDocument/2006/relationships/table" Target="../tables/table428.xml"/><Relationship Id="rId31" Type="http://schemas.openxmlformats.org/officeDocument/2006/relationships/table" Target="../tables/table440.xml"/><Relationship Id="rId44" Type="http://schemas.openxmlformats.org/officeDocument/2006/relationships/table" Target="../tables/table453.xml"/><Relationship Id="rId4" Type="http://schemas.openxmlformats.org/officeDocument/2006/relationships/table" Target="../tables/table413.xml"/><Relationship Id="rId9" Type="http://schemas.openxmlformats.org/officeDocument/2006/relationships/table" Target="../tables/table418.xml"/><Relationship Id="rId14" Type="http://schemas.openxmlformats.org/officeDocument/2006/relationships/table" Target="../tables/table423.xml"/><Relationship Id="rId22" Type="http://schemas.openxmlformats.org/officeDocument/2006/relationships/table" Target="../tables/table431.xml"/><Relationship Id="rId27" Type="http://schemas.openxmlformats.org/officeDocument/2006/relationships/table" Target="../tables/table436.xml"/><Relationship Id="rId30" Type="http://schemas.openxmlformats.org/officeDocument/2006/relationships/table" Target="../tables/table439.xml"/><Relationship Id="rId35" Type="http://schemas.openxmlformats.org/officeDocument/2006/relationships/table" Target="../tables/table444.xml"/><Relationship Id="rId43" Type="http://schemas.openxmlformats.org/officeDocument/2006/relationships/table" Target="../tables/table452.xml"/><Relationship Id="rId8" Type="http://schemas.openxmlformats.org/officeDocument/2006/relationships/table" Target="../tables/table417.xml"/><Relationship Id="rId3" Type="http://schemas.openxmlformats.org/officeDocument/2006/relationships/table" Target="../tables/table412.xml"/><Relationship Id="rId12" Type="http://schemas.openxmlformats.org/officeDocument/2006/relationships/table" Target="../tables/table421.xml"/><Relationship Id="rId17" Type="http://schemas.openxmlformats.org/officeDocument/2006/relationships/table" Target="../tables/table426.xml"/><Relationship Id="rId25" Type="http://schemas.openxmlformats.org/officeDocument/2006/relationships/table" Target="../tables/table434.xml"/><Relationship Id="rId33" Type="http://schemas.openxmlformats.org/officeDocument/2006/relationships/table" Target="../tables/table442.xml"/><Relationship Id="rId38" Type="http://schemas.openxmlformats.org/officeDocument/2006/relationships/table" Target="../tables/table447.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460.xml"/><Relationship Id="rId13" Type="http://schemas.openxmlformats.org/officeDocument/2006/relationships/table" Target="../tables/table465.xml"/><Relationship Id="rId18" Type="http://schemas.openxmlformats.org/officeDocument/2006/relationships/table" Target="../tables/table470.xml"/><Relationship Id="rId3" Type="http://schemas.openxmlformats.org/officeDocument/2006/relationships/table" Target="../tables/table455.xml"/><Relationship Id="rId7" Type="http://schemas.openxmlformats.org/officeDocument/2006/relationships/table" Target="../tables/table459.xml"/><Relationship Id="rId12" Type="http://schemas.openxmlformats.org/officeDocument/2006/relationships/table" Target="../tables/table464.xml"/><Relationship Id="rId17" Type="http://schemas.openxmlformats.org/officeDocument/2006/relationships/table" Target="../tables/table469.xml"/><Relationship Id="rId2" Type="http://schemas.openxmlformats.org/officeDocument/2006/relationships/table" Target="../tables/table454.xml"/><Relationship Id="rId16" Type="http://schemas.openxmlformats.org/officeDocument/2006/relationships/table" Target="../tables/table468.xml"/><Relationship Id="rId1" Type="http://schemas.openxmlformats.org/officeDocument/2006/relationships/drawing" Target="../drawings/drawing11.xml"/><Relationship Id="rId6" Type="http://schemas.openxmlformats.org/officeDocument/2006/relationships/table" Target="../tables/table458.xml"/><Relationship Id="rId11" Type="http://schemas.openxmlformats.org/officeDocument/2006/relationships/table" Target="../tables/table463.xml"/><Relationship Id="rId5" Type="http://schemas.openxmlformats.org/officeDocument/2006/relationships/table" Target="../tables/table457.xml"/><Relationship Id="rId15" Type="http://schemas.openxmlformats.org/officeDocument/2006/relationships/table" Target="../tables/table467.xml"/><Relationship Id="rId10" Type="http://schemas.openxmlformats.org/officeDocument/2006/relationships/table" Target="../tables/table462.xml"/><Relationship Id="rId19" Type="http://schemas.openxmlformats.org/officeDocument/2006/relationships/table" Target="../tables/table471.xml"/><Relationship Id="rId4" Type="http://schemas.openxmlformats.org/officeDocument/2006/relationships/table" Target="../tables/table456.xml"/><Relationship Id="rId9" Type="http://schemas.openxmlformats.org/officeDocument/2006/relationships/table" Target="../tables/table461.xml"/><Relationship Id="rId14" Type="http://schemas.openxmlformats.org/officeDocument/2006/relationships/table" Target="../tables/table466.xml"/></Relationships>
</file>

<file path=xl/worksheets/_rels/sheet13.xml.rels><?xml version="1.0" encoding="UTF-8" standalone="yes"?>
<Relationships xmlns="http://schemas.openxmlformats.org/package/2006/relationships"><Relationship Id="rId13" Type="http://schemas.openxmlformats.org/officeDocument/2006/relationships/table" Target="../tables/table482.xml"/><Relationship Id="rId18" Type="http://schemas.openxmlformats.org/officeDocument/2006/relationships/table" Target="../tables/table487.xml"/><Relationship Id="rId26" Type="http://schemas.openxmlformats.org/officeDocument/2006/relationships/table" Target="../tables/table495.xml"/><Relationship Id="rId3" Type="http://schemas.openxmlformats.org/officeDocument/2006/relationships/table" Target="../tables/table472.xml"/><Relationship Id="rId21" Type="http://schemas.openxmlformats.org/officeDocument/2006/relationships/table" Target="../tables/table490.xml"/><Relationship Id="rId34" Type="http://schemas.openxmlformats.org/officeDocument/2006/relationships/table" Target="../tables/table503.xml"/><Relationship Id="rId7" Type="http://schemas.openxmlformats.org/officeDocument/2006/relationships/table" Target="../tables/table476.xml"/><Relationship Id="rId12" Type="http://schemas.openxmlformats.org/officeDocument/2006/relationships/table" Target="../tables/table481.xml"/><Relationship Id="rId17" Type="http://schemas.openxmlformats.org/officeDocument/2006/relationships/table" Target="../tables/table486.xml"/><Relationship Id="rId25" Type="http://schemas.openxmlformats.org/officeDocument/2006/relationships/table" Target="../tables/table494.xml"/><Relationship Id="rId33" Type="http://schemas.openxmlformats.org/officeDocument/2006/relationships/table" Target="../tables/table502.xml"/><Relationship Id="rId2" Type="http://schemas.openxmlformats.org/officeDocument/2006/relationships/drawing" Target="../drawings/drawing12.xml"/><Relationship Id="rId16" Type="http://schemas.openxmlformats.org/officeDocument/2006/relationships/table" Target="../tables/table485.xml"/><Relationship Id="rId20" Type="http://schemas.openxmlformats.org/officeDocument/2006/relationships/table" Target="../tables/table489.xml"/><Relationship Id="rId29" Type="http://schemas.openxmlformats.org/officeDocument/2006/relationships/table" Target="../tables/table498.xml"/><Relationship Id="rId1" Type="http://schemas.openxmlformats.org/officeDocument/2006/relationships/printerSettings" Target="../printerSettings/printerSettings9.bin"/><Relationship Id="rId6" Type="http://schemas.openxmlformats.org/officeDocument/2006/relationships/table" Target="../tables/table475.xml"/><Relationship Id="rId11" Type="http://schemas.openxmlformats.org/officeDocument/2006/relationships/table" Target="../tables/table480.xml"/><Relationship Id="rId24" Type="http://schemas.openxmlformats.org/officeDocument/2006/relationships/table" Target="../tables/table493.xml"/><Relationship Id="rId32" Type="http://schemas.openxmlformats.org/officeDocument/2006/relationships/table" Target="../tables/table501.xml"/><Relationship Id="rId5" Type="http://schemas.openxmlformats.org/officeDocument/2006/relationships/table" Target="../tables/table474.xml"/><Relationship Id="rId15" Type="http://schemas.openxmlformats.org/officeDocument/2006/relationships/table" Target="../tables/table484.xml"/><Relationship Id="rId23" Type="http://schemas.openxmlformats.org/officeDocument/2006/relationships/table" Target="../tables/table492.xml"/><Relationship Id="rId28" Type="http://schemas.openxmlformats.org/officeDocument/2006/relationships/table" Target="../tables/table497.xml"/><Relationship Id="rId10" Type="http://schemas.openxmlformats.org/officeDocument/2006/relationships/table" Target="../tables/table479.xml"/><Relationship Id="rId19" Type="http://schemas.openxmlformats.org/officeDocument/2006/relationships/table" Target="../tables/table488.xml"/><Relationship Id="rId31" Type="http://schemas.openxmlformats.org/officeDocument/2006/relationships/table" Target="../tables/table500.xml"/><Relationship Id="rId4" Type="http://schemas.openxmlformats.org/officeDocument/2006/relationships/table" Target="../tables/table473.xml"/><Relationship Id="rId9" Type="http://schemas.openxmlformats.org/officeDocument/2006/relationships/table" Target="../tables/table478.xml"/><Relationship Id="rId14" Type="http://schemas.openxmlformats.org/officeDocument/2006/relationships/table" Target="../tables/table483.xml"/><Relationship Id="rId22" Type="http://schemas.openxmlformats.org/officeDocument/2006/relationships/table" Target="../tables/table491.xml"/><Relationship Id="rId27" Type="http://schemas.openxmlformats.org/officeDocument/2006/relationships/table" Target="../tables/table496.xml"/><Relationship Id="rId30" Type="http://schemas.openxmlformats.org/officeDocument/2006/relationships/table" Target="../tables/table499.xml"/><Relationship Id="rId8" Type="http://schemas.openxmlformats.org/officeDocument/2006/relationships/table" Target="../tables/table47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504.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6" Type="http://schemas.openxmlformats.org/officeDocument/2006/relationships/table" Target="../tables/table528.xml"/><Relationship Id="rId21" Type="http://schemas.openxmlformats.org/officeDocument/2006/relationships/table" Target="../tables/table523.xml"/><Relationship Id="rId42" Type="http://schemas.openxmlformats.org/officeDocument/2006/relationships/table" Target="../tables/table544.xml"/><Relationship Id="rId47" Type="http://schemas.openxmlformats.org/officeDocument/2006/relationships/table" Target="../tables/table549.xml"/><Relationship Id="rId63" Type="http://schemas.openxmlformats.org/officeDocument/2006/relationships/table" Target="../tables/table565.xml"/><Relationship Id="rId68" Type="http://schemas.openxmlformats.org/officeDocument/2006/relationships/table" Target="../tables/table570.xml"/><Relationship Id="rId84" Type="http://schemas.openxmlformats.org/officeDocument/2006/relationships/table" Target="../tables/table586.xml"/><Relationship Id="rId89" Type="http://schemas.openxmlformats.org/officeDocument/2006/relationships/table" Target="../tables/table591.xml"/><Relationship Id="rId16" Type="http://schemas.openxmlformats.org/officeDocument/2006/relationships/table" Target="../tables/table518.xml"/><Relationship Id="rId11" Type="http://schemas.openxmlformats.org/officeDocument/2006/relationships/table" Target="../tables/table513.xml"/><Relationship Id="rId32" Type="http://schemas.openxmlformats.org/officeDocument/2006/relationships/table" Target="../tables/table534.xml"/><Relationship Id="rId37" Type="http://schemas.openxmlformats.org/officeDocument/2006/relationships/table" Target="../tables/table539.xml"/><Relationship Id="rId53" Type="http://schemas.openxmlformats.org/officeDocument/2006/relationships/table" Target="../tables/table555.xml"/><Relationship Id="rId58" Type="http://schemas.openxmlformats.org/officeDocument/2006/relationships/table" Target="../tables/table560.xml"/><Relationship Id="rId74" Type="http://schemas.openxmlformats.org/officeDocument/2006/relationships/table" Target="../tables/table576.xml"/><Relationship Id="rId79" Type="http://schemas.openxmlformats.org/officeDocument/2006/relationships/table" Target="../tables/table581.xml"/><Relationship Id="rId5" Type="http://schemas.openxmlformats.org/officeDocument/2006/relationships/table" Target="../tables/table507.xml"/><Relationship Id="rId90" Type="http://schemas.openxmlformats.org/officeDocument/2006/relationships/table" Target="../tables/table592.xml"/><Relationship Id="rId95" Type="http://schemas.openxmlformats.org/officeDocument/2006/relationships/table" Target="../tables/table597.xml"/><Relationship Id="rId22" Type="http://schemas.openxmlformats.org/officeDocument/2006/relationships/table" Target="../tables/table524.xml"/><Relationship Id="rId27" Type="http://schemas.openxmlformats.org/officeDocument/2006/relationships/table" Target="../tables/table529.xml"/><Relationship Id="rId43" Type="http://schemas.openxmlformats.org/officeDocument/2006/relationships/table" Target="../tables/table545.xml"/><Relationship Id="rId48" Type="http://schemas.openxmlformats.org/officeDocument/2006/relationships/table" Target="../tables/table550.xml"/><Relationship Id="rId64" Type="http://schemas.openxmlformats.org/officeDocument/2006/relationships/table" Target="../tables/table566.xml"/><Relationship Id="rId69" Type="http://schemas.openxmlformats.org/officeDocument/2006/relationships/table" Target="../tables/table571.xml"/><Relationship Id="rId8" Type="http://schemas.openxmlformats.org/officeDocument/2006/relationships/table" Target="../tables/table510.xml"/><Relationship Id="rId51" Type="http://schemas.openxmlformats.org/officeDocument/2006/relationships/table" Target="../tables/table553.xml"/><Relationship Id="rId72" Type="http://schemas.openxmlformats.org/officeDocument/2006/relationships/table" Target="../tables/table574.xml"/><Relationship Id="rId80" Type="http://schemas.openxmlformats.org/officeDocument/2006/relationships/table" Target="../tables/table582.xml"/><Relationship Id="rId85" Type="http://schemas.openxmlformats.org/officeDocument/2006/relationships/table" Target="../tables/table587.xml"/><Relationship Id="rId93" Type="http://schemas.openxmlformats.org/officeDocument/2006/relationships/table" Target="../tables/table595.xml"/><Relationship Id="rId3" Type="http://schemas.openxmlformats.org/officeDocument/2006/relationships/table" Target="../tables/table505.xml"/><Relationship Id="rId12" Type="http://schemas.openxmlformats.org/officeDocument/2006/relationships/table" Target="../tables/table514.xml"/><Relationship Id="rId17" Type="http://schemas.openxmlformats.org/officeDocument/2006/relationships/table" Target="../tables/table519.xml"/><Relationship Id="rId25" Type="http://schemas.openxmlformats.org/officeDocument/2006/relationships/table" Target="../tables/table527.xml"/><Relationship Id="rId33" Type="http://schemas.openxmlformats.org/officeDocument/2006/relationships/table" Target="../tables/table535.xml"/><Relationship Id="rId38" Type="http://schemas.openxmlformats.org/officeDocument/2006/relationships/table" Target="../tables/table540.xml"/><Relationship Id="rId46" Type="http://schemas.openxmlformats.org/officeDocument/2006/relationships/table" Target="../tables/table548.xml"/><Relationship Id="rId59" Type="http://schemas.openxmlformats.org/officeDocument/2006/relationships/table" Target="../tables/table561.xml"/><Relationship Id="rId67" Type="http://schemas.openxmlformats.org/officeDocument/2006/relationships/table" Target="../tables/table569.xml"/><Relationship Id="rId20" Type="http://schemas.openxmlformats.org/officeDocument/2006/relationships/table" Target="../tables/table522.xml"/><Relationship Id="rId41" Type="http://schemas.openxmlformats.org/officeDocument/2006/relationships/table" Target="../tables/table543.xml"/><Relationship Id="rId54" Type="http://schemas.openxmlformats.org/officeDocument/2006/relationships/table" Target="../tables/table556.xml"/><Relationship Id="rId62" Type="http://schemas.openxmlformats.org/officeDocument/2006/relationships/table" Target="../tables/table564.xml"/><Relationship Id="rId70" Type="http://schemas.openxmlformats.org/officeDocument/2006/relationships/table" Target="../tables/table572.xml"/><Relationship Id="rId75" Type="http://schemas.openxmlformats.org/officeDocument/2006/relationships/table" Target="../tables/table577.xml"/><Relationship Id="rId83" Type="http://schemas.openxmlformats.org/officeDocument/2006/relationships/table" Target="../tables/table585.xml"/><Relationship Id="rId88" Type="http://schemas.openxmlformats.org/officeDocument/2006/relationships/table" Target="../tables/table590.xml"/><Relationship Id="rId91" Type="http://schemas.openxmlformats.org/officeDocument/2006/relationships/table" Target="../tables/table593.xml"/><Relationship Id="rId1" Type="http://schemas.openxmlformats.org/officeDocument/2006/relationships/printerSettings" Target="../printerSettings/printerSettings11.bin"/><Relationship Id="rId6" Type="http://schemas.openxmlformats.org/officeDocument/2006/relationships/table" Target="../tables/table508.xml"/><Relationship Id="rId15" Type="http://schemas.openxmlformats.org/officeDocument/2006/relationships/table" Target="../tables/table517.xml"/><Relationship Id="rId23" Type="http://schemas.openxmlformats.org/officeDocument/2006/relationships/table" Target="../tables/table525.xml"/><Relationship Id="rId28" Type="http://schemas.openxmlformats.org/officeDocument/2006/relationships/table" Target="../tables/table530.xml"/><Relationship Id="rId36" Type="http://schemas.openxmlformats.org/officeDocument/2006/relationships/table" Target="../tables/table538.xml"/><Relationship Id="rId49" Type="http://schemas.openxmlformats.org/officeDocument/2006/relationships/table" Target="../tables/table551.xml"/><Relationship Id="rId57" Type="http://schemas.openxmlformats.org/officeDocument/2006/relationships/table" Target="../tables/table559.xml"/><Relationship Id="rId10" Type="http://schemas.openxmlformats.org/officeDocument/2006/relationships/table" Target="../tables/table512.xml"/><Relationship Id="rId31" Type="http://schemas.openxmlformats.org/officeDocument/2006/relationships/table" Target="../tables/table533.xml"/><Relationship Id="rId44" Type="http://schemas.openxmlformats.org/officeDocument/2006/relationships/table" Target="../tables/table546.xml"/><Relationship Id="rId52" Type="http://schemas.openxmlformats.org/officeDocument/2006/relationships/table" Target="../tables/table554.xml"/><Relationship Id="rId60" Type="http://schemas.openxmlformats.org/officeDocument/2006/relationships/table" Target="../tables/table562.xml"/><Relationship Id="rId65" Type="http://schemas.openxmlformats.org/officeDocument/2006/relationships/table" Target="../tables/table567.xml"/><Relationship Id="rId73" Type="http://schemas.openxmlformats.org/officeDocument/2006/relationships/table" Target="../tables/table575.xml"/><Relationship Id="rId78" Type="http://schemas.openxmlformats.org/officeDocument/2006/relationships/table" Target="../tables/table580.xml"/><Relationship Id="rId81" Type="http://schemas.openxmlformats.org/officeDocument/2006/relationships/table" Target="../tables/table583.xml"/><Relationship Id="rId86" Type="http://schemas.openxmlformats.org/officeDocument/2006/relationships/table" Target="../tables/table588.xml"/><Relationship Id="rId94" Type="http://schemas.openxmlformats.org/officeDocument/2006/relationships/table" Target="../tables/table596.xml"/><Relationship Id="rId4" Type="http://schemas.openxmlformats.org/officeDocument/2006/relationships/table" Target="../tables/table506.xml"/><Relationship Id="rId9" Type="http://schemas.openxmlformats.org/officeDocument/2006/relationships/table" Target="../tables/table511.xml"/><Relationship Id="rId13" Type="http://schemas.openxmlformats.org/officeDocument/2006/relationships/table" Target="../tables/table515.xml"/><Relationship Id="rId18" Type="http://schemas.openxmlformats.org/officeDocument/2006/relationships/table" Target="../tables/table520.xml"/><Relationship Id="rId39" Type="http://schemas.openxmlformats.org/officeDocument/2006/relationships/table" Target="../tables/table541.xml"/><Relationship Id="rId34" Type="http://schemas.openxmlformats.org/officeDocument/2006/relationships/table" Target="../tables/table536.xml"/><Relationship Id="rId50" Type="http://schemas.openxmlformats.org/officeDocument/2006/relationships/table" Target="../tables/table552.xml"/><Relationship Id="rId55" Type="http://schemas.openxmlformats.org/officeDocument/2006/relationships/table" Target="../tables/table557.xml"/><Relationship Id="rId76" Type="http://schemas.openxmlformats.org/officeDocument/2006/relationships/table" Target="../tables/table578.xml"/><Relationship Id="rId7" Type="http://schemas.openxmlformats.org/officeDocument/2006/relationships/table" Target="../tables/table509.xml"/><Relationship Id="rId71" Type="http://schemas.openxmlformats.org/officeDocument/2006/relationships/table" Target="../tables/table573.xml"/><Relationship Id="rId92" Type="http://schemas.openxmlformats.org/officeDocument/2006/relationships/table" Target="../tables/table594.xml"/><Relationship Id="rId2" Type="http://schemas.openxmlformats.org/officeDocument/2006/relationships/drawing" Target="../drawings/drawing13.xml"/><Relationship Id="rId29" Type="http://schemas.openxmlformats.org/officeDocument/2006/relationships/table" Target="../tables/table531.xml"/><Relationship Id="rId24" Type="http://schemas.openxmlformats.org/officeDocument/2006/relationships/table" Target="../tables/table526.xml"/><Relationship Id="rId40" Type="http://schemas.openxmlformats.org/officeDocument/2006/relationships/table" Target="../tables/table542.xml"/><Relationship Id="rId45" Type="http://schemas.openxmlformats.org/officeDocument/2006/relationships/table" Target="../tables/table547.xml"/><Relationship Id="rId66" Type="http://schemas.openxmlformats.org/officeDocument/2006/relationships/table" Target="../tables/table568.xml"/><Relationship Id="rId87" Type="http://schemas.openxmlformats.org/officeDocument/2006/relationships/table" Target="../tables/table589.xml"/><Relationship Id="rId61" Type="http://schemas.openxmlformats.org/officeDocument/2006/relationships/table" Target="../tables/table563.xml"/><Relationship Id="rId82" Type="http://schemas.openxmlformats.org/officeDocument/2006/relationships/table" Target="../tables/table584.xml"/><Relationship Id="rId19" Type="http://schemas.openxmlformats.org/officeDocument/2006/relationships/table" Target="../tables/table521.xml"/><Relationship Id="rId14" Type="http://schemas.openxmlformats.org/officeDocument/2006/relationships/table" Target="../tables/table516.xml"/><Relationship Id="rId30" Type="http://schemas.openxmlformats.org/officeDocument/2006/relationships/table" Target="../tables/table532.xml"/><Relationship Id="rId35" Type="http://schemas.openxmlformats.org/officeDocument/2006/relationships/table" Target="../tables/table537.xml"/><Relationship Id="rId56" Type="http://schemas.openxmlformats.org/officeDocument/2006/relationships/table" Target="../tables/table558.xml"/><Relationship Id="rId77" Type="http://schemas.openxmlformats.org/officeDocument/2006/relationships/table" Target="../tables/table579.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608.xml"/><Relationship Id="rId18" Type="http://schemas.openxmlformats.org/officeDocument/2006/relationships/table" Target="../tables/table613.xml"/><Relationship Id="rId26" Type="http://schemas.openxmlformats.org/officeDocument/2006/relationships/table" Target="../tables/table621.xml"/><Relationship Id="rId39" Type="http://schemas.openxmlformats.org/officeDocument/2006/relationships/table" Target="../tables/table634.xml"/><Relationship Id="rId21" Type="http://schemas.openxmlformats.org/officeDocument/2006/relationships/table" Target="../tables/table616.xml"/><Relationship Id="rId34" Type="http://schemas.openxmlformats.org/officeDocument/2006/relationships/table" Target="../tables/table629.xml"/><Relationship Id="rId42" Type="http://schemas.openxmlformats.org/officeDocument/2006/relationships/table" Target="../tables/table637.xml"/><Relationship Id="rId47" Type="http://schemas.openxmlformats.org/officeDocument/2006/relationships/table" Target="../tables/table642.xml"/><Relationship Id="rId50" Type="http://schemas.openxmlformats.org/officeDocument/2006/relationships/table" Target="../tables/table645.xml"/><Relationship Id="rId7" Type="http://schemas.openxmlformats.org/officeDocument/2006/relationships/table" Target="../tables/table602.xml"/><Relationship Id="rId2" Type="http://schemas.openxmlformats.org/officeDocument/2006/relationships/drawing" Target="../drawings/drawing14.xml"/><Relationship Id="rId16" Type="http://schemas.openxmlformats.org/officeDocument/2006/relationships/table" Target="../tables/table611.xml"/><Relationship Id="rId29" Type="http://schemas.openxmlformats.org/officeDocument/2006/relationships/table" Target="../tables/table624.xml"/><Relationship Id="rId11" Type="http://schemas.openxmlformats.org/officeDocument/2006/relationships/table" Target="../tables/table606.xml"/><Relationship Id="rId24" Type="http://schemas.openxmlformats.org/officeDocument/2006/relationships/table" Target="../tables/table619.xml"/><Relationship Id="rId32" Type="http://schemas.openxmlformats.org/officeDocument/2006/relationships/table" Target="../tables/table627.xml"/><Relationship Id="rId37" Type="http://schemas.openxmlformats.org/officeDocument/2006/relationships/table" Target="../tables/table632.xml"/><Relationship Id="rId40" Type="http://schemas.openxmlformats.org/officeDocument/2006/relationships/table" Target="../tables/table635.xml"/><Relationship Id="rId45" Type="http://schemas.openxmlformats.org/officeDocument/2006/relationships/table" Target="../tables/table640.xml"/><Relationship Id="rId53" Type="http://schemas.openxmlformats.org/officeDocument/2006/relationships/table" Target="../tables/table648.xml"/><Relationship Id="rId5" Type="http://schemas.openxmlformats.org/officeDocument/2006/relationships/table" Target="../tables/table600.xml"/><Relationship Id="rId10" Type="http://schemas.openxmlformats.org/officeDocument/2006/relationships/table" Target="../tables/table605.xml"/><Relationship Id="rId19" Type="http://schemas.openxmlformats.org/officeDocument/2006/relationships/table" Target="../tables/table614.xml"/><Relationship Id="rId31" Type="http://schemas.openxmlformats.org/officeDocument/2006/relationships/table" Target="../tables/table626.xml"/><Relationship Id="rId44" Type="http://schemas.openxmlformats.org/officeDocument/2006/relationships/table" Target="../tables/table639.xml"/><Relationship Id="rId52" Type="http://schemas.openxmlformats.org/officeDocument/2006/relationships/table" Target="../tables/table647.xml"/><Relationship Id="rId4" Type="http://schemas.openxmlformats.org/officeDocument/2006/relationships/table" Target="../tables/table599.xml"/><Relationship Id="rId9" Type="http://schemas.openxmlformats.org/officeDocument/2006/relationships/table" Target="../tables/table604.xml"/><Relationship Id="rId14" Type="http://schemas.openxmlformats.org/officeDocument/2006/relationships/table" Target="../tables/table609.xml"/><Relationship Id="rId22" Type="http://schemas.openxmlformats.org/officeDocument/2006/relationships/table" Target="../tables/table617.xml"/><Relationship Id="rId27" Type="http://schemas.openxmlformats.org/officeDocument/2006/relationships/table" Target="../tables/table622.xml"/><Relationship Id="rId30" Type="http://schemas.openxmlformats.org/officeDocument/2006/relationships/table" Target="../tables/table625.xml"/><Relationship Id="rId35" Type="http://schemas.openxmlformats.org/officeDocument/2006/relationships/table" Target="../tables/table630.xml"/><Relationship Id="rId43" Type="http://schemas.openxmlformats.org/officeDocument/2006/relationships/table" Target="../tables/table638.xml"/><Relationship Id="rId48" Type="http://schemas.openxmlformats.org/officeDocument/2006/relationships/table" Target="../tables/table643.xml"/><Relationship Id="rId8" Type="http://schemas.openxmlformats.org/officeDocument/2006/relationships/table" Target="../tables/table603.xml"/><Relationship Id="rId51" Type="http://schemas.openxmlformats.org/officeDocument/2006/relationships/table" Target="../tables/table646.xml"/><Relationship Id="rId3" Type="http://schemas.openxmlformats.org/officeDocument/2006/relationships/table" Target="../tables/table598.xml"/><Relationship Id="rId12" Type="http://schemas.openxmlformats.org/officeDocument/2006/relationships/table" Target="../tables/table607.xml"/><Relationship Id="rId17" Type="http://schemas.openxmlformats.org/officeDocument/2006/relationships/table" Target="../tables/table612.xml"/><Relationship Id="rId25" Type="http://schemas.openxmlformats.org/officeDocument/2006/relationships/table" Target="../tables/table620.xml"/><Relationship Id="rId33" Type="http://schemas.openxmlformats.org/officeDocument/2006/relationships/table" Target="../tables/table628.xml"/><Relationship Id="rId38" Type="http://schemas.openxmlformats.org/officeDocument/2006/relationships/table" Target="../tables/table633.xml"/><Relationship Id="rId46" Type="http://schemas.openxmlformats.org/officeDocument/2006/relationships/table" Target="../tables/table641.xml"/><Relationship Id="rId20" Type="http://schemas.openxmlformats.org/officeDocument/2006/relationships/table" Target="../tables/table615.xml"/><Relationship Id="rId41" Type="http://schemas.openxmlformats.org/officeDocument/2006/relationships/table" Target="../tables/table636.xml"/><Relationship Id="rId1" Type="http://schemas.openxmlformats.org/officeDocument/2006/relationships/printerSettings" Target="../printerSettings/printerSettings12.bin"/><Relationship Id="rId6" Type="http://schemas.openxmlformats.org/officeDocument/2006/relationships/table" Target="../tables/table601.xml"/><Relationship Id="rId15" Type="http://schemas.openxmlformats.org/officeDocument/2006/relationships/table" Target="../tables/table610.xml"/><Relationship Id="rId23" Type="http://schemas.openxmlformats.org/officeDocument/2006/relationships/table" Target="../tables/table618.xml"/><Relationship Id="rId28" Type="http://schemas.openxmlformats.org/officeDocument/2006/relationships/table" Target="../tables/table623.xml"/><Relationship Id="rId36" Type="http://schemas.openxmlformats.org/officeDocument/2006/relationships/table" Target="../tables/table631.xml"/><Relationship Id="rId49" Type="http://schemas.openxmlformats.org/officeDocument/2006/relationships/table" Target="../tables/table644.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654.xml"/><Relationship Id="rId3" Type="http://schemas.openxmlformats.org/officeDocument/2006/relationships/table" Target="../tables/table649.xml"/><Relationship Id="rId7" Type="http://schemas.openxmlformats.org/officeDocument/2006/relationships/table" Target="../tables/table653.xml"/><Relationship Id="rId12" Type="http://schemas.openxmlformats.org/officeDocument/2006/relationships/table" Target="../tables/table658.xml"/><Relationship Id="rId2" Type="http://schemas.openxmlformats.org/officeDocument/2006/relationships/drawing" Target="../drawings/drawing15.xml"/><Relationship Id="rId1" Type="http://schemas.openxmlformats.org/officeDocument/2006/relationships/printerSettings" Target="../printerSettings/printerSettings13.bin"/><Relationship Id="rId6" Type="http://schemas.openxmlformats.org/officeDocument/2006/relationships/table" Target="../tables/table652.xml"/><Relationship Id="rId11" Type="http://schemas.openxmlformats.org/officeDocument/2006/relationships/table" Target="../tables/table657.xml"/><Relationship Id="rId5" Type="http://schemas.openxmlformats.org/officeDocument/2006/relationships/table" Target="../tables/table651.xml"/><Relationship Id="rId10" Type="http://schemas.openxmlformats.org/officeDocument/2006/relationships/table" Target="../tables/table656.xml"/><Relationship Id="rId4" Type="http://schemas.openxmlformats.org/officeDocument/2006/relationships/table" Target="../tables/table650.xml"/><Relationship Id="rId9" Type="http://schemas.openxmlformats.org/officeDocument/2006/relationships/table" Target="../tables/table65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59.x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table" Target="../tables/table660.xml"/></Relationships>
</file>

<file path=xl/worksheets/_rels/sheet19.xml.rels><?xml version="1.0" encoding="UTF-8" standalone="yes"?>
<Relationships xmlns="http://schemas.openxmlformats.org/package/2006/relationships"><Relationship Id="rId13" Type="http://schemas.openxmlformats.org/officeDocument/2006/relationships/table" Target="../tables/table671.xml"/><Relationship Id="rId18" Type="http://schemas.openxmlformats.org/officeDocument/2006/relationships/table" Target="../tables/table676.xml"/><Relationship Id="rId26" Type="http://schemas.openxmlformats.org/officeDocument/2006/relationships/table" Target="../tables/table684.xml"/><Relationship Id="rId39" Type="http://schemas.openxmlformats.org/officeDocument/2006/relationships/table" Target="../tables/table697.xml"/><Relationship Id="rId21" Type="http://schemas.openxmlformats.org/officeDocument/2006/relationships/table" Target="../tables/table679.xml"/><Relationship Id="rId34" Type="http://schemas.openxmlformats.org/officeDocument/2006/relationships/table" Target="../tables/table692.xml"/><Relationship Id="rId42" Type="http://schemas.openxmlformats.org/officeDocument/2006/relationships/table" Target="../tables/table700.xml"/><Relationship Id="rId47" Type="http://schemas.openxmlformats.org/officeDocument/2006/relationships/table" Target="../tables/table705.xml"/><Relationship Id="rId50" Type="http://schemas.openxmlformats.org/officeDocument/2006/relationships/table" Target="../tables/table708.xml"/><Relationship Id="rId7" Type="http://schemas.openxmlformats.org/officeDocument/2006/relationships/table" Target="../tables/table665.xml"/><Relationship Id="rId2" Type="http://schemas.openxmlformats.org/officeDocument/2006/relationships/drawing" Target="../drawings/drawing17.xml"/><Relationship Id="rId16" Type="http://schemas.openxmlformats.org/officeDocument/2006/relationships/table" Target="../tables/table674.xml"/><Relationship Id="rId29" Type="http://schemas.openxmlformats.org/officeDocument/2006/relationships/table" Target="../tables/table687.xml"/><Relationship Id="rId11" Type="http://schemas.openxmlformats.org/officeDocument/2006/relationships/table" Target="../tables/table669.xml"/><Relationship Id="rId24" Type="http://schemas.openxmlformats.org/officeDocument/2006/relationships/table" Target="../tables/table682.xml"/><Relationship Id="rId32" Type="http://schemas.openxmlformats.org/officeDocument/2006/relationships/table" Target="../tables/table690.xml"/><Relationship Id="rId37" Type="http://schemas.openxmlformats.org/officeDocument/2006/relationships/table" Target="../tables/table695.xml"/><Relationship Id="rId40" Type="http://schemas.openxmlformats.org/officeDocument/2006/relationships/table" Target="../tables/table698.xml"/><Relationship Id="rId45" Type="http://schemas.openxmlformats.org/officeDocument/2006/relationships/table" Target="../tables/table703.xml"/><Relationship Id="rId53" Type="http://schemas.openxmlformats.org/officeDocument/2006/relationships/table" Target="../tables/table711.xml"/><Relationship Id="rId5" Type="http://schemas.openxmlformats.org/officeDocument/2006/relationships/table" Target="../tables/table663.xml"/><Relationship Id="rId10" Type="http://schemas.openxmlformats.org/officeDocument/2006/relationships/table" Target="../tables/table668.xml"/><Relationship Id="rId19" Type="http://schemas.openxmlformats.org/officeDocument/2006/relationships/table" Target="../tables/table677.xml"/><Relationship Id="rId31" Type="http://schemas.openxmlformats.org/officeDocument/2006/relationships/table" Target="../tables/table689.xml"/><Relationship Id="rId44" Type="http://schemas.openxmlformats.org/officeDocument/2006/relationships/table" Target="../tables/table702.xml"/><Relationship Id="rId52" Type="http://schemas.openxmlformats.org/officeDocument/2006/relationships/table" Target="../tables/table710.xml"/><Relationship Id="rId4" Type="http://schemas.openxmlformats.org/officeDocument/2006/relationships/table" Target="../tables/table662.xml"/><Relationship Id="rId9" Type="http://schemas.openxmlformats.org/officeDocument/2006/relationships/table" Target="../tables/table667.xml"/><Relationship Id="rId14" Type="http://schemas.openxmlformats.org/officeDocument/2006/relationships/table" Target="../tables/table672.xml"/><Relationship Id="rId22" Type="http://schemas.openxmlformats.org/officeDocument/2006/relationships/table" Target="../tables/table680.xml"/><Relationship Id="rId27" Type="http://schemas.openxmlformats.org/officeDocument/2006/relationships/table" Target="../tables/table685.xml"/><Relationship Id="rId30" Type="http://schemas.openxmlformats.org/officeDocument/2006/relationships/table" Target="../tables/table688.xml"/><Relationship Id="rId35" Type="http://schemas.openxmlformats.org/officeDocument/2006/relationships/table" Target="../tables/table693.xml"/><Relationship Id="rId43" Type="http://schemas.openxmlformats.org/officeDocument/2006/relationships/table" Target="../tables/table701.xml"/><Relationship Id="rId48" Type="http://schemas.openxmlformats.org/officeDocument/2006/relationships/table" Target="../tables/table706.xml"/><Relationship Id="rId8" Type="http://schemas.openxmlformats.org/officeDocument/2006/relationships/table" Target="../tables/table666.xml"/><Relationship Id="rId51" Type="http://schemas.openxmlformats.org/officeDocument/2006/relationships/table" Target="../tables/table709.xml"/><Relationship Id="rId3" Type="http://schemas.openxmlformats.org/officeDocument/2006/relationships/table" Target="../tables/table661.xml"/><Relationship Id="rId12" Type="http://schemas.openxmlformats.org/officeDocument/2006/relationships/table" Target="../tables/table670.xml"/><Relationship Id="rId17" Type="http://schemas.openxmlformats.org/officeDocument/2006/relationships/table" Target="../tables/table675.xml"/><Relationship Id="rId25" Type="http://schemas.openxmlformats.org/officeDocument/2006/relationships/table" Target="../tables/table683.xml"/><Relationship Id="rId33" Type="http://schemas.openxmlformats.org/officeDocument/2006/relationships/table" Target="../tables/table691.xml"/><Relationship Id="rId38" Type="http://schemas.openxmlformats.org/officeDocument/2006/relationships/table" Target="../tables/table696.xml"/><Relationship Id="rId46" Type="http://schemas.openxmlformats.org/officeDocument/2006/relationships/table" Target="../tables/table704.xml"/><Relationship Id="rId20" Type="http://schemas.openxmlformats.org/officeDocument/2006/relationships/table" Target="../tables/table678.xml"/><Relationship Id="rId41" Type="http://schemas.openxmlformats.org/officeDocument/2006/relationships/table" Target="../tables/table699.xml"/><Relationship Id="rId54" Type="http://schemas.openxmlformats.org/officeDocument/2006/relationships/table" Target="../tables/table712.xml"/><Relationship Id="rId1" Type="http://schemas.openxmlformats.org/officeDocument/2006/relationships/printerSettings" Target="../printerSettings/printerSettings15.bin"/><Relationship Id="rId6" Type="http://schemas.openxmlformats.org/officeDocument/2006/relationships/table" Target="../tables/table664.xml"/><Relationship Id="rId15" Type="http://schemas.openxmlformats.org/officeDocument/2006/relationships/table" Target="../tables/table673.xml"/><Relationship Id="rId23" Type="http://schemas.openxmlformats.org/officeDocument/2006/relationships/table" Target="../tables/table681.xml"/><Relationship Id="rId28" Type="http://schemas.openxmlformats.org/officeDocument/2006/relationships/table" Target="../tables/table686.xml"/><Relationship Id="rId36" Type="http://schemas.openxmlformats.org/officeDocument/2006/relationships/table" Target="../tables/table694.xml"/><Relationship Id="rId49" Type="http://schemas.openxmlformats.org/officeDocument/2006/relationships/table" Target="../tables/table707.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18.xml"/><Relationship Id="rId3" Type="http://schemas.openxmlformats.org/officeDocument/2006/relationships/table" Target="../tables/table713.xml"/><Relationship Id="rId7" Type="http://schemas.openxmlformats.org/officeDocument/2006/relationships/table" Target="../tables/table717.xml"/><Relationship Id="rId2" Type="http://schemas.openxmlformats.org/officeDocument/2006/relationships/drawing" Target="../drawings/drawing18.xml"/><Relationship Id="rId1" Type="http://schemas.openxmlformats.org/officeDocument/2006/relationships/printerSettings" Target="../printerSettings/printerSettings16.bin"/><Relationship Id="rId6" Type="http://schemas.openxmlformats.org/officeDocument/2006/relationships/table" Target="../tables/table716.xml"/><Relationship Id="rId5" Type="http://schemas.openxmlformats.org/officeDocument/2006/relationships/table" Target="../tables/table715.xml"/><Relationship Id="rId10" Type="http://schemas.openxmlformats.org/officeDocument/2006/relationships/table" Target="../tables/table720.xml"/><Relationship Id="rId4" Type="http://schemas.openxmlformats.org/officeDocument/2006/relationships/table" Target="../tables/table714.xml"/><Relationship Id="rId9" Type="http://schemas.openxmlformats.org/officeDocument/2006/relationships/table" Target="../tables/table719.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726.xml"/><Relationship Id="rId13" Type="http://schemas.openxmlformats.org/officeDocument/2006/relationships/table" Target="../tables/table731.xml"/><Relationship Id="rId18" Type="http://schemas.openxmlformats.org/officeDocument/2006/relationships/table" Target="../tables/table736.xml"/><Relationship Id="rId3" Type="http://schemas.openxmlformats.org/officeDocument/2006/relationships/table" Target="../tables/table721.xml"/><Relationship Id="rId21" Type="http://schemas.openxmlformats.org/officeDocument/2006/relationships/table" Target="../tables/table739.xml"/><Relationship Id="rId7" Type="http://schemas.openxmlformats.org/officeDocument/2006/relationships/table" Target="../tables/table725.xml"/><Relationship Id="rId12" Type="http://schemas.openxmlformats.org/officeDocument/2006/relationships/table" Target="../tables/table730.xml"/><Relationship Id="rId17" Type="http://schemas.openxmlformats.org/officeDocument/2006/relationships/table" Target="../tables/table735.xml"/><Relationship Id="rId2" Type="http://schemas.openxmlformats.org/officeDocument/2006/relationships/drawing" Target="../drawings/drawing19.xml"/><Relationship Id="rId16" Type="http://schemas.openxmlformats.org/officeDocument/2006/relationships/table" Target="../tables/table734.xml"/><Relationship Id="rId20" Type="http://schemas.openxmlformats.org/officeDocument/2006/relationships/table" Target="../tables/table738.xml"/><Relationship Id="rId1" Type="http://schemas.openxmlformats.org/officeDocument/2006/relationships/printerSettings" Target="../printerSettings/printerSettings17.bin"/><Relationship Id="rId6" Type="http://schemas.openxmlformats.org/officeDocument/2006/relationships/table" Target="../tables/table724.xml"/><Relationship Id="rId11" Type="http://schemas.openxmlformats.org/officeDocument/2006/relationships/table" Target="../tables/table729.xml"/><Relationship Id="rId24" Type="http://schemas.openxmlformats.org/officeDocument/2006/relationships/table" Target="../tables/table742.xml"/><Relationship Id="rId5" Type="http://schemas.openxmlformats.org/officeDocument/2006/relationships/table" Target="../tables/table723.xml"/><Relationship Id="rId15" Type="http://schemas.openxmlformats.org/officeDocument/2006/relationships/table" Target="../tables/table733.xml"/><Relationship Id="rId23" Type="http://schemas.openxmlformats.org/officeDocument/2006/relationships/table" Target="../tables/table741.xml"/><Relationship Id="rId10" Type="http://schemas.openxmlformats.org/officeDocument/2006/relationships/table" Target="../tables/table728.xml"/><Relationship Id="rId19" Type="http://schemas.openxmlformats.org/officeDocument/2006/relationships/table" Target="../tables/table737.xml"/><Relationship Id="rId4" Type="http://schemas.openxmlformats.org/officeDocument/2006/relationships/table" Target="../tables/table722.xml"/><Relationship Id="rId9" Type="http://schemas.openxmlformats.org/officeDocument/2006/relationships/table" Target="../tables/table727.xml"/><Relationship Id="rId14" Type="http://schemas.openxmlformats.org/officeDocument/2006/relationships/table" Target="../tables/table732.xml"/><Relationship Id="rId22" Type="http://schemas.openxmlformats.org/officeDocument/2006/relationships/table" Target="../tables/table740.xml"/></Relationships>
</file>

<file path=xl/worksheets/_rels/sheet22.xml.rels><?xml version="1.0" encoding="UTF-8" standalone="yes"?>
<Relationships xmlns="http://schemas.openxmlformats.org/package/2006/relationships"><Relationship Id="rId13" Type="http://schemas.openxmlformats.org/officeDocument/2006/relationships/table" Target="../tables/table753.xml"/><Relationship Id="rId18" Type="http://schemas.openxmlformats.org/officeDocument/2006/relationships/table" Target="../tables/table758.xml"/><Relationship Id="rId26" Type="http://schemas.openxmlformats.org/officeDocument/2006/relationships/table" Target="../tables/table766.xml"/><Relationship Id="rId39" Type="http://schemas.openxmlformats.org/officeDocument/2006/relationships/table" Target="../tables/table779.xml"/><Relationship Id="rId21" Type="http://schemas.openxmlformats.org/officeDocument/2006/relationships/table" Target="../tables/table761.xml"/><Relationship Id="rId34" Type="http://schemas.openxmlformats.org/officeDocument/2006/relationships/table" Target="../tables/table774.xml"/><Relationship Id="rId42" Type="http://schemas.openxmlformats.org/officeDocument/2006/relationships/table" Target="../tables/table782.xml"/><Relationship Id="rId47" Type="http://schemas.openxmlformats.org/officeDocument/2006/relationships/table" Target="../tables/table787.xml"/><Relationship Id="rId50" Type="http://schemas.openxmlformats.org/officeDocument/2006/relationships/table" Target="../tables/table790.xml"/><Relationship Id="rId55" Type="http://schemas.openxmlformats.org/officeDocument/2006/relationships/table" Target="../tables/table795.xml"/><Relationship Id="rId7" Type="http://schemas.openxmlformats.org/officeDocument/2006/relationships/table" Target="../tables/table747.xml"/><Relationship Id="rId2" Type="http://schemas.openxmlformats.org/officeDocument/2006/relationships/drawing" Target="../drawings/drawing20.xml"/><Relationship Id="rId16" Type="http://schemas.openxmlformats.org/officeDocument/2006/relationships/table" Target="../tables/table756.xml"/><Relationship Id="rId29" Type="http://schemas.openxmlformats.org/officeDocument/2006/relationships/table" Target="../tables/table769.xml"/><Relationship Id="rId11" Type="http://schemas.openxmlformats.org/officeDocument/2006/relationships/table" Target="../tables/table751.xml"/><Relationship Id="rId24" Type="http://schemas.openxmlformats.org/officeDocument/2006/relationships/table" Target="../tables/table764.xml"/><Relationship Id="rId32" Type="http://schemas.openxmlformats.org/officeDocument/2006/relationships/table" Target="../tables/table772.xml"/><Relationship Id="rId37" Type="http://schemas.openxmlformats.org/officeDocument/2006/relationships/table" Target="../tables/table777.xml"/><Relationship Id="rId40" Type="http://schemas.openxmlformats.org/officeDocument/2006/relationships/table" Target="../tables/table780.xml"/><Relationship Id="rId45" Type="http://schemas.openxmlformats.org/officeDocument/2006/relationships/table" Target="../tables/table785.xml"/><Relationship Id="rId53" Type="http://schemas.openxmlformats.org/officeDocument/2006/relationships/table" Target="../tables/table793.xml"/><Relationship Id="rId5" Type="http://schemas.openxmlformats.org/officeDocument/2006/relationships/table" Target="../tables/table745.xml"/><Relationship Id="rId10" Type="http://schemas.openxmlformats.org/officeDocument/2006/relationships/table" Target="../tables/table750.xml"/><Relationship Id="rId19" Type="http://schemas.openxmlformats.org/officeDocument/2006/relationships/table" Target="../tables/table759.xml"/><Relationship Id="rId31" Type="http://schemas.openxmlformats.org/officeDocument/2006/relationships/table" Target="../tables/table771.xml"/><Relationship Id="rId44" Type="http://schemas.openxmlformats.org/officeDocument/2006/relationships/table" Target="../tables/table784.xml"/><Relationship Id="rId52" Type="http://schemas.openxmlformats.org/officeDocument/2006/relationships/table" Target="../tables/table792.xml"/><Relationship Id="rId4" Type="http://schemas.openxmlformats.org/officeDocument/2006/relationships/table" Target="../tables/table744.xml"/><Relationship Id="rId9" Type="http://schemas.openxmlformats.org/officeDocument/2006/relationships/table" Target="../tables/table749.xml"/><Relationship Id="rId14" Type="http://schemas.openxmlformats.org/officeDocument/2006/relationships/table" Target="../tables/table754.xml"/><Relationship Id="rId22" Type="http://schemas.openxmlformats.org/officeDocument/2006/relationships/table" Target="../tables/table762.xml"/><Relationship Id="rId27" Type="http://schemas.openxmlformats.org/officeDocument/2006/relationships/table" Target="../tables/table767.xml"/><Relationship Id="rId30" Type="http://schemas.openxmlformats.org/officeDocument/2006/relationships/table" Target="../tables/table770.xml"/><Relationship Id="rId35" Type="http://schemas.openxmlformats.org/officeDocument/2006/relationships/table" Target="../tables/table775.xml"/><Relationship Id="rId43" Type="http://schemas.openxmlformats.org/officeDocument/2006/relationships/table" Target="../tables/table783.xml"/><Relationship Id="rId48" Type="http://schemas.openxmlformats.org/officeDocument/2006/relationships/table" Target="../tables/table788.xml"/><Relationship Id="rId56" Type="http://schemas.openxmlformats.org/officeDocument/2006/relationships/table" Target="../tables/table796.xml"/><Relationship Id="rId8" Type="http://schemas.openxmlformats.org/officeDocument/2006/relationships/table" Target="../tables/table748.xml"/><Relationship Id="rId51" Type="http://schemas.openxmlformats.org/officeDocument/2006/relationships/table" Target="../tables/table791.xml"/><Relationship Id="rId3" Type="http://schemas.openxmlformats.org/officeDocument/2006/relationships/table" Target="../tables/table743.xml"/><Relationship Id="rId12" Type="http://schemas.openxmlformats.org/officeDocument/2006/relationships/table" Target="../tables/table752.xml"/><Relationship Id="rId17" Type="http://schemas.openxmlformats.org/officeDocument/2006/relationships/table" Target="../tables/table757.xml"/><Relationship Id="rId25" Type="http://schemas.openxmlformats.org/officeDocument/2006/relationships/table" Target="../tables/table765.xml"/><Relationship Id="rId33" Type="http://schemas.openxmlformats.org/officeDocument/2006/relationships/table" Target="../tables/table773.xml"/><Relationship Id="rId38" Type="http://schemas.openxmlformats.org/officeDocument/2006/relationships/table" Target="../tables/table778.xml"/><Relationship Id="rId46" Type="http://schemas.openxmlformats.org/officeDocument/2006/relationships/table" Target="../tables/table786.xml"/><Relationship Id="rId20" Type="http://schemas.openxmlformats.org/officeDocument/2006/relationships/table" Target="../tables/table760.xml"/><Relationship Id="rId41" Type="http://schemas.openxmlformats.org/officeDocument/2006/relationships/table" Target="../tables/table781.xml"/><Relationship Id="rId54" Type="http://schemas.openxmlformats.org/officeDocument/2006/relationships/table" Target="../tables/table794.xml"/><Relationship Id="rId1" Type="http://schemas.openxmlformats.org/officeDocument/2006/relationships/printerSettings" Target="../printerSettings/printerSettings18.bin"/><Relationship Id="rId6" Type="http://schemas.openxmlformats.org/officeDocument/2006/relationships/table" Target="../tables/table746.xml"/><Relationship Id="rId15" Type="http://schemas.openxmlformats.org/officeDocument/2006/relationships/table" Target="../tables/table755.xml"/><Relationship Id="rId23" Type="http://schemas.openxmlformats.org/officeDocument/2006/relationships/table" Target="../tables/table763.xml"/><Relationship Id="rId28" Type="http://schemas.openxmlformats.org/officeDocument/2006/relationships/table" Target="../tables/table768.xml"/><Relationship Id="rId36" Type="http://schemas.openxmlformats.org/officeDocument/2006/relationships/table" Target="../tables/table776.xml"/><Relationship Id="rId49" Type="http://schemas.openxmlformats.org/officeDocument/2006/relationships/table" Target="../tables/table789.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803.xml"/><Relationship Id="rId13" Type="http://schemas.openxmlformats.org/officeDocument/2006/relationships/table" Target="../tables/table808.xml"/><Relationship Id="rId18" Type="http://schemas.openxmlformats.org/officeDocument/2006/relationships/table" Target="../tables/table813.xml"/><Relationship Id="rId3" Type="http://schemas.openxmlformats.org/officeDocument/2006/relationships/table" Target="../tables/table798.xml"/><Relationship Id="rId21" Type="http://schemas.openxmlformats.org/officeDocument/2006/relationships/table" Target="../tables/table816.xml"/><Relationship Id="rId7" Type="http://schemas.openxmlformats.org/officeDocument/2006/relationships/table" Target="../tables/table802.xml"/><Relationship Id="rId12" Type="http://schemas.openxmlformats.org/officeDocument/2006/relationships/table" Target="../tables/table807.xml"/><Relationship Id="rId17" Type="http://schemas.openxmlformats.org/officeDocument/2006/relationships/table" Target="../tables/table812.xml"/><Relationship Id="rId2" Type="http://schemas.openxmlformats.org/officeDocument/2006/relationships/table" Target="../tables/table797.xml"/><Relationship Id="rId16" Type="http://schemas.openxmlformats.org/officeDocument/2006/relationships/table" Target="../tables/table811.xml"/><Relationship Id="rId20" Type="http://schemas.openxmlformats.org/officeDocument/2006/relationships/table" Target="../tables/table815.xml"/><Relationship Id="rId1" Type="http://schemas.openxmlformats.org/officeDocument/2006/relationships/drawing" Target="../drawings/drawing21.xml"/><Relationship Id="rId6" Type="http://schemas.openxmlformats.org/officeDocument/2006/relationships/table" Target="../tables/table801.xml"/><Relationship Id="rId11" Type="http://schemas.openxmlformats.org/officeDocument/2006/relationships/table" Target="../tables/table806.xml"/><Relationship Id="rId5" Type="http://schemas.openxmlformats.org/officeDocument/2006/relationships/table" Target="../tables/table800.xml"/><Relationship Id="rId15" Type="http://schemas.openxmlformats.org/officeDocument/2006/relationships/table" Target="../tables/table810.xml"/><Relationship Id="rId10" Type="http://schemas.openxmlformats.org/officeDocument/2006/relationships/table" Target="../tables/table805.xml"/><Relationship Id="rId19" Type="http://schemas.openxmlformats.org/officeDocument/2006/relationships/table" Target="../tables/table814.xml"/><Relationship Id="rId4" Type="http://schemas.openxmlformats.org/officeDocument/2006/relationships/table" Target="../tables/table799.xml"/><Relationship Id="rId9" Type="http://schemas.openxmlformats.org/officeDocument/2006/relationships/table" Target="../tables/table804.xml"/><Relationship Id="rId14" Type="http://schemas.openxmlformats.org/officeDocument/2006/relationships/table" Target="../tables/table80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818.xml"/><Relationship Id="rId2" Type="http://schemas.openxmlformats.org/officeDocument/2006/relationships/table" Target="../tables/table817.xml"/><Relationship Id="rId1" Type="http://schemas.openxmlformats.org/officeDocument/2006/relationships/drawing" Target="../drawings/drawing22.xml"/><Relationship Id="rId5" Type="http://schemas.openxmlformats.org/officeDocument/2006/relationships/table" Target="../tables/table820.xml"/><Relationship Id="rId4" Type="http://schemas.openxmlformats.org/officeDocument/2006/relationships/table" Target="../tables/table819.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827.xml"/><Relationship Id="rId3" Type="http://schemas.openxmlformats.org/officeDocument/2006/relationships/table" Target="../tables/table822.xml"/><Relationship Id="rId7" Type="http://schemas.openxmlformats.org/officeDocument/2006/relationships/table" Target="../tables/table826.xml"/><Relationship Id="rId2" Type="http://schemas.openxmlformats.org/officeDocument/2006/relationships/table" Target="../tables/table821.xml"/><Relationship Id="rId1" Type="http://schemas.openxmlformats.org/officeDocument/2006/relationships/drawing" Target="../drawings/drawing23.xml"/><Relationship Id="rId6" Type="http://schemas.openxmlformats.org/officeDocument/2006/relationships/table" Target="../tables/table825.xml"/><Relationship Id="rId5" Type="http://schemas.openxmlformats.org/officeDocument/2006/relationships/table" Target="../tables/table824.xml"/><Relationship Id="rId10" Type="http://schemas.openxmlformats.org/officeDocument/2006/relationships/table" Target="../tables/table829.xml"/><Relationship Id="rId4" Type="http://schemas.openxmlformats.org/officeDocument/2006/relationships/table" Target="../tables/table823.xml"/><Relationship Id="rId9" Type="http://schemas.openxmlformats.org/officeDocument/2006/relationships/table" Target="../tables/table828.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836.xml"/><Relationship Id="rId3" Type="http://schemas.openxmlformats.org/officeDocument/2006/relationships/table" Target="../tables/table831.xml"/><Relationship Id="rId7" Type="http://schemas.openxmlformats.org/officeDocument/2006/relationships/table" Target="../tables/table835.xml"/><Relationship Id="rId2" Type="http://schemas.openxmlformats.org/officeDocument/2006/relationships/table" Target="../tables/table830.xml"/><Relationship Id="rId1" Type="http://schemas.openxmlformats.org/officeDocument/2006/relationships/drawing" Target="../drawings/drawing24.xml"/><Relationship Id="rId6" Type="http://schemas.openxmlformats.org/officeDocument/2006/relationships/table" Target="../tables/table834.xml"/><Relationship Id="rId11" Type="http://schemas.openxmlformats.org/officeDocument/2006/relationships/table" Target="../tables/table839.xml"/><Relationship Id="rId5" Type="http://schemas.openxmlformats.org/officeDocument/2006/relationships/table" Target="../tables/table833.xml"/><Relationship Id="rId10" Type="http://schemas.openxmlformats.org/officeDocument/2006/relationships/table" Target="../tables/table838.xml"/><Relationship Id="rId4" Type="http://schemas.openxmlformats.org/officeDocument/2006/relationships/table" Target="../tables/table832.xml"/><Relationship Id="rId9" Type="http://schemas.openxmlformats.org/officeDocument/2006/relationships/table" Target="../tables/table837.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841.xml"/><Relationship Id="rId7" Type="http://schemas.openxmlformats.org/officeDocument/2006/relationships/table" Target="../tables/table845.xml"/><Relationship Id="rId2" Type="http://schemas.openxmlformats.org/officeDocument/2006/relationships/table" Target="../tables/table840.xml"/><Relationship Id="rId1" Type="http://schemas.openxmlformats.org/officeDocument/2006/relationships/drawing" Target="../drawings/drawing25.xml"/><Relationship Id="rId6" Type="http://schemas.openxmlformats.org/officeDocument/2006/relationships/table" Target="../tables/table844.xml"/><Relationship Id="rId5" Type="http://schemas.openxmlformats.org/officeDocument/2006/relationships/table" Target="../tables/table843.xml"/><Relationship Id="rId4" Type="http://schemas.openxmlformats.org/officeDocument/2006/relationships/table" Target="../tables/table842.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852.xml"/><Relationship Id="rId13" Type="http://schemas.openxmlformats.org/officeDocument/2006/relationships/table" Target="../tables/table857.xml"/><Relationship Id="rId3" Type="http://schemas.openxmlformats.org/officeDocument/2006/relationships/table" Target="../tables/table847.xml"/><Relationship Id="rId7" Type="http://schemas.openxmlformats.org/officeDocument/2006/relationships/table" Target="../tables/table851.xml"/><Relationship Id="rId12" Type="http://schemas.openxmlformats.org/officeDocument/2006/relationships/table" Target="../tables/table856.xml"/><Relationship Id="rId2" Type="http://schemas.openxmlformats.org/officeDocument/2006/relationships/table" Target="../tables/table846.xml"/><Relationship Id="rId16" Type="http://schemas.openxmlformats.org/officeDocument/2006/relationships/table" Target="../tables/table860.xml"/><Relationship Id="rId1" Type="http://schemas.openxmlformats.org/officeDocument/2006/relationships/drawing" Target="../drawings/drawing26.xml"/><Relationship Id="rId6" Type="http://schemas.openxmlformats.org/officeDocument/2006/relationships/table" Target="../tables/table850.xml"/><Relationship Id="rId11" Type="http://schemas.openxmlformats.org/officeDocument/2006/relationships/table" Target="../tables/table855.xml"/><Relationship Id="rId5" Type="http://schemas.openxmlformats.org/officeDocument/2006/relationships/table" Target="../tables/table849.xml"/><Relationship Id="rId15" Type="http://schemas.openxmlformats.org/officeDocument/2006/relationships/table" Target="../tables/table859.xml"/><Relationship Id="rId10" Type="http://schemas.openxmlformats.org/officeDocument/2006/relationships/table" Target="../tables/table854.xml"/><Relationship Id="rId4" Type="http://schemas.openxmlformats.org/officeDocument/2006/relationships/table" Target="../tables/table848.xml"/><Relationship Id="rId9" Type="http://schemas.openxmlformats.org/officeDocument/2006/relationships/table" Target="../tables/table853.xml"/><Relationship Id="rId14" Type="http://schemas.openxmlformats.org/officeDocument/2006/relationships/table" Target="../tables/table858.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862.xml"/><Relationship Id="rId2" Type="http://schemas.openxmlformats.org/officeDocument/2006/relationships/table" Target="../tables/table861.xml"/><Relationship Id="rId1" Type="http://schemas.openxmlformats.org/officeDocument/2006/relationships/drawing" Target="../drawings/drawing27.xml"/><Relationship Id="rId4" Type="http://schemas.openxmlformats.org/officeDocument/2006/relationships/table" Target="../tables/table863.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870.xml"/><Relationship Id="rId13" Type="http://schemas.openxmlformats.org/officeDocument/2006/relationships/table" Target="../tables/table875.xml"/><Relationship Id="rId18" Type="http://schemas.openxmlformats.org/officeDocument/2006/relationships/table" Target="../tables/table880.xml"/><Relationship Id="rId3" Type="http://schemas.openxmlformats.org/officeDocument/2006/relationships/table" Target="../tables/table865.xml"/><Relationship Id="rId7" Type="http://schemas.openxmlformats.org/officeDocument/2006/relationships/table" Target="../tables/table869.xml"/><Relationship Id="rId12" Type="http://schemas.openxmlformats.org/officeDocument/2006/relationships/table" Target="../tables/table874.xml"/><Relationship Id="rId17" Type="http://schemas.openxmlformats.org/officeDocument/2006/relationships/table" Target="../tables/table879.xml"/><Relationship Id="rId2" Type="http://schemas.openxmlformats.org/officeDocument/2006/relationships/table" Target="../tables/table864.xml"/><Relationship Id="rId16" Type="http://schemas.openxmlformats.org/officeDocument/2006/relationships/table" Target="../tables/table878.xml"/><Relationship Id="rId1" Type="http://schemas.openxmlformats.org/officeDocument/2006/relationships/drawing" Target="../drawings/drawing28.xml"/><Relationship Id="rId6" Type="http://schemas.openxmlformats.org/officeDocument/2006/relationships/table" Target="../tables/table868.xml"/><Relationship Id="rId11" Type="http://schemas.openxmlformats.org/officeDocument/2006/relationships/table" Target="../tables/table873.xml"/><Relationship Id="rId5" Type="http://schemas.openxmlformats.org/officeDocument/2006/relationships/table" Target="../tables/table867.xml"/><Relationship Id="rId15" Type="http://schemas.openxmlformats.org/officeDocument/2006/relationships/table" Target="../tables/table877.xml"/><Relationship Id="rId10" Type="http://schemas.openxmlformats.org/officeDocument/2006/relationships/table" Target="../tables/table872.xml"/><Relationship Id="rId4" Type="http://schemas.openxmlformats.org/officeDocument/2006/relationships/table" Target="../tables/table866.xml"/><Relationship Id="rId9" Type="http://schemas.openxmlformats.org/officeDocument/2006/relationships/table" Target="../tables/table871.xml"/><Relationship Id="rId14" Type="http://schemas.openxmlformats.org/officeDocument/2006/relationships/table" Target="../tables/table876.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887.xml"/><Relationship Id="rId3" Type="http://schemas.openxmlformats.org/officeDocument/2006/relationships/table" Target="../tables/table882.xml"/><Relationship Id="rId7" Type="http://schemas.openxmlformats.org/officeDocument/2006/relationships/table" Target="../tables/table886.xml"/><Relationship Id="rId2" Type="http://schemas.openxmlformats.org/officeDocument/2006/relationships/table" Target="../tables/table881.xml"/><Relationship Id="rId1" Type="http://schemas.openxmlformats.org/officeDocument/2006/relationships/drawing" Target="../drawings/drawing29.xml"/><Relationship Id="rId6" Type="http://schemas.openxmlformats.org/officeDocument/2006/relationships/table" Target="../tables/table885.xml"/><Relationship Id="rId5" Type="http://schemas.openxmlformats.org/officeDocument/2006/relationships/table" Target="../tables/table884.xml"/><Relationship Id="rId10" Type="http://schemas.openxmlformats.org/officeDocument/2006/relationships/table" Target="../tables/table889.xml"/><Relationship Id="rId4" Type="http://schemas.openxmlformats.org/officeDocument/2006/relationships/table" Target="../tables/table883.xml"/><Relationship Id="rId9" Type="http://schemas.openxmlformats.org/officeDocument/2006/relationships/table" Target="../tables/table888.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891.xml"/><Relationship Id="rId2" Type="http://schemas.openxmlformats.org/officeDocument/2006/relationships/table" Target="../tables/table890.xml"/><Relationship Id="rId1" Type="http://schemas.openxmlformats.org/officeDocument/2006/relationships/drawing" Target="../drawings/drawing30.xml"/><Relationship Id="rId6" Type="http://schemas.openxmlformats.org/officeDocument/2006/relationships/table" Target="../tables/table894.xml"/><Relationship Id="rId5" Type="http://schemas.openxmlformats.org/officeDocument/2006/relationships/table" Target="../tables/table893.xml"/><Relationship Id="rId4" Type="http://schemas.openxmlformats.org/officeDocument/2006/relationships/table" Target="../tables/table892.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901.xml"/><Relationship Id="rId3" Type="http://schemas.openxmlformats.org/officeDocument/2006/relationships/table" Target="../tables/table896.xml"/><Relationship Id="rId7" Type="http://schemas.openxmlformats.org/officeDocument/2006/relationships/table" Target="../tables/table900.xml"/><Relationship Id="rId2" Type="http://schemas.openxmlformats.org/officeDocument/2006/relationships/table" Target="../tables/table895.xml"/><Relationship Id="rId1" Type="http://schemas.openxmlformats.org/officeDocument/2006/relationships/drawing" Target="../drawings/drawing31.xml"/><Relationship Id="rId6" Type="http://schemas.openxmlformats.org/officeDocument/2006/relationships/table" Target="../tables/table899.xml"/><Relationship Id="rId5" Type="http://schemas.openxmlformats.org/officeDocument/2006/relationships/table" Target="../tables/table898.xml"/><Relationship Id="rId4" Type="http://schemas.openxmlformats.org/officeDocument/2006/relationships/table" Target="../tables/table897.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903.xml"/><Relationship Id="rId2" Type="http://schemas.openxmlformats.org/officeDocument/2006/relationships/table" Target="../tables/table902.xml"/><Relationship Id="rId1" Type="http://schemas.openxmlformats.org/officeDocument/2006/relationships/drawing" Target="../drawings/drawing32.xml"/><Relationship Id="rId4" Type="http://schemas.openxmlformats.org/officeDocument/2006/relationships/table" Target="../tables/table904.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911.xml"/><Relationship Id="rId3" Type="http://schemas.openxmlformats.org/officeDocument/2006/relationships/table" Target="../tables/table906.xml"/><Relationship Id="rId7" Type="http://schemas.openxmlformats.org/officeDocument/2006/relationships/table" Target="../tables/table910.xml"/><Relationship Id="rId2" Type="http://schemas.openxmlformats.org/officeDocument/2006/relationships/table" Target="../tables/table905.xml"/><Relationship Id="rId1" Type="http://schemas.openxmlformats.org/officeDocument/2006/relationships/drawing" Target="../drawings/drawing33.xml"/><Relationship Id="rId6" Type="http://schemas.openxmlformats.org/officeDocument/2006/relationships/table" Target="../tables/table909.xml"/><Relationship Id="rId5" Type="http://schemas.openxmlformats.org/officeDocument/2006/relationships/table" Target="../tables/table908.xml"/><Relationship Id="rId4" Type="http://schemas.openxmlformats.org/officeDocument/2006/relationships/table" Target="../tables/table907.xml"/><Relationship Id="rId9" Type="http://schemas.openxmlformats.org/officeDocument/2006/relationships/table" Target="../tables/table912.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914.xml"/><Relationship Id="rId7" Type="http://schemas.openxmlformats.org/officeDocument/2006/relationships/table" Target="../tables/table918.xml"/><Relationship Id="rId2" Type="http://schemas.openxmlformats.org/officeDocument/2006/relationships/table" Target="../tables/table913.xml"/><Relationship Id="rId1" Type="http://schemas.openxmlformats.org/officeDocument/2006/relationships/drawing" Target="../drawings/drawing34.xml"/><Relationship Id="rId6" Type="http://schemas.openxmlformats.org/officeDocument/2006/relationships/table" Target="../tables/table917.xml"/><Relationship Id="rId5" Type="http://schemas.openxmlformats.org/officeDocument/2006/relationships/table" Target="../tables/table916.xml"/><Relationship Id="rId4" Type="http://schemas.openxmlformats.org/officeDocument/2006/relationships/table" Target="../tables/table915.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920.xml"/><Relationship Id="rId2" Type="http://schemas.openxmlformats.org/officeDocument/2006/relationships/table" Target="../tables/table919.xml"/><Relationship Id="rId1" Type="http://schemas.openxmlformats.org/officeDocument/2006/relationships/drawing" Target="../drawings/drawing35.xml"/><Relationship Id="rId4" Type="http://schemas.openxmlformats.org/officeDocument/2006/relationships/table" Target="../tables/table921.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928.xml"/><Relationship Id="rId3" Type="http://schemas.openxmlformats.org/officeDocument/2006/relationships/table" Target="../tables/table923.xml"/><Relationship Id="rId7" Type="http://schemas.openxmlformats.org/officeDocument/2006/relationships/table" Target="../tables/table927.xml"/><Relationship Id="rId2" Type="http://schemas.openxmlformats.org/officeDocument/2006/relationships/table" Target="../tables/table922.xml"/><Relationship Id="rId1" Type="http://schemas.openxmlformats.org/officeDocument/2006/relationships/drawing" Target="../drawings/drawing36.xml"/><Relationship Id="rId6" Type="http://schemas.openxmlformats.org/officeDocument/2006/relationships/table" Target="../tables/table926.xml"/><Relationship Id="rId11" Type="http://schemas.openxmlformats.org/officeDocument/2006/relationships/table" Target="../tables/table931.xml"/><Relationship Id="rId5" Type="http://schemas.openxmlformats.org/officeDocument/2006/relationships/table" Target="../tables/table925.xml"/><Relationship Id="rId10" Type="http://schemas.openxmlformats.org/officeDocument/2006/relationships/table" Target="../tables/table930.xml"/><Relationship Id="rId4" Type="http://schemas.openxmlformats.org/officeDocument/2006/relationships/table" Target="../tables/table924.xml"/><Relationship Id="rId9" Type="http://schemas.openxmlformats.org/officeDocument/2006/relationships/table" Target="../tables/table929.xml"/></Relationships>
</file>

<file path=xl/worksheets/_rels/sheet39.xml.rels><?xml version="1.0" encoding="UTF-8" standalone="yes"?>
<Relationships xmlns="http://schemas.openxmlformats.org/package/2006/relationships"><Relationship Id="rId8" Type="http://schemas.openxmlformats.org/officeDocument/2006/relationships/table" Target="../tables/table938.xml"/><Relationship Id="rId13" Type="http://schemas.openxmlformats.org/officeDocument/2006/relationships/table" Target="../tables/table943.xml"/><Relationship Id="rId3" Type="http://schemas.openxmlformats.org/officeDocument/2006/relationships/table" Target="../tables/table933.xml"/><Relationship Id="rId7" Type="http://schemas.openxmlformats.org/officeDocument/2006/relationships/table" Target="../tables/table937.xml"/><Relationship Id="rId12" Type="http://schemas.openxmlformats.org/officeDocument/2006/relationships/table" Target="../tables/table942.xml"/><Relationship Id="rId2" Type="http://schemas.openxmlformats.org/officeDocument/2006/relationships/table" Target="../tables/table932.xml"/><Relationship Id="rId16" Type="http://schemas.openxmlformats.org/officeDocument/2006/relationships/table" Target="../tables/table946.xml"/><Relationship Id="rId1" Type="http://schemas.openxmlformats.org/officeDocument/2006/relationships/drawing" Target="../drawings/drawing37.xml"/><Relationship Id="rId6" Type="http://schemas.openxmlformats.org/officeDocument/2006/relationships/table" Target="../tables/table936.xml"/><Relationship Id="rId11" Type="http://schemas.openxmlformats.org/officeDocument/2006/relationships/table" Target="../tables/table941.xml"/><Relationship Id="rId5" Type="http://schemas.openxmlformats.org/officeDocument/2006/relationships/table" Target="../tables/table935.xml"/><Relationship Id="rId15" Type="http://schemas.openxmlformats.org/officeDocument/2006/relationships/table" Target="../tables/table945.xml"/><Relationship Id="rId10" Type="http://schemas.openxmlformats.org/officeDocument/2006/relationships/table" Target="../tables/table940.xml"/><Relationship Id="rId4" Type="http://schemas.openxmlformats.org/officeDocument/2006/relationships/table" Target="../tables/table934.xml"/><Relationship Id="rId9" Type="http://schemas.openxmlformats.org/officeDocument/2006/relationships/table" Target="../tables/table939.xml"/><Relationship Id="rId14" Type="http://schemas.openxmlformats.org/officeDocument/2006/relationships/table" Target="../tables/table944.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948.xml"/><Relationship Id="rId2" Type="http://schemas.openxmlformats.org/officeDocument/2006/relationships/table" Target="../tables/table947.xml"/><Relationship Id="rId1" Type="http://schemas.openxmlformats.org/officeDocument/2006/relationships/drawing" Target="../drawings/drawing38.xml"/><Relationship Id="rId5" Type="http://schemas.openxmlformats.org/officeDocument/2006/relationships/table" Target="../tables/table950.xml"/><Relationship Id="rId4" Type="http://schemas.openxmlformats.org/officeDocument/2006/relationships/table" Target="../tables/table94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B9EC2-C072-4940-A24C-5FD80ED77F41}">
  <sheetPr>
    <tabColor rgb="FFFF0000"/>
  </sheetPr>
  <dimension ref="A2:V505"/>
  <sheetViews>
    <sheetView showGridLines="0" topLeftCell="A195" zoomScale="90" zoomScaleNormal="90" workbookViewId="0">
      <selection activeCell="W170" sqref="W170"/>
    </sheetView>
  </sheetViews>
  <sheetFormatPr baseColWidth="10" defaultColWidth="10.88671875" defaultRowHeight="13.2" x14ac:dyDescent="0.25"/>
  <cols>
    <col min="1" max="1" width="3.6640625" style="113" customWidth="1"/>
    <col min="2" max="2" width="37" style="40" customWidth="1"/>
    <col min="3" max="3" width="169.6640625" style="182" hidden="1" customWidth="1"/>
    <col min="4" max="4" width="11.109375" style="116" hidden="1" customWidth="1"/>
    <col min="5" max="5" width="13" style="204" hidden="1" customWidth="1"/>
    <col min="6" max="6" width="13.33203125" style="40" hidden="1" customWidth="1"/>
    <col min="7" max="7" width="10.44140625" style="182" hidden="1" customWidth="1"/>
    <col min="8" max="8" width="7.88671875" style="40" hidden="1" customWidth="1"/>
    <col min="9" max="9" width="18.88671875" style="205" hidden="1" customWidth="1"/>
    <col min="10" max="10" width="15.21875" style="50" hidden="1" customWidth="1"/>
    <col min="11" max="11" width="22.88671875" style="116" hidden="1" customWidth="1"/>
    <col min="12" max="12" width="9.44140625" style="40" hidden="1" customWidth="1"/>
    <col min="13" max="13" width="12.44140625" style="116" hidden="1" customWidth="1"/>
    <col min="14" max="14" width="12.88671875" style="116" customWidth="1"/>
    <col min="15" max="15" width="12.44140625" style="116" hidden="1" customWidth="1"/>
    <col min="16" max="16" width="12.44140625" style="169" hidden="1" customWidth="1"/>
    <col min="17" max="17" width="12.44140625" style="169" customWidth="1"/>
    <col min="18" max="18" width="10.88671875" style="170" hidden="1" customWidth="1"/>
    <col min="19" max="19" width="10.5546875" style="70" hidden="1" customWidth="1"/>
    <col min="20" max="20" width="12" style="270" hidden="1" customWidth="1"/>
    <col min="21" max="16384" width="10.88671875" style="50"/>
  </cols>
  <sheetData>
    <row r="2" spans="1:20" s="4" customFormat="1" x14ac:dyDescent="0.25">
      <c r="A2" s="111"/>
      <c r="B2" s="398" t="s">
        <v>1314</v>
      </c>
      <c r="C2" s="398"/>
      <c r="D2" s="398"/>
      <c r="E2" s="398"/>
      <c r="F2" s="398"/>
      <c r="G2" s="398"/>
      <c r="H2" s="398"/>
      <c r="I2" s="398"/>
      <c r="J2" s="398"/>
      <c r="K2" s="398"/>
      <c r="L2" s="398"/>
      <c r="M2" s="398"/>
      <c r="N2" s="398"/>
      <c r="O2" s="398"/>
      <c r="P2" s="398"/>
      <c r="Q2" s="398"/>
      <c r="R2" s="398"/>
      <c r="S2" s="398"/>
      <c r="T2" s="398"/>
    </row>
    <row r="3" spans="1:20" x14ac:dyDescent="0.25">
      <c r="B3" s="114"/>
      <c r="C3" s="115"/>
      <c r="E3" s="117" t="s">
        <v>25</v>
      </c>
      <c r="F3" s="114"/>
      <c r="G3" s="118"/>
      <c r="H3" s="114"/>
      <c r="I3" s="114"/>
      <c r="J3" s="4"/>
      <c r="K3" s="397" t="s">
        <v>29</v>
      </c>
      <c r="L3" s="397"/>
      <c r="M3" s="397"/>
      <c r="N3" s="395" t="s">
        <v>1090</v>
      </c>
      <c r="O3" s="395"/>
      <c r="P3" s="395"/>
      <c r="Q3" s="395"/>
      <c r="R3" s="4"/>
    </row>
    <row r="4" spans="1:20" x14ac:dyDescent="0.25">
      <c r="B4" s="119" t="s">
        <v>47</v>
      </c>
      <c r="C4" s="120" t="s">
        <v>316</v>
      </c>
      <c r="D4" s="121" t="s">
        <v>7</v>
      </c>
      <c r="E4" s="122" t="s">
        <v>20</v>
      </c>
      <c r="F4" s="123" t="s">
        <v>33</v>
      </c>
      <c r="G4" s="121" t="s">
        <v>26</v>
      </c>
      <c r="H4" s="124" t="s">
        <v>21</v>
      </c>
      <c r="I4" s="125" t="s">
        <v>22</v>
      </c>
      <c r="J4" s="125" t="s">
        <v>23</v>
      </c>
      <c r="K4" s="125" t="s">
        <v>27</v>
      </c>
      <c r="L4" s="121" t="s">
        <v>32</v>
      </c>
      <c r="M4" s="125" t="s">
        <v>28</v>
      </c>
      <c r="N4" s="126" t="s">
        <v>30</v>
      </c>
      <c r="O4" s="121" t="s">
        <v>34</v>
      </c>
      <c r="P4" s="121" t="s">
        <v>25</v>
      </c>
      <c r="Q4" s="127" t="s">
        <v>31</v>
      </c>
      <c r="R4" s="235" t="s">
        <v>24</v>
      </c>
      <c r="S4" s="233" t="s">
        <v>1262</v>
      </c>
      <c r="T4" s="271" t="s">
        <v>1263</v>
      </c>
    </row>
    <row r="5" spans="1:20" x14ac:dyDescent="0.25">
      <c r="A5" s="113">
        <v>1</v>
      </c>
      <c r="B5" s="129" t="str">
        <f>+ENTRADAS!B88</f>
        <v>PATACONES MAREA</v>
      </c>
      <c r="C5" s="130" t="s">
        <v>455</v>
      </c>
      <c r="D5" s="131">
        <f>+ENTRADAS!K93</f>
        <v>7899.1314960600012</v>
      </c>
      <c r="E5" s="132">
        <f>+ENTRADAS!K94</f>
        <v>35000</v>
      </c>
      <c r="F5" s="132">
        <f t="shared" ref="F5:F21" si="0">+E5/1.08*0.08</f>
        <v>2592.5925925925926</v>
      </c>
      <c r="G5" s="131">
        <f>+Tabla55[[#This Row],[VENTA]]-Tabla55[[#This Row],[ICO 8%]]</f>
        <v>32407.407407407409</v>
      </c>
      <c r="H5" s="133">
        <f>+Tabla55[[#This Row],[COSTO]]/Tabla55[[#This Row],[BASE]]</f>
        <v>0.24374462902128002</v>
      </c>
      <c r="I5" s="134">
        <f>+Tabla55[[#This Row],[BASE]]/Tabla55[[#This Row],[COSTO]]</f>
        <v>4.1026545036719373</v>
      </c>
      <c r="J5" s="135" t="e">
        <f>+VLOOKUP(Tabla55[[#This Row],[ENTRADAS]],#REF!,2,0)</f>
        <v>#REF!</v>
      </c>
      <c r="K5" s="136">
        <f t="shared" ref="K5:K21" si="1">+D5/(100-65)*100</f>
        <v>22568.947131600005</v>
      </c>
      <c r="L5" s="131">
        <f t="shared" ref="L5:L21" si="2">+K5/1.08*0.08</f>
        <v>1671.7738616000004</v>
      </c>
      <c r="M5" s="137">
        <f>+Tabla55[[#This Row],[PRECIO SUGERIDO]]+Tabla55[[#This Row],[ICO2]]</f>
        <v>24240.720993200004</v>
      </c>
      <c r="N5" s="141">
        <v>35000</v>
      </c>
      <c r="O5" s="132">
        <f t="shared" ref="O5:O21" si="3">+N5/1.08*0.08</f>
        <v>2592.5925925925926</v>
      </c>
      <c r="P5" s="139">
        <f t="shared" ref="P5:P21" si="4">+N5-O5</f>
        <v>32407.407407407409</v>
      </c>
      <c r="Q5" s="133">
        <f t="shared" ref="Q5:Q21" si="5">+D5/P5</f>
        <v>0.24374462902128002</v>
      </c>
      <c r="R5" s="194">
        <f t="shared" ref="R5:R21" si="6">+P5/D5</f>
        <v>4.1026545036719373</v>
      </c>
      <c r="S5" s="263">
        <v>37000</v>
      </c>
      <c r="T5" s="133">
        <f>+Tabla55[[#This Row],[COSTO]]/Tabla55[[#This Row],[Incremento 13%]]</f>
        <v>0.21349004043405409</v>
      </c>
    </row>
    <row r="6" spans="1:20" hidden="1" x14ac:dyDescent="0.25">
      <c r="A6" s="113">
        <v>2</v>
      </c>
      <c r="B6" s="129" t="str">
        <f>+ENTRADAS!B147</f>
        <v>TACO DE POSTA</v>
      </c>
      <c r="C6" s="130"/>
      <c r="D6" s="131">
        <f>+ENTRADAS!K150</f>
        <v>6949.769016839251</v>
      </c>
      <c r="E6" s="132">
        <f>+ENTRADAS!K151</f>
        <v>0</v>
      </c>
      <c r="F6" s="132">
        <f t="shared" si="0"/>
        <v>0</v>
      </c>
      <c r="G6" s="131">
        <f>+Tabla55[[#This Row],[VENTA]]-Tabla55[[#This Row],[ICO 8%]]</f>
        <v>0</v>
      </c>
      <c r="H6" s="133"/>
      <c r="I6" s="134">
        <f>+Tabla55[[#This Row],[BASE]]/Tabla55[[#This Row],[COSTO]]</f>
        <v>0</v>
      </c>
      <c r="J6" s="135" t="e">
        <f>+VLOOKUP(Tabla55[[#This Row],[ENTRADAS]],#REF!,2,0)</f>
        <v>#REF!</v>
      </c>
      <c r="K6" s="136">
        <f t="shared" si="1"/>
        <v>19856.482905255005</v>
      </c>
      <c r="L6" s="131">
        <f t="shared" si="2"/>
        <v>1470.8505855744449</v>
      </c>
      <c r="M6" s="137">
        <f>+Tabla55[[#This Row],[PRECIO SUGERIDO]]+Tabla55[[#This Row],[ICO2]]</f>
        <v>21327.333490829449</v>
      </c>
      <c r="N6" s="141">
        <f>+Tabla55[[#This Row],[VENTA]]</f>
        <v>0</v>
      </c>
      <c r="O6" s="132">
        <f t="shared" si="3"/>
        <v>0</v>
      </c>
      <c r="P6" s="139">
        <f t="shared" si="4"/>
        <v>0</v>
      </c>
      <c r="Q6" s="133" t="e">
        <f t="shared" si="5"/>
        <v>#DIV/0!</v>
      </c>
      <c r="R6" s="194">
        <f t="shared" si="6"/>
        <v>0</v>
      </c>
      <c r="S6" s="62">
        <f>+Tabla55[[#This Row],[VENTA]]*13%+Tabla55[[#This Row],[VENTA]]</f>
        <v>0</v>
      </c>
      <c r="T6" s="133" t="e">
        <f>+Tabla55[[#This Row],[COSTO]]/Tabla55[[#This Row],[Incremento 13%]]</f>
        <v>#DIV/0!</v>
      </c>
    </row>
    <row r="7" spans="1:20" hidden="1" x14ac:dyDescent="0.25">
      <c r="A7" s="113">
        <v>3</v>
      </c>
      <c r="B7" s="129" t="str">
        <f>+ENTRADAS!B159</f>
        <v>TACO DE CHICHARRON</v>
      </c>
      <c r="C7" s="130"/>
      <c r="D7" s="131">
        <f>+ENTRADAS!K162</f>
        <v>4248.9093557809501</v>
      </c>
      <c r="E7" s="132">
        <f>+ENTRADAS!K163</f>
        <v>0</v>
      </c>
      <c r="F7" s="132">
        <f t="shared" si="0"/>
        <v>0</v>
      </c>
      <c r="G7" s="131">
        <f>+Tabla55[[#This Row],[VENTA]]-Tabla55[[#This Row],[ICO 8%]]</f>
        <v>0</v>
      </c>
      <c r="H7" s="133"/>
      <c r="I7" s="134">
        <f>+Tabla55[[#This Row],[BASE]]/Tabla55[[#This Row],[COSTO]]</f>
        <v>0</v>
      </c>
      <c r="J7" s="135" t="e">
        <f>+VLOOKUP(Tabla55[[#This Row],[ENTRADAS]],#REF!,2,0)</f>
        <v>#REF!</v>
      </c>
      <c r="K7" s="136">
        <f t="shared" si="1"/>
        <v>12139.741016517</v>
      </c>
      <c r="L7" s="131">
        <f t="shared" si="2"/>
        <v>899.24007529755556</v>
      </c>
      <c r="M7" s="137">
        <f>+Tabla55[[#This Row],[PRECIO SUGERIDO]]+Tabla55[[#This Row],[ICO2]]</f>
        <v>13038.981091814556</v>
      </c>
      <c r="N7" s="141">
        <f>+Tabla55[[#This Row],[VENTA]]</f>
        <v>0</v>
      </c>
      <c r="O7" s="132">
        <f t="shared" si="3"/>
        <v>0</v>
      </c>
      <c r="P7" s="139">
        <f t="shared" si="4"/>
        <v>0</v>
      </c>
      <c r="Q7" s="133" t="e">
        <f t="shared" si="5"/>
        <v>#DIV/0!</v>
      </c>
      <c r="R7" s="194">
        <f t="shared" si="6"/>
        <v>0</v>
      </c>
      <c r="S7" s="62">
        <f>+Tabla55[[#This Row],[VENTA]]*13%+Tabla55[[#This Row],[VENTA]]</f>
        <v>0</v>
      </c>
      <c r="T7" s="272" t="e">
        <f>+Tabla55[[#This Row],[COSTO]]/Tabla55[[#This Row],[Incremento 13%]]</f>
        <v>#DIV/0!</v>
      </c>
    </row>
    <row r="8" spans="1:20" hidden="1" x14ac:dyDescent="0.25">
      <c r="A8" s="113">
        <v>4</v>
      </c>
      <c r="B8" s="129" t="str">
        <f>+ENTRADAS!B131</f>
        <v>TACO DE CAMARONES</v>
      </c>
      <c r="C8" s="130"/>
      <c r="D8" s="131">
        <f>+ENTRADAS!K134</f>
        <v>3630.8446926937499</v>
      </c>
      <c r="E8" s="132">
        <f>+ENTRADAS!K135</f>
        <v>0</v>
      </c>
      <c r="F8" s="132">
        <f t="shared" si="0"/>
        <v>0</v>
      </c>
      <c r="G8" s="131">
        <f>+Tabla55[[#This Row],[VENTA]]-Tabla55[[#This Row],[ICO 8%]]</f>
        <v>0</v>
      </c>
      <c r="H8" s="133"/>
      <c r="I8" s="134">
        <f>+Tabla55[[#This Row],[BASE]]/Tabla55[[#This Row],[COSTO]]</f>
        <v>0</v>
      </c>
      <c r="J8" s="135" t="e">
        <f>+VLOOKUP(Tabla55[[#This Row],[ENTRADAS]],#REF!,2,0)</f>
        <v>#REF!</v>
      </c>
      <c r="K8" s="136">
        <f t="shared" si="1"/>
        <v>10373.841979125</v>
      </c>
      <c r="L8" s="131">
        <f t="shared" si="2"/>
        <v>768.43273919444448</v>
      </c>
      <c r="M8" s="137">
        <f>+Tabla55[[#This Row],[PRECIO SUGERIDO]]+Tabla55[[#This Row],[ICO2]]</f>
        <v>11142.274718319444</v>
      </c>
      <c r="N8" s="141">
        <f>+Tabla55[[#This Row],[VENTA]]</f>
        <v>0</v>
      </c>
      <c r="O8" s="132">
        <f t="shared" si="3"/>
        <v>0</v>
      </c>
      <c r="P8" s="139">
        <f t="shared" si="4"/>
        <v>0</v>
      </c>
      <c r="Q8" s="133" t="e">
        <f t="shared" si="5"/>
        <v>#DIV/0!</v>
      </c>
      <c r="R8" s="194">
        <f t="shared" si="6"/>
        <v>0</v>
      </c>
      <c r="S8" s="62">
        <f>+Tabla55[[#This Row],[VENTA]]*13%+Tabla55[[#This Row],[VENTA]]</f>
        <v>0</v>
      </c>
      <c r="T8" s="272" t="e">
        <f>+Tabla55[[#This Row],[COSTO]]/Tabla55[[#This Row],[Incremento 13%]]</f>
        <v>#DIV/0!</v>
      </c>
    </row>
    <row r="9" spans="1:20" hidden="1" x14ac:dyDescent="0.25">
      <c r="A9" s="113">
        <v>5</v>
      </c>
      <c r="B9" s="129" t="str">
        <f>+ENTRADAS!B115</f>
        <v>TACO DE PESCADO</v>
      </c>
      <c r="C9" s="130"/>
      <c r="D9" s="131">
        <f>+ENTRADAS!K118</f>
        <v>3420.6682380937496</v>
      </c>
      <c r="E9" s="132">
        <f>+ENTRADAS!K119</f>
        <v>0</v>
      </c>
      <c r="F9" s="132">
        <f t="shared" si="0"/>
        <v>0</v>
      </c>
      <c r="G9" s="131">
        <f>+Tabla55[[#This Row],[VENTA]]-Tabla55[[#This Row],[ICO 8%]]</f>
        <v>0</v>
      </c>
      <c r="H9" s="133"/>
      <c r="I9" s="134">
        <f>+Tabla55[[#This Row],[BASE]]/Tabla55[[#This Row],[COSTO]]</f>
        <v>0</v>
      </c>
      <c r="J9" s="135" t="e">
        <f>+VLOOKUP(Tabla55[[#This Row],[ENTRADAS]],#REF!,2,0)</f>
        <v>#REF!</v>
      </c>
      <c r="K9" s="136">
        <f t="shared" si="1"/>
        <v>9773.337823124999</v>
      </c>
      <c r="L9" s="131">
        <f t="shared" si="2"/>
        <v>723.95094986111098</v>
      </c>
      <c r="M9" s="137">
        <f>+Tabla55[[#This Row],[PRECIO SUGERIDO]]+Tabla55[[#This Row],[ICO2]]</f>
        <v>10497.28877298611</v>
      </c>
      <c r="N9" s="141">
        <f>+Tabla55[[#This Row],[VENTA]]</f>
        <v>0</v>
      </c>
      <c r="O9" s="132">
        <f t="shared" si="3"/>
        <v>0</v>
      </c>
      <c r="P9" s="139">
        <f t="shared" si="4"/>
        <v>0</v>
      </c>
      <c r="Q9" s="133" t="e">
        <f t="shared" si="5"/>
        <v>#DIV/0!</v>
      </c>
      <c r="R9" s="194">
        <f t="shared" si="6"/>
        <v>0</v>
      </c>
      <c r="S9" s="62">
        <f>+Tabla55[[#This Row],[VENTA]]*13%+Tabla55[[#This Row],[VENTA]]</f>
        <v>0</v>
      </c>
      <c r="T9" s="272" t="e">
        <f>+Tabla55[[#This Row],[COSTO]]/Tabla55[[#This Row],[Incremento 13%]]</f>
        <v>#DIV/0!</v>
      </c>
    </row>
    <row r="10" spans="1:20" x14ac:dyDescent="0.25">
      <c r="A10" s="113">
        <v>6</v>
      </c>
      <c r="B10" s="129" t="str">
        <f>+ENTRADAS!B251</f>
        <v>NACHOS MARINEROS</v>
      </c>
      <c r="C10" s="130"/>
      <c r="D10" s="131">
        <f>+ENTRADAS!K254</f>
        <v>15446.886576953999</v>
      </c>
      <c r="E10" s="132">
        <f>+ENTRADAS!K255</f>
        <v>49000</v>
      </c>
      <c r="F10" s="132">
        <f t="shared" si="0"/>
        <v>3629.6296296296291</v>
      </c>
      <c r="G10" s="131">
        <f>+Tabla55[[#This Row],[VENTA]]-Tabla55[[#This Row],[ICO 8%]]</f>
        <v>45370.370370370372</v>
      </c>
      <c r="H10" s="133">
        <f>+Tabla55[[#This Row],[COSTO]]/Tabla55[[#This Row],[BASE]]</f>
        <v>0.34046198985939424</v>
      </c>
      <c r="I10" s="134">
        <f>+Tabla55[[#This Row],[BASE]]/Tabla55[[#This Row],[COSTO]]</f>
        <v>2.9371854415025451</v>
      </c>
      <c r="J10" s="135" t="e">
        <f>+VLOOKUP(Tabla55[[#This Row],[ENTRADAS]],#REF!,2,0)</f>
        <v>#REF!</v>
      </c>
      <c r="K10" s="136">
        <f t="shared" si="1"/>
        <v>44133.961648439996</v>
      </c>
      <c r="L10" s="131">
        <f t="shared" si="2"/>
        <v>3269.1823443288886</v>
      </c>
      <c r="M10" s="137">
        <f>+Tabla55[[#This Row],[PRECIO SUGERIDO]]+Tabla55[[#This Row],[ICO2]]</f>
        <v>47403.143992768884</v>
      </c>
      <c r="N10" s="141">
        <v>49000</v>
      </c>
      <c r="O10" s="132">
        <f t="shared" si="3"/>
        <v>3629.6296296296291</v>
      </c>
      <c r="P10" s="139">
        <f t="shared" si="4"/>
        <v>45370.370370370372</v>
      </c>
      <c r="Q10" s="133">
        <f t="shared" si="5"/>
        <v>0.34046198985939424</v>
      </c>
      <c r="R10" s="194">
        <f t="shared" si="6"/>
        <v>2.9371854415025451</v>
      </c>
      <c r="S10" s="263">
        <v>55000</v>
      </c>
      <c r="T10" s="133">
        <f>+Tabla55[[#This Row],[COSTO]]/Tabla55[[#This Row],[Incremento 13%]]</f>
        <v>0.28085248321734546</v>
      </c>
    </row>
    <row r="11" spans="1:20" x14ac:dyDescent="0.25">
      <c r="A11" s="113">
        <v>7</v>
      </c>
      <c r="B11" s="129" t="str">
        <f>+ENTRADAS!B170</f>
        <v>CHICHARRONES CARIBEÃ‘OS</v>
      </c>
      <c r="C11" s="130" t="s">
        <v>459</v>
      </c>
      <c r="D11" s="131">
        <f>+ENTRADAS!K173</f>
        <v>13198.323922906502</v>
      </c>
      <c r="E11" s="132">
        <f>+ENTRADAS!K174</f>
        <v>39000</v>
      </c>
      <c r="F11" s="132">
        <f t="shared" si="0"/>
        <v>2888.8888888888887</v>
      </c>
      <c r="G11" s="131">
        <f>+Tabla55[[#This Row],[VENTA]]-Tabla55[[#This Row],[ICO 8%]]</f>
        <v>36111.111111111109</v>
      </c>
      <c r="H11" s="133">
        <f>+Tabla55[[#This Row],[COSTO]]/Tabla55[[#This Row],[BASE]]</f>
        <v>0.36549204709587241</v>
      </c>
      <c r="I11" s="134">
        <f>+Tabla55[[#This Row],[BASE]]/Tabla55[[#This Row],[COSTO]]</f>
        <v>2.7360376455405868</v>
      </c>
      <c r="J11" s="135" t="e">
        <f>+VLOOKUP(Tabla55[[#This Row],[ENTRADAS]],#REF!,2,0)</f>
        <v>#REF!</v>
      </c>
      <c r="K11" s="136">
        <f t="shared" si="1"/>
        <v>37709.496922590006</v>
      </c>
      <c r="L11" s="131">
        <f t="shared" si="2"/>
        <v>2793.2960683400006</v>
      </c>
      <c r="M11" s="137">
        <f>+Tabla55[[#This Row],[PRECIO SUGERIDO]]+Tabla55[[#This Row],[ICO2]]</f>
        <v>40502.792990930007</v>
      </c>
      <c r="N11" s="138">
        <v>42000</v>
      </c>
      <c r="O11" s="132">
        <f t="shared" si="3"/>
        <v>3111.1111111111109</v>
      </c>
      <c r="P11" s="139">
        <f t="shared" si="4"/>
        <v>38888.888888888891</v>
      </c>
      <c r="Q11" s="133">
        <f t="shared" si="5"/>
        <v>0.33938547230331007</v>
      </c>
      <c r="R11" s="194">
        <f t="shared" si="6"/>
        <v>2.94650207981294</v>
      </c>
      <c r="S11" s="263">
        <v>44000</v>
      </c>
      <c r="T11" s="133">
        <f>+Tabla55[[#This Row],[COSTO]]/Tabla55[[#This Row],[Incremento 13%]]</f>
        <v>0.29996190733878414</v>
      </c>
    </row>
    <row r="12" spans="1:20" x14ac:dyDescent="0.25">
      <c r="A12" s="113">
        <v>8</v>
      </c>
      <c r="B12" s="129" t="str">
        <f>+ENTRADAS!B67</f>
        <v>PICADA DE MAR</v>
      </c>
      <c r="C12" s="130" t="s">
        <v>454</v>
      </c>
      <c r="D12" s="131">
        <f>+ENTRADAS!K70</f>
        <v>14827.464434569498</v>
      </c>
      <c r="E12" s="132">
        <f>+ENTRADAS!K71</f>
        <v>49000</v>
      </c>
      <c r="F12" s="132">
        <f t="shared" si="0"/>
        <v>3629.6296296296291</v>
      </c>
      <c r="G12" s="131">
        <f>+Tabla55[[#This Row],[VENTA]]-Tabla55[[#This Row],[ICO 8%]]</f>
        <v>45370.370370370372</v>
      </c>
      <c r="H12" s="133">
        <f>+Tabla55[[#This Row],[COSTO]]/Tabla55[[#This Row],[BASE]]</f>
        <v>0.32680942019051135</v>
      </c>
      <c r="I12" s="134">
        <f>+Tabla55[[#This Row],[BASE]]/Tabla55[[#This Row],[COSTO]]</f>
        <v>3.0598873172537582</v>
      </c>
      <c r="J12" s="135" t="e">
        <f>+VLOOKUP(Tabla55[[#This Row],[ENTRADAS]],#REF!,2,0)</f>
        <v>#REF!</v>
      </c>
      <c r="K12" s="136">
        <f t="shared" si="1"/>
        <v>42364.184098769991</v>
      </c>
      <c r="L12" s="131">
        <f t="shared" si="2"/>
        <v>3138.087711019999</v>
      </c>
      <c r="M12" s="137">
        <f>+Tabla55[[#This Row],[PRECIO SUGERIDO]]+Tabla55[[#This Row],[ICO2]]</f>
        <v>45502.271809789992</v>
      </c>
      <c r="N12" s="141">
        <v>49000</v>
      </c>
      <c r="O12" s="132">
        <f t="shared" si="3"/>
        <v>3629.6296296296291</v>
      </c>
      <c r="P12" s="139">
        <f t="shared" si="4"/>
        <v>45370.370370370372</v>
      </c>
      <c r="Q12" s="133">
        <f t="shared" si="5"/>
        <v>0.32680942019051135</v>
      </c>
      <c r="R12" s="194">
        <f t="shared" si="6"/>
        <v>3.0598873172537582</v>
      </c>
      <c r="S12" s="307">
        <v>55000</v>
      </c>
      <c r="T12" s="133">
        <f>+Tabla55[[#This Row],[COSTO]]/Tabla55[[#This Row],[Incremento 13%]]</f>
        <v>0.26959026244671813</v>
      </c>
    </row>
    <row r="13" spans="1:20" x14ac:dyDescent="0.25">
      <c r="A13" s="113">
        <v>9</v>
      </c>
      <c r="B13" s="129" t="str">
        <f>+ENTRADAS!B219</f>
        <v>TACO TIERRA</v>
      </c>
      <c r="C13" s="130" t="s">
        <v>458</v>
      </c>
      <c r="D13" s="131">
        <f>+ENTRADAS!K222</f>
        <v>9012.4207773268208</v>
      </c>
      <c r="E13" s="132">
        <f>+ENTRADAS!K223</f>
        <v>35000</v>
      </c>
      <c r="F13" s="132">
        <f t="shared" si="0"/>
        <v>2592.5925925925926</v>
      </c>
      <c r="G13" s="131">
        <f>+Tabla55[[#This Row],[VENTA]]-Tabla55[[#This Row],[ICO 8%]]</f>
        <v>32407.407407407409</v>
      </c>
      <c r="H13" s="133">
        <f>+Tabla55[[#This Row],[COSTO]]/Tabla55[[#This Row],[BASE]]</f>
        <v>0.27809755541465619</v>
      </c>
      <c r="I13" s="134">
        <f>+Tabla55[[#This Row],[BASE]]/Tabla55[[#This Row],[COSTO]]</f>
        <v>3.595860447277051</v>
      </c>
      <c r="J13" s="135" t="e">
        <f>+VLOOKUP(Tabla55[[#This Row],[ENTRADAS]],#REF!,2,0)</f>
        <v>#REF!</v>
      </c>
      <c r="K13" s="136">
        <f t="shared" si="1"/>
        <v>25749.773649505205</v>
      </c>
      <c r="L13" s="131">
        <f t="shared" si="2"/>
        <v>1907.390640704089</v>
      </c>
      <c r="M13" s="137">
        <f>+Tabla55[[#This Row],[PRECIO SUGERIDO]]+Tabla55[[#This Row],[ICO2]]</f>
        <v>27657.164290209294</v>
      </c>
      <c r="N13" s="141">
        <v>35000</v>
      </c>
      <c r="O13" s="132">
        <f t="shared" si="3"/>
        <v>2592.5925925925926</v>
      </c>
      <c r="P13" s="139">
        <f t="shared" si="4"/>
        <v>32407.407407407409</v>
      </c>
      <c r="Q13" s="133">
        <f t="shared" si="5"/>
        <v>0.27809755541465619</v>
      </c>
      <c r="R13" s="194">
        <f t="shared" si="6"/>
        <v>3.595860447277051</v>
      </c>
      <c r="S13" s="263">
        <v>38000</v>
      </c>
      <c r="T13" s="133">
        <f>+Tabla55[[#This Row],[COSTO]]/Tabla55[[#This Row],[Incremento 13%]]</f>
        <v>0.23716896782439001</v>
      </c>
    </row>
    <row r="14" spans="1:20" x14ac:dyDescent="0.25">
      <c r="A14" s="113">
        <v>10</v>
      </c>
      <c r="B14" s="129" t="str">
        <f>+ENTRADAS!B49</f>
        <v>GRATINADO DE SETAS</v>
      </c>
      <c r="C14" s="130" t="s">
        <v>537</v>
      </c>
      <c r="D14" s="131">
        <f>+ENTRADAS!K52</f>
        <v>9691.7023522200016</v>
      </c>
      <c r="E14" s="132">
        <f>+ENTRADAS!K53</f>
        <v>39000</v>
      </c>
      <c r="F14" s="132">
        <f t="shared" si="0"/>
        <v>2888.8888888888887</v>
      </c>
      <c r="G14" s="131">
        <f>+Tabla55[[#This Row],[VENTA]]-Tabla55[[#This Row],[ICO 8%]]</f>
        <v>36111.111111111109</v>
      </c>
      <c r="H14" s="133">
        <f>+Tabla55[[#This Row],[COSTO]]/Tabla55[[#This Row],[BASE]]</f>
        <v>0.26838560359993852</v>
      </c>
      <c r="I14" s="134">
        <f>+Tabla55[[#This Row],[BASE]]/Tabla55[[#This Row],[COSTO]]</f>
        <v>3.7259822680005668</v>
      </c>
      <c r="J14" s="135" t="e">
        <f>+VLOOKUP(Tabla55[[#This Row],[ENTRADAS]],#REF!,2,0)</f>
        <v>#REF!</v>
      </c>
      <c r="K14" s="136">
        <f t="shared" si="1"/>
        <v>27690.578149200002</v>
      </c>
      <c r="L14" s="131">
        <f t="shared" si="2"/>
        <v>2051.1539369777779</v>
      </c>
      <c r="M14" s="137">
        <f>+Tabla55[[#This Row],[PRECIO SUGERIDO]]+Tabla55[[#This Row],[ICO2]]</f>
        <v>29741.732086177781</v>
      </c>
      <c r="N14" s="141">
        <v>39000</v>
      </c>
      <c r="O14" s="132">
        <f t="shared" si="3"/>
        <v>2888.8888888888887</v>
      </c>
      <c r="P14" s="139">
        <f t="shared" si="4"/>
        <v>36111.111111111109</v>
      </c>
      <c r="Q14" s="133">
        <f t="shared" si="5"/>
        <v>0.26838560359993852</v>
      </c>
      <c r="R14" s="194">
        <f t="shared" si="6"/>
        <v>3.7259822680005668</v>
      </c>
      <c r="S14" s="263">
        <v>44000</v>
      </c>
      <c r="T14" s="133">
        <f>+Tabla55[[#This Row],[COSTO]]/Tabla55[[#This Row],[Incremento 13%]]</f>
        <v>0.22026596255045458</v>
      </c>
    </row>
    <row r="15" spans="1:20" x14ac:dyDescent="0.25">
      <c r="A15" s="113">
        <v>11</v>
      </c>
      <c r="B15" s="129" t="str">
        <f>+ENTRADAS!B188</f>
        <v>PULPO PARRILLADO</v>
      </c>
      <c r="C15" s="130" t="s">
        <v>539</v>
      </c>
      <c r="D15" s="131">
        <f>+ENTRADAS!K191</f>
        <v>20520.492750869998</v>
      </c>
      <c r="E15" s="132">
        <f>+ENTRADAS!K192</f>
        <v>85000</v>
      </c>
      <c r="F15" s="132">
        <f t="shared" si="0"/>
        <v>6296.2962962962956</v>
      </c>
      <c r="G15" s="131">
        <f>+Tabla55[[#This Row],[VENTA]]-Tabla55[[#This Row],[ICO 8%]]</f>
        <v>78703.703703703708</v>
      </c>
      <c r="H15" s="133">
        <f>+Tabla55[[#This Row],[COSTO]]/Tabla55[[#This Row],[BASE]]</f>
        <v>0.26073096671693646</v>
      </c>
      <c r="I15" s="134">
        <f>+Tabla55[[#This Row],[BASE]]/Tabla55[[#This Row],[COSTO]]</f>
        <v>3.8353710439222732</v>
      </c>
      <c r="J15" s="135" t="e">
        <f>+VLOOKUP(Tabla55[[#This Row],[ENTRADAS]],#REF!,2,0)</f>
        <v>#REF!</v>
      </c>
      <c r="K15" s="136">
        <f t="shared" si="1"/>
        <v>58629.979288199989</v>
      </c>
      <c r="L15" s="131">
        <f t="shared" si="2"/>
        <v>4342.9614287555542</v>
      </c>
      <c r="M15" s="137">
        <f>+Tabla55[[#This Row],[PRECIO SUGERIDO]]+Tabla55[[#This Row],[ICO2]]</f>
        <v>62972.940716955542</v>
      </c>
      <c r="N15" s="141">
        <v>85000</v>
      </c>
      <c r="O15" s="132">
        <f t="shared" si="3"/>
        <v>6296.2962962962956</v>
      </c>
      <c r="P15" s="139">
        <f t="shared" si="4"/>
        <v>78703.703703703708</v>
      </c>
      <c r="Q15" s="133">
        <f t="shared" si="5"/>
        <v>0.26073096671693646</v>
      </c>
      <c r="R15" s="194">
        <f t="shared" si="6"/>
        <v>3.8353710439222732</v>
      </c>
      <c r="S15" s="263">
        <v>92000</v>
      </c>
      <c r="T15" s="133">
        <f>+Tabla55[[#This Row],[COSTO]]/Tabla55[[#This Row],[Incremento 13%]]</f>
        <v>0.22304883424858693</v>
      </c>
    </row>
    <row r="16" spans="1:20" x14ac:dyDescent="0.25">
      <c r="A16" s="113">
        <v>12</v>
      </c>
      <c r="B16" s="129" t="str">
        <f>+ENTRADAS!B233</f>
        <v>TACO MIXTO</v>
      </c>
      <c r="C16" s="130" t="s">
        <v>456</v>
      </c>
      <c r="D16" s="131">
        <f>+ENTRADAS!K236</f>
        <v>8362.9655841420499</v>
      </c>
      <c r="E16" s="132">
        <f>+ENTRADAS!K237</f>
        <v>35000</v>
      </c>
      <c r="F16" s="132">
        <f t="shared" si="0"/>
        <v>2592.5925925925926</v>
      </c>
      <c r="G16" s="131">
        <f>+Tabla55[[#This Row],[VENTA]]-Tabla55[[#This Row],[ICO 8%]]</f>
        <v>32407.407407407409</v>
      </c>
      <c r="H16" s="133">
        <f>+Tabla55[[#This Row],[COSTO]]/Tabla55[[#This Row],[BASE]]</f>
        <v>0.25805722373924039</v>
      </c>
      <c r="I16" s="134">
        <f>+Tabla55[[#This Row],[BASE]]/Tabla55[[#This Row],[COSTO]]</f>
        <v>3.8751095028848024</v>
      </c>
      <c r="J16" s="135" t="e">
        <f>+VLOOKUP(Tabla55[[#This Row],[ENTRADAS]],#REF!,2,0)</f>
        <v>#REF!</v>
      </c>
      <c r="K16" s="136">
        <f t="shared" si="1"/>
        <v>23894.187383263001</v>
      </c>
      <c r="L16" s="131">
        <f t="shared" si="2"/>
        <v>1769.9398061676295</v>
      </c>
      <c r="M16" s="137">
        <f>+Tabla55[[#This Row],[PRECIO SUGERIDO]]+Tabla55[[#This Row],[ICO2]]</f>
        <v>25664.12718943063</v>
      </c>
      <c r="N16" s="141">
        <v>35000</v>
      </c>
      <c r="O16" s="132">
        <f t="shared" si="3"/>
        <v>2592.5925925925926</v>
      </c>
      <c r="P16" s="139">
        <f t="shared" si="4"/>
        <v>32407.407407407409</v>
      </c>
      <c r="Q16" s="133">
        <f t="shared" si="5"/>
        <v>0.25805722373924039</v>
      </c>
      <c r="R16" s="194">
        <f t="shared" si="6"/>
        <v>3.8751095028848024</v>
      </c>
      <c r="S16" s="263">
        <v>38000</v>
      </c>
      <c r="T16" s="133">
        <f>+Tabla55[[#This Row],[COSTO]]/Tabla55[[#This Row],[Incremento 13%]]</f>
        <v>0.22007804168794867</v>
      </c>
    </row>
    <row r="17" spans="1:20" x14ac:dyDescent="0.25">
      <c r="A17" s="113">
        <v>13</v>
      </c>
      <c r="B17" s="129" t="str">
        <f>+ENTRADAS!B6</f>
        <v>BOCADOS DEL ORIENTE</v>
      </c>
      <c r="C17" s="130" t="s">
        <v>452</v>
      </c>
      <c r="D17" s="131">
        <f>+ENTRADAS!K9</f>
        <v>6412.5786981900001</v>
      </c>
      <c r="E17" s="132">
        <f>+ENTRADAS!K10</f>
        <v>31000</v>
      </c>
      <c r="F17" s="132">
        <f t="shared" si="0"/>
        <v>2296.2962962962961</v>
      </c>
      <c r="G17" s="131">
        <f>+Tabla55[[#This Row],[VENTA]]-Tabla55[[#This Row],[ICO 8%]]</f>
        <v>28703.703703703704</v>
      </c>
      <c r="H17" s="133">
        <f>+Tabla55[[#This Row],[COSTO]]/Tabla55[[#This Row],[BASE]]</f>
        <v>0.22340596754984515</v>
      </c>
      <c r="I17" s="134">
        <f>+Tabla55[[#This Row],[BASE]]/Tabla55[[#This Row],[COSTO]]</f>
        <v>4.4761561697177372</v>
      </c>
      <c r="J17" s="135" t="e">
        <f>+VLOOKUP(Tabla55[[#This Row],[ENTRADAS]],#REF!,2,0)</f>
        <v>#REF!</v>
      </c>
      <c r="K17" s="136">
        <f t="shared" si="1"/>
        <v>18321.653423399999</v>
      </c>
      <c r="L17" s="131">
        <f t="shared" si="2"/>
        <v>1357.1595128444442</v>
      </c>
      <c r="M17" s="137">
        <f>+Tabla55[[#This Row],[PRECIO SUGERIDO]]+Tabla55[[#This Row],[ICO2]]</f>
        <v>19678.812936244445</v>
      </c>
      <c r="N17" s="141">
        <v>31000</v>
      </c>
      <c r="O17" s="132">
        <f t="shared" si="3"/>
        <v>2296.2962962962961</v>
      </c>
      <c r="P17" s="139">
        <f t="shared" si="4"/>
        <v>28703.703703703704</v>
      </c>
      <c r="Q17" s="133">
        <f t="shared" si="5"/>
        <v>0.22340596754984515</v>
      </c>
      <c r="R17" s="236">
        <f t="shared" si="6"/>
        <v>4.4761561697177372</v>
      </c>
      <c r="S17" s="394">
        <v>35000</v>
      </c>
      <c r="T17" s="133">
        <f>+Tabla55[[#This Row],[COSTO]]/Tabla55[[#This Row],[Incremento 13%]]</f>
        <v>0.183216534234</v>
      </c>
    </row>
    <row r="18" spans="1:20" x14ac:dyDescent="0.25">
      <c r="A18" s="113">
        <v>14</v>
      </c>
      <c r="B18" s="129" t="str">
        <f>+ENTRADAS!B17</f>
        <v>DEDOS DE QUESO COSTEÃ‘O</v>
      </c>
      <c r="C18" s="130" t="s">
        <v>453</v>
      </c>
      <c r="D18" s="131">
        <f>+ENTRADAS!K20</f>
        <v>5327.9285245199999</v>
      </c>
      <c r="E18" s="132">
        <f>+ENTRADAS!K21</f>
        <v>26000</v>
      </c>
      <c r="F18" s="132">
        <f t="shared" si="0"/>
        <v>1925.9259259259259</v>
      </c>
      <c r="G18" s="131">
        <f>+Tabla55[[#This Row],[VENTA]]-Tabla55[[#This Row],[ICO 8%]]</f>
        <v>24074.074074074073</v>
      </c>
      <c r="H18" s="133">
        <f>+Tabla55[[#This Row],[COSTO]]/Tabla55[[#This Row],[BASE]]</f>
        <v>0.22131395409544616</v>
      </c>
      <c r="I18" s="134">
        <f>+Tabla55[[#This Row],[BASE]]/Tabla55[[#This Row],[COSTO]]</f>
        <v>4.518467911737412</v>
      </c>
      <c r="J18" s="135" t="e">
        <f>+VLOOKUP(Tabla55[[#This Row],[ENTRADAS]],#REF!,2,0)</f>
        <v>#REF!</v>
      </c>
      <c r="K18" s="136">
        <f t="shared" si="1"/>
        <v>15222.652927199999</v>
      </c>
      <c r="L18" s="131">
        <f t="shared" si="2"/>
        <v>1127.6039205333332</v>
      </c>
      <c r="M18" s="137">
        <f>+Tabla55[[#This Row],[PRECIO SUGERIDO]]+Tabla55[[#This Row],[ICO2]]</f>
        <v>16350.256847733332</v>
      </c>
      <c r="N18" s="141">
        <v>26000</v>
      </c>
      <c r="O18" s="132">
        <f t="shared" si="3"/>
        <v>1925.9259259259259</v>
      </c>
      <c r="P18" s="139">
        <f t="shared" si="4"/>
        <v>24074.074074074073</v>
      </c>
      <c r="Q18" s="133">
        <f t="shared" si="5"/>
        <v>0.22131395409544616</v>
      </c>
      <c r="R18" s="194">
        <f t="shared" si="6"/>
        <v>4.518467911737412</v>
      </c>
      <c r="S18" s="263">
        <v>29000</v>
      </c>
      <c r="T18" s="133">
        <f>+Tabla55[[#This Row],[COSTO]]/Tabla55[[#This Row],[Incremento 13%]]</f>
        <v>0.18372167325931035</v>
      </c>
    </row>
    <row r="19" spans="1:20" x14ac:dyDescent="0.25">
      <c r="A19" s="113">
        <v>15</v>
      </c>
      <c r="B19" s="129" t="str">
        <f>+ENTRADAS!B205</f>
        <v>TACO DE MAR</v>
      </c>
      <c r="C19" s="130" t="s">
        <v>457</v>
      </c>
      <c r="D19" s="131">
        <f>+ENTRADAS!K208</f>
        <v>6981.197137109998</v>
      </c>
      <c r="E19" s="132">
        <f>+ENTRADAS!K209</f>
        <v>35000</v>
      </c>
      <c r="F19" s="132">
        <f t="shared" si="0"/>
        <v>2592.5925925925926</v>
      </c>
      <c r="G19" s="131">
        <f>+Tabla55[[#This Row],[VENTA]]-Tabla55[[#This Row],[ICO 8%]]</f>
        <v>32407.407407407409</v>
      </c>
      <c r="H19" s="133">
        <f>+Tabla55[[#This Row],[COSTO]]/Tabla55[[#This Row],[BASE]]</f>
        <v>0.21541979737367994</v>
      </c>
      <c r="I19" s="134">
        <f>+Tabla55[[#This Row],[BASE]]/Tabla55[[#This Row],[COSTO]]</f>
        <v>4.6420988794513667</v>
      </c>
      <c r="J19" s="135" t="e">
        <f>+VLOOKUP(Tabla55[[#This Row],[ENTRADAS]],#REF!,2,0)</f>
        <v>#REF!</v>
      </c>
      <c r="K19" s="136">
        <f t="shared" si="1"/>
        <v>19946.277534599994</v>
      </c>
      <c r="L19" s="131">
        <f t="shared" si="2"/>
        <v>1477.5020395999995</v>
      </c>
      <c r="M19" s="137">
        <f>+Tabla55[[#This Row],[PRECIO SUGERIDO]]+Tabla55[[#This Row],[ICO2]]</f>
        <v>21423.779574199994</v>
      </c>
      <c r="N19" s="141">
        <v>35000</v>
      </c>
      <c r="O19" s="132">
        <f t="shared" si="3"/>
        <v>2592.5925925925926</v>
      </c>
      <c r="P19" s="139">
        <f t="shared" si="4"/>
        <v>32407.407407407409</v>
      </c>
      <c r="Q19" s="133">
        <f t="shared" si="5"/>
        <v>0.21541979737367994</v>
      </c>
      <c r="R19" s="237">
        <f t="shared" si="6"/>
        <v>4.6420988794513667</v>
      </c>
      <c r="S19" s="393">
        <v>38000</v>
      </c>
      <c r="T19" s="174">
        <f>+Tabla55[[#This Row],[COSTO]]/Tabla55[[#This Row],[Incremento 13%]]</f>
        <v>0.18371571413447363</v>
      </c>
    </row>
    <row r="20" spans="1:20" x14ac:dyDescent="0.25">
      <c r="A20" s="113">
        <v>16</v>
      </c>
      <c r="B20" s="142" t="str">
        <f>+ENTRADAS!B29</f>
        <v>GRATINADO DE JAIBA</v>
      </c>
      <c r="C20" s="143" t="s">
        <v>538</v>
      </c>
      <c r="D20" s="144">
        <f>+ENTRADAS!K32</f>
        <v>7468.0027874549996</v>
      </c>
      <c r="E20" s="145">
        <f>+ENTRADAS!K33</f>
        <v>41000</v>
      </c>
      <c r="F20" s="145">
        <f t="shared" si="0"/>
        <v>3037.037037037037</v>
      </c>
      <c r="G20" s="144">
        <f>+Tabla55[[#This Row],[VENTA]]-Tabla55[[#This Row],[ICO 8%]]</f>
        <v>37962.962962962964</v>
      </c>
      <c r="H20" s="146">
        <f>+Tabla55[[#This Row],[COSTO]]/Tabla55[[#This Row],[BASE]]</f>
        <v>0.19671812220613169</v>
      </c>
      <c r="I20" s="147">
        <f>+Tabla55[[#This Row],[BASE]]/Tabla55[[#This Row],[COSTO]]</f>
        <v>5.0834157462734773</v>
      </c>
      <c r="J20" s="148" t="e">
        <f>+VLOOKUP(Tabla55[[#This Row],[ENTRADAS]],#REF!,2,0)</f>
        <v>#REF!</v>
      </c>
      <c r="K20" s="149">
        <f t="shared" si="1"/>
        <v>21337.150821300002</v>
      </c>
      <c r="L20" s="144">
        <f t="shared" si="2"/>
        <v>1580.5296904666666</v>
      </c>
      <c r="M20" s="150">
        <f>+Tabla55[[#This Row],[PRECIO SUGERIDO]]+Tabla55[[#This Row],[ICO2]]</f>
        <v>22917.680511766666</v>
      </c>
      <c r="N20" s="141">
        <v>41000</v>
      </c>
      <c r="O20" s="145">
        <f t="shared" si="3"/>
        <v>3037.037037037037</v>
      </c>
      <c r="P20" s="151">
        <f t="shared" si="4"/>
        <v>37962.962962962964</v>
      </c>
      <c r="Q20" s="146">
        <f t="shared" si="5"/>
        <v>0.19671812220613169</v>
      </c>
      <c r="R20" s="152">
        <f t="shared" si="6"/>
        <v>5.0834157462734773</v>
      </c>
      <c r="S20" s="393">
        <v>46000</v>
      </c>
      <c r="T20" s="174">
        <f>+Tabla55[[#This Row],[COSTO]]/Tabla55[[#This Row],[Incremento 13%]]</f>
        <v>0.16234788668380434</v>
      </c>
    </row>
    <row r="21" spans="1:20" ht="13.8" thickBot="1" x14ac:dyDescent="0.3">
      <c r="B21" s="142" t="str">
        <f>+ENTRADAS!B103</f>
        <v>CROQUETAS CREMOSA DE JAIBA</v>
      </c>
      <c r="C21" s="143" t="s">
        <v>460</v>
      </c>
      <c r="D21" s="144">
        <f>+ENTRADAS!K106</f>
        <v>4572.1883588850005</v>
      </c>
      <c r="E21" s="145">
        <f>+ENTRADAS!K107</f>
        <v>35000</v>
      </c>
      <c r="F21" s="145">
        <f t="shared" si="0"/>
        <v>2592.5925925925926</v>
      </c>
      <c r="G21" s="144">
        <f>+Tabla55[[#This Row],[VENTA]]-Tabla55[[#This Row],[ICO 8%]]</f>
        <v>32407.407407407409</v>
      </c>
      <c r="H21" s="146">
        <f>+Tabla55[[#This Row],[COSTO]]/Tabla55[[#This Row],[BASE]]</f>
        <v>0.14108466935988001</v>
      </c>
      <c r="I21" s="147">
        <f>+Tabla55[[#This Row],[BASE]]/Tabla55[[#This Row],[COSTO]]</f>
        <v>7.0879423295042159</v>
      </c>
      <c r="J21" s="148" t="e">
        <f>+VLOOKUP(Tabla55[[#This Row],[ENTRADAS]],#REF!,2,0)</f>
        <v>#REF!</v>
      </c>
      <c r="K21" s="149">
        <f t="shared" si="1"/>
        <v>13063.395311100001</v>
      </c>
      <c r="L21" s="144">
        <f t="shared" si="2"/>
        <v>967.65891193333334</v>
      </c>
      <c r="M21" s="150">
        <f>+Tabla55[[#This Row],[PRECIO SUGERIDO]]+Tabla55[[#This Row],[ICO2]]</f>
        <v>14031.054223033334</v>
      </c>
      <c r="N21" s="141">
        <v>35000</v>
      </c>
      <c r="O21" s="145">
        <f t="shared" si="3"/>
        <v>2592.5925925925926</v>
      </c>
      <c r="P21" s="151">
        <f t="shared" si="4"/>
        <v>32407.407407407409</v>
      </c>
      <c r="Q21" s="146">
        <f t="shared" si="5"/>
        <v>0.14108466935988001</v>
      </c>
      <c r="R21" s="152">
        <f t="shared" si="6"/>
        <v>7.0879423295042159</v>
      </c>
      <c r="S21" s="394">
        <v>38000</v>
      </c>
      <c r="T21" s="174">
        <f>+Tabla55[[#This Row],[COSTO]]/Tabla55[[#This Row],[Incremento 13%]]</f>
        <v>0.12032074628644739</v>
      </c>
    </row>
    <row r="22" spans="1:20" ht="13.8" thickBot="1" x14ac:dyDescent="0.3">
      <c r="B22" s="153" t="s">
        <v>35</v>
      </c>
      <c r="C22" s="154"/>
      <c r="D22" s="155"/>
      <c r="E22" s="156"/>
      <c r="F22" s="156"/>
      <c r="G22" s="157"/>
      <c r="H22" s="158">
        <f>SUBTOTAL(101,Tabla55[%])</f>
        <v>0.25690168817098563</v>
      </c>
      <c r="I22" s="156"/>
      <c r="J22" s="156" t="e">
        <f>SUBTOTAL(109,Tabla55[ROTACION])</f>
        <v>#REF!</v>
      </c>
      <c r="K22" s="159"/>
      <c r="L22" s="155"/>
      <c r="M22" s="156"/>
      <c r="N22" s="160"/>
      <c r="O22" s="156"/>
      <c r="P22" s="155"/>
      <c r="Q22" s="161"/>
      <c r="R22" s="162">
        <f>SUBTOTAL(109,Tabla55[RATION])</f>
        <v>53.886633641010079</v>
      </c>
      <c r="S22" s="282"/>
      <c r="T22" s="280"/>
    </row>
    <row r="23" spans="1:20" x14ac:dyDescent="0.25">
      <c r="B23" s="4"/>
      <c r="C23" s="48"/>
      <c r="D23" s="163"/>
      <c r="E23" s="164"/>
      <c r="F23" s="4"/>
      <c r="G23" s="48"/>
      <c r="H23" s="165"/>
      <c r="I23" s="112"/>
      <c r="J23" s="166"/>
      <c r="K23" s="36"/>
      <c r="L23" s="4"/>
      <c r="M23" s="167"/>
      <c r="N23" s="36"/>
      <c r="O23" s="167"/>
      <c r="P23" s="168"/>
    </row>
    <row r="24" spans="1:20" x14ac:dyDescent="0.25">
      <c r="B24" s="4"/>
      <c r="C24" s="48"/>
      <c r="D24" s="163"/>
      <c r="E24" s="164"/>
      <c r="F24" s="4"/>
      <c r="G24" s="48"/>
      <c r="H24" s="165"/>
      <c r="I24" s="112"/>
      <c r="J24" s="166"/>
      <c r="K24" s="36"/>
      <c r="L24" s="4"/>
      <c r="M24" s="167"/>
      <c r="N24" s="36"/>
      <c r="O24" s="167"/>
      <c r="P24" s="168"/>
    </row>
    <row r="25" spans="1:20" x14ac:dyDescent="0.25">
      <c r="B25" s="4"/>
      <c r="C25" s="48"/>
      <c r="D25" s="163"/>
      <c r="E25" s="164"/>
      <c r="F25" s="4"/>
      <c r="G25" s="48"/>
      <c r="H25" s="165"/>
      <c r="I25" s="112"/>
      <c r="J25" s="166"/>
      <c r="K25" s="36"/>
      <c r="L25" s="4"/>
      <c r="M25" s="167"/>
      <c r="N25" s="36"/>
      <c r="O25" s="167"/>
      <c r="P25" s="168"/>
    </row>
    <row r="26" spans="1:20" x14ac:dyDescent="0.25">
      <c r="B26" s="4"/>
      <c r="C26" s="48"/>
      <c r="D26" s="163"/>
      <c r="E26" s="117" t="s">
        <v>25</v>
      </c>
      <c r="F26" s="114"/>
      <c r="G26" s="118"/>
      <c r="H26" s="114"/>
      <c r="I26" s="114"/>
      <c r="J26" s="166"/>
      <c r="K26" s="396" t="s">
        <v>29</v>
      </c>
      <c r="L26" s="396"/>
      <c r="M26" s="396"/>
      <c r="N26" s="395" t="s">
        <v>1090</v>
      </c>
      <c r="O26" s="395"/>
      <c r="P26" s="395"/>
      <c r="Q26" s="395"/>
    </row>
    <row r="27" spans="1:20" x14ac:dyDescent="0.25">
      <c r="A27" s="170"/>
      <c r="B27" s="226" t="s">
        <v>594</v>
      </c>
      <c r="C27" s="120" t="s">
        <v>316</v>
      </c>
      <c r="D27" s="227" t="s">
        <v>7</v>
      </c>
      <c r="E27" s="228" t="s">
        <v>20</v>
      </c>
      <c r="F27" s="229" t="s">
        <v>33</v>
      </c>
      <c r="G27" s="227" t="s">
        <v>26</v>
      </c>
      <c r="H27" s="127" t="s">
        <v>21</v>
      </c>
      <c r="I27" s="120" t="s">
        <v>22</v>
      </c>
      <c r="J27" s="120" t="s">
        <v>23</v>
      </c>
      <c r="K27" s="120" t="s">
        <v>27</v>
      </c>
      <c r="L27" s="227" t="s">
        <v>32</v>
      </c>
      <c r="M27" s="120" t="s">
        <v>28</v>
      </c>
      <c r="N27" s="230" t="s">
        <v>30</v>
      </c>
      <c r="O27" s="227" t="s">
        <v>34</v>
      </c>
      <c r="P27" s="227" t="s">
        <v>25</v>
      </c>
      <c r="Q27" s="127" t="s">
        <v>31</v>
      </c>
      <c r="R27" s="128" t="s">
        <v>24</v>
      </c>
      <c r="S27" s="231" t="s">
        <v>1262</v>
      </c>
      <c r="T27" s="284" t="s">
        <v>1263</v>
      </c>
    </row>
    <row r="28" spans="1:20" x14ac:dyDescent="0.25">
      <c r="A28" s="113">
        <v>1</v>
      </c>
      <c r="B28" s="129" t="str">
        <f>+'LOS ARREBATOS DEL CHEF'!B5</f>
        <v>PESCA MALANGA</v>
      </c>
      <c r="C28" s="130"/>
      <c r="D28" s="131">
        <f>+'LOS ARREBATOS DEL CHEF'!K8</f>
        <v>25181.785860566997</v>
      </c>
      <c r="E28" s="132">
        <v>66000</v>
      </c>
      <c r="F28" s="132">
        <f t="shared" ref="F28:F29" si="7">+E28/1.08*0.08</f>
        <v>4888.8888888888887</v>
      </c>
      <c r="G28" s="131">
        <f>+Tabla5557319[[#This Row],[VENTA]]-Tabla5557319[[#This Row],[ICO 8%]]</f>
        <v>61111.111111111109</v>
      </c>
      <c r="H28" s="133">
        <f>+Tabla5557319[[#This Row],[COSTO]]/Tabla5557319[[#This Row],[BASE]]</f>
        <v>0.41206558680927813</v>
      </c>
      <c r="I28" s="134">
        <f>+Tabla5557319[[#This Row],[BASE]]/Tabla5557319[[#This Row],[COSTO]]</f>
        <v>2.4267981409057668</v>
      </c>
      <c r="J28" s="135" t="e">
        <f>+VLOOKUP(Tabla5557319[[#This Row],[LOS ARREBATOS DEL CHEF]],#REF!,2,0)</f>
        <v>#REF!</v>
      </c>
      <c r="K28" s="136">
        <f t="shared" ref="K28:K29" si="8">+D28/(100-65)*100</f>
        <v>71947.959601619994</v>
      </c>
      <c r="L28" s="131">
        <f t="shared" ref="L28:L29" si="9">+K28/1.08*0.08</f>
        <v>5329.4784890088886</v>
      </c>
      <c r="M28" s="137">
        <f>+Tabla5557319[[#This Row],[PRECIO SUGERIDO]]+Tabla5557319[[#This Row],[ICO2]]</f>
        <v>77277.438090628886</v>
      </c>
      <c r="N28" s="132">
        <v>66000</v>
      </c>
      <c r="O28" s="132">
        <f t="shared" ref="O28:O29" si="10">+N28/1.08*0.08</f>
        <v>4888.8888888888887</v>
      </c>
      <c r="P28" s="139">
        <f t="shared" ref="P28:P29" si="11">+N28-O28</f>
        <v>61111.111111111109</v>
      </c>
      <c r="Q28" s="133">
        <f t="shared" ref="Q28:Q29" si="12">+D28/P28</f>
        <v>0.41206558680927813</v>
      </c>
      <c r="R28" s="140">
        <f t="shared" ref="R28:R29" si="13">+P28/D28</f>
        <v>2.4267981409057668</v>
      </c>
      <c r="S28" s="62">
        <v>79000</v>
      </c>
      <c r="T28" s="133">
        <f>+Tabla5557319[[#This Row],[COSTO]]/Tabla5557319[[#This Row],[Incremento 13%]]</f>
        <v>0.31875678304515187</v>
      </c>
    </row>
    <row r="29" spans="1:20" x14ac:dyDescent="0.25">
      <c r="A29" s="113">
        <v>2</v>
      </c>
      <c r="B29" s="129" t="str">
        <f>+'LOS ARREBATOS DEL CHEF'!B29</f>
        <v>RISOTTO Y PESCA BLANCA TROPICAL</v>
      </c>
      <c r="C29" s="130" t="s">
        <v>899</v>
      </c>
      <c r="D29" s="131">
        <f>+'LOS ARREBATOS DEL CHEF'!K32</f>
        <v>21443.445515499003</v>
      </c>
      <c r="E29" s="132">
        <v>74000</v>
      </c>
      <c r="F29" s="132">
        <f t="shared" si="7"/>
        <v>5481.4814814814808</v>
      </c>
      <c r="G29" s="131">
        <f>+Tabla5557319[[#This Row],[VENTA]]-Tabla5557319[[#This Row],[ICO 8%]]</f>
        <v>68518.518518518526</v>
      </c>
      <c r="H29" s="133">
        <f>+Tabla5557319[[#This Row],[COSTO]]/Tabla5557319[[#This Row],[BASE]]</f>
        <v>0.31295839400998543</v>
      </c>
      <c r="I29" s="134">
        <f>+Tabla5557319[[#This Row],[BASE]]/Tabla5557319[[#This Row],[COSTO]]</f>
        <v>3.1953129206308923</v>
      </c>
      <c r="J29" s="135" t="e">
        <f>+VLOOKUP(Tabla5557319[[#This Row],[LOS ARREBATOS DEL CHEF]],#REF!,2,0)</f>
        <v>#REF!</v>
      </c>
      <c r="K29" s="136">
        <f t="shared" si="8"/>
        <v>61266.98718714001</v>
      </c>
      <c r="L29" s="131">
        <f t="shared" si="9"/>
        <v>4538.2953471955561</v>
      </c>
      <c r="M29" s="137">
        <f>+Tabla5557319[[#This Row],[PRECIO SUGERIDO]]+Tabla5557319[[#This Row],[ICO2]]</f>
        <v>65805.282534335565</v>
      </c>
      <c r="N29" s="132">
        <v>74000</v>
      </c>
      <c r="O29" s="132">
        <f t="shared" si="10"/>
        <v>5481.4814814814808</v>
      </c>
      <c r="P29" s="139">
        <f t="shared" si="11"/>
        <v>68518.518518518526</v>
      </c>
      <c r="Q29" s="133">
        <f t="shared" si="12"/>
        <v>0.31295839400998543</v>
      </c>
      <c r="R29" s="140">
        <f t="shared" si="13"/>
        <v>3.1953129206308923</v>
      </c>
      <c r="S29" s="62">
        <v>77000</v>
      </c>
      <c r="T29" s="133">
        <f>+Tabla5557319[[#This Row],[COSTO]]/Tabla5557319[[#This Row],[Incremento 13%]]</f>
        <v>0.27848630539609093</v>
      </c>
    </row>
    <row r="30" spans="1:20" x14ac:dyDescent="0.25">
      <c r="A30" s="113">
        <v>4</v>
      </c>
      <c r="B30" s="316" t="str">
        <f>+'LOS ARREBATOS DEL CHEF'!B58</f>
        <v>ARROZ DEL CARIBE</v>
      </c>
      <c r="C30" s="306" t="s">
        <v>919</v>
      </c>
      <c r="D30" s="315">
        <f>+'LOS ARREBATOS DEL CHEF'!K61</f>
        <v>14664.996626773498</v>
      </c>
      <c r="E30" s="202">
        <v>54000</v>
      </c>
      <c r="F30" s="202">
        <f>+E30/1.08*0.08</f>
        <v>4000</v>
      </c>
      <c r="G30" s="315">
        <f>+Tabla5557319[[#This Row],[VENTA]]-Tabla5557319[[#This Row],[ICO 8%]]</f>
        <v>50000</v>
      </c>
      <c r="H30" s="317">
        <f>+Tabla5557319[[#This Row],[COSTO]]/Tabla5557319[[#This Row],[BASE]]</f>
        <v>0.29329993253546999</v>
      </c>
      <c r="I30" s="318">
        <f>+Tabla5557319[[#This Row],[BASE]]/Tabla5557319[[#This Row],[COSTO]]</f>
        <v>3.4094791340569639</v>
      </c>
      <c r="J30" s="319" t="e">
        <f>+VLOOKUP(Tabla5557319[[#This Row],[LOS ARREBATOS DEL CHEF]],#REF!,2,0)</f>
        <v>#REF!</v>
      </c>
      <c r="K30" s="320">
        <f>+D30/(100-65)*100</f>
        <v>41899.990362209996</v>
      </c>
      <c r="L30" s="315">
        <f>+K30/1.08*0.08</f>
        <v>3103.7029897933326</v>
      </c>
      <c r="M30" s="321">
        <f>+Tabla5557319[[#This Row],[PRECIO SUGERIDO]]+Tabla5557319[[#This Row],[ICO2]]</f>
        <v>45003.693352003327</v>
      </c>
      <c r="N30" s="202">
        <v>54000</v>
      </c>
      <c r="O30" s="202">
        <f>+N30/1.08*0.08</f>
        <v>4000</v>
      </c>
      <c r="P30" s="315">
        <f>+N30-O30</f>
        <v>50000</v>
      </c>
      <c r="Q30" s="317">
        <f>+D30/P30</f>
        <v>0.29329993253546999</v>
      </c>
      <c r="R30" s="322">
        <f>+P30/D30</f>
        <v>3.4094791340569639</v>
      </c>
      <c r="S30" s="307">
        <v>61000</v>
      </c>
      <c r="T30" s="133">
        <f>+Tabla5557319[[#This Row],[COSTO]]/Tabla5557319[[#This Row],[Incremento 13%]]</f>
        <v>0.24040978076677866</v>
      </c>
    </row>
    <row r="31" spans="1:20" x14ac:dyDescent="0.25">
      <c r="B31" s="129" t="str">
        <f>+'LOS ARREBATOS DEL CHEF'!B76</f>
        <v>SOPA DE CANGREJO</v>
      </c>
      <c r="C31" s="130"/>
      <c r="D31" s="131">
        <f>+'LOS ARREBATOS DEL CHEF'!K79</f>
        <v>17987.89383745725</v>
      </c>
      <c r="E31" s="132"/>
      <c r="F31" s="132">
        <f>+E31/1.08*0.08</f>
        <v>0</v>
      </c>
      <c r="G31" s="131">
        <f>+Tabla5557319[[#This Row],[VENTA]]-Tabla5557319[[#This Row],[ICO 8%]]</f>
        <v>0</v>
      </c>
      <c r="H31" s="133" t="e">
        <f>+Tabla5557319[[#This Row],[COSTO]]/Tabla5557319[[#This Row],[BASE]]</f>
        <v>#DIV/0!</v>
      </c>
      <c r="I31" s="134">
        <f>+Tabla5557319[[#This Row],[BASE]]/Tabla5557319[[#This Row],[COSTO]]</f>
        <v>0</v>
      </c>
      <c r="J31" s="135" t="e">
        <f>+VLOOKUP(Tabla5557319[[#This Row],[LOS ARREBATOS DEL CHEF]],#REF!,2,0)</f>
        <v>#REF!</v>
      </c>
      <c r="K31" s="136">
        <f>+D31/(100-65)*100</f>
        <v>51393.982392734993</v>
      </c>
      <c r="L31" s="131">
        <f>+K31/1.08*0.08</f>
        <v>3806.9616587211103</v>
      </c>
      <c r="M31" s="137">
        <f>+Tabla5557319[[#This Row],[PRECIO SUGERIDO]]+Tabla5557319[[#This Row],[ICO2]]</f>
        <v>55200.944051456107</v>
      </c>
      <c r="N31" s="132"/>
      <c r="O31" s="132">
        <f>+N31/1.08*0.08</f>
        <v>0</v>
      </c>
      <c r="P31" s="139">
        <f>+N31-O31</f>
        <v>0</v>
      </c>
      <c r="Q31" s="133" t="e">
        <f>+D31/P31</f>
        <v>#DIV/0!</v>
      </c>
      <c r="R31" s="140">
        <f>+P31/D31</f>
        <v>0</v>
      </c>
      <c r="S31" s="62">
        <v>59000</v>
      </c>
      <c r="T31" s="390">
        <f>+Tabla5557319[[#This Row],[COSTO]]/Tabla5557319[[#This Row],[Incremento 13%]]</f>
        <v>0.30487955656707205</v>
      </c>
    </row>
    <row r="32" spans="1:20" ht="13.8" thickBot="1" x14ac:dyDescent="0.3">
      <c r="B32" s="129" t="str">
        <f>+'LOS ARREBATOS DEL CHEF'!B95</f>
        <v>GAMBAS</v>
      </c>
      <c r="C32" s="130"/>
      <c r="D32" s="131">
        <f>+'LOS ARREBATOS DEL CHEF'!K98</f>
        <v>19126.896845112002</v>
      </c>
      <c r="E32" s="132"/>
      <c r="F32" s="132">
        <f>+E32/1.08*0.08</f>
        <v>0</v>
      </c>
      <c r="G32" s="131">
        <f>+Tabla5557319[[#This Row],[VENTA]]-Tabla5557319[[#This Row],[ICO 8%]]</f>
        <v>0</v>
      </c>
      <c r="H32" s="133" t="e">
        <f>+Tabla5557319[[#This Row],[COSTO]]/Tabla5557319[[#This Row],[BASE]]</f>
        <v>#DIV/0!</v>
      </c>
      <c r="I32" s="134">
        <f>+Tabla5557319[[#This Row],[BASE]]/Tabla5557319[[#This Row],[COSTO]]</f>
        <v>0</v>
      </c>
      <c r="J32" s="135" t="e">
        <f>+VLOOKUP(Tabla5557319[[#This Row],[LOS ARREBATOS DEL CHEF]],#REF!,2,0)</f>
        <v>#REF!</v>
      </c>
      <c r="K32" s="136">
        <f>+D32/(100-65)*100</f>
        <v>54648.276700319999</v>
      </c>
      <c r="L32" s="131">
        <f>+K32/1.08*0.08</f>
        <v>4048.0204963199999</v>
      </c>
      <c r="M32" s="137">
        <f>+Tabla5557319[[#This Row],[PRECIO SUGERIDO]]+Tabla5557319[[#This Row],[ICO2]]</f>
        <v>58696.29719664</v>
      </c>
      <c r="N32" s="132"/>
      <c r="O32" s="132">
        <f>+N32/1.08*0.08</f>
        <v>0</v>
      </c>
      <c r="P32" s="139">
        <f>+N32-O32</f>
        <v>0</v>
      </c>
      <c r="Q32" s="133" t="e">
        <f>+D32/P32</f>
        <v>#DIV/0!</v>
      </c>
      <c r="R32" s="140">
        <f>+P32/D32</f>
        <v>0</v>
      </c>
      <c r="S32" s="62">
        <v>62000</v>
      </c>
      <c r="T32" s="390">
        <f>+Tabla5557319[[#This Row],[COSTO]]/Tabla5557319[[#This Row],[Incremento 13%]]</f>
        <v>0.30849833621148393</v>
      </c>
    </row>
    <row r="33" spans="1:20" ht="13.8" thickBot="1" x14ac:dyDescent="0.3">
      <c r="B33" s="153"/>
      <c r="C33" s="181"/>
      <c r="D33" s="155"/>
      <c r="E33" s="156"/>
      <c r="F33" s="156"/>
      <c r="G33" s="157"/>
      <c r="H33" s="158" t="e">
        <f>SUBTOTAL(101,Tabla5557319[%])</f>
        <v>#DIV/0!</v>
      </c>
      <c r="I33" s="156"/>
      <c r="J33" s="156" t="e">
        <f>SUBTOTAL(109,Tabla5557319[ROTACION])</f>
        <v>#REF!</v>
      </c>
      <c r="K33" s="159"/>
      <c r="L33" s="155"/>
      <c r="M33" s="156"/>
      <c r="N33" s="160"/>
      <c r="O33" s="156"/>
      <c r="P33" s="155"/>
      <c r="Q33" s="161"/>
      <c r="R33" s="162">
        <f>SUBTOTAL(109,Tabla5557319[RATION])</f>
        <v>9.0315901955936226</v>
      </c>
      <c r="S33" s="225"/>
      <c r="T33" s="225"/>
    </row>
    <row r="34" spans="1:20" x14ac:dyDescent="0.25">
      <c r="B34" s="4"/>
      <c r="C34" s="48"/>
      <c r="D34" s="163"/>
      <c r="E34" s="164"/>
      <c r="F34" s="4"/>
      <c r="G34" s="48"/>
      <c r="H34" s="165"/>
      <c r="I34" s="112"/>
      <c r="J34" s="166"/>
      <c r="K34" s="36"/>
      <c r="L34" s="4"/>
      <c r="M34" s="167"/>
      <c r="N34" s="36"/>
      <c r="O34" s="167"/>
      <c r="P34" s="168"/>
    </row>
    <row r="35" spans="1:20" x14ac:dyDescent="0.25">
      <c r="B35" s="4"/>
      <c r="C35" s="48"/>
      <c r="D35" s="163"/>
      <c r="E35" s="164"/>
      <c r="F35" s="4"/>
      <c r="G35" s="48"/>
      <c r="H35" s="165"/>
      <c r="I35" s="112"/>
      <c r="J35" s="166"/>
      <c r="K35" s="36"/>
      <c r="L35" s="4"/>
      <c r="M35" s="167"/>
      <c r="N35" s="36"/>
      <c r="O35" s="167"/>
      <c r="P35" s="168"/>
    </row>
    <row r="36" spans="1:20" x14ac:dyDescent="0.25">
      <c r="D36" s="164"/>
      <c r="E36" s="117" t="s">
        <v>25</v>
      </c>
      <c r="F36" s="114"/>
      <c r="G36" s="118"/>
      <c r="H36" s="114"/>
      <c r="I36" s="114"/>
      <c r="J36" s="70"/>
      <c r="K36" s="396" t="s">
        <v>29</v>
      </c>
      <c r="L36" s="396"/>
      <c r="M36" s="396"/>
      <c r="N36" s="395" t="s">
        <v>1090</v>
      </c>
      <c r="O36" s="395"/>
      <c r="P36" s="395"/>
      <c r="Q36" s="395"/>
    </row>
    <row r="37" spans="1:20" x14ac:dyDescent="0.25">
      <c r="B37" s="183" t="s">
        <v>172</v>
      </c>
      <c r="C37" s="184" t="s">
        <v>316</v>
      </c>
      <c r="D37" s="185" t="s">
        <v>7</v>
      </c>
      <c r="E37" s="186" t="s">
        <v>20</v>
      </c>
      <c r="F37" s="187" t="s">
        <v>33</v>
      </c>
      <c r="G37" s="185" t="s">
        <v>26</v>
      </c>
      <c r="H37" s="188" t="s">
        <v>21</v>
      </c>
      <c r="I37" s="189" t="s">
        <v>22</v>
      </c>
      <c r="J37" s="125" t="s">
        <v>23</v>
      </c>
      <c r="K37" s="189" t="s">
        <v>27</v>
      </c>
      <c r="L37" s="185" t="s">
        <v>32</v>
      </c>
      <c r="M37" s="189" t="s">
        <v>28</v>
      </c>
      <c r="N37" s="190" t="s">
        <v>30</v>
      </c>
      <c r="O37" s="185" t="s">
        <v>34</v>
      </c>
      <c r="P37" s="185" t="s">
        <v>25</v>
      </c>
      <c r="Q37" s="191" t="s">
        <v>31</v>
      </c>
      <c r="R37" s="192" t="s">
        <v>24</v>
      </c>
      <c r="S37" s="238" t="s">
        <v>1262</v>
      </c>
      <c r="T37" s="271" t="s">
        <v>1263</v>
      </c>
    </row>
    <row r="38" spans="1:20" x14ac:dyDescent="0.25">
      <c r="A38" s="113">
        <v>1</v>
      </c>
      <c r="B38" s="130" t="str">
        <f>+LANGOSTINOS!B6</f>
        <v>LANGOSTINOS ARREBATADOS</v>
      </c>
      <c r="C38" s="193" t="s">
        <v>540</v>
      </c>
      <c r="D38" s="131">
        <f>+LANGOSTINOS!K9</f>
        <v>16534.077603274003</v>
      </c>
      <c r="E38" s="132">
        <f>+LANGOSTINOS!K10</f>
        <v>56000</v>
      </c>
      <c r="F38" s="132">
        <f>+E38/1.08*0.08</f>
        <v>4148.1481481481478</v>
      </c>
      <c r="G38" s="131">
        <f>+Tabla5557[[#This Row],[VENTA]]-Tabla5557[[#This Row],[ICO 8%]]</f>
        <v>51851.851851851854</v>
      </c>
      <c r="H38" s="133">
        <f>+Tabla5557[[#This Row],[COSTO]]/Tabla5557[[#This Row],[BASE]]</f>
        <v>0.31887149663457004</v>
      </c>
      <c r="I38" s="134">
        <f>+Tabla5557[[#This Row],[BASE]]/Tabla5557[[#This Row],[COSTO]]</f>
        <v>3.1360595429638232</v>
      </c>
      <c r="J38" s="135" t="e">
        <f>+VLOOKUP(Tabla5557[[#This Row],[LANGOSTINOS]],#REF!,2,0)</f>
        <v>#REF!</v>
      </c>
      <c r="K38" s="136">
        <f>+D38/(100-65)*100</f>
        <v>47240.22172364001</v>
      </c>
      <c r="L38" s="131">
        <f>+K38/1.08*0.08</f>
        <v>3499.2756832325931</v>
      </c>
      <c r="M38" s="137">
        <f>+Tabla5557[[#This Row],[PRECIO SUGERIDO]]+Tabla5557[[#This Row],[ICO2]]</f>
        <v>50739.497406872601</v>
      </c>
      <c r="N38" s="141">
        <v>56000</v>
      </c>
      <c r="O38" s="132">
        <f>+N38/1.08*0.08</f>
        <v>4148.1481481481478</v>
      </c>
      <c r="P38" s="139">
        <f>+N38-O38</f>
        <v>51851.851851851854</v>
      </c>
      <c r="Q38" s="133">
        <f>+D38/P38</f>
        <v>0.31887149663457004</v>
      </c>
      <c r="R38" s="194">
        <f>+P38/D38</f>
        <v>3.1360595429638232</v>
      </c>
      <c r="S38" s="263">
        <v>60000</v>
      </c>
      <c r="T38" s="133">
        <f>+Tabla5557[[#This Row],[COSTO]]/Tabla5557[[#This Row],[Incremento 13%]]</f>
        <v>0.27556796005456674</v>
      </c>
    </row>
    <row r="39" spans="1:20" x14ac:dyDescent="0.25">
      <c r="A39" s="113">
        <v>2</v>
      </c>
      <c r="B39" s="306" t="str">
        <f>+LANGOSTINOS!B38</f>
        <v>LANGOSTINOS TIMBIQUI</v>
      </c>
      <c r="C39" s="323" t="s">
        <v>469</v>
      </c>
      <c r="D39" s="315">
        <f>+LANGOSTINOS!K41</f>
        <v>14394.660140035998</v>
      </c>
      <c r="E39" s="132">
        <f>+LANGOSTINOS!K42</f>
        <v>59000</v>
      </c>
      <c r="F39" s="132">
        <f>+E39/1.08*0.08</f>
        <v>4370.3703703703704</v>
      </c>
      <c r="G39" s="131">
        <f>+Tabla5557[[#This Row],[VENTA]]-Tabla5557[[#This Row],[ICO 8%]]</f>
        <v>54629.629629629628</v>
      </c>
      <c r="H39" s="133">
        <f>+Tabla5557[[#This Row],[COSTO]]/Tabla5557[[#This Row],[BASE]]</f>
        <v>0.26349547374981147</v>
      </c>
      <c r="I39" s="134">
        <f>+Tabla5557[[#This Row],[BASE]]/Tabla5557[[#This Row],[COSTO]]</f>
        <v>3.7951316042320267</v>
      </c>
      <c r="J39" s="135" t="e">
        <f>+VLOOKUP(Tabla5557[[#This Row],[LANGOSTINOS]],#REF!,2,0)</f>
        <v>#REF!</v>
      </c>
      <c r="K39" s="136">
        <f>+D39/(100-65)*100</f>
        <v>41127.600400102856</v>
      </c>
      <c r="L39" s="131">
        <f>+K39/1.08*0.08</f>
        <v>3046.4889185261372</v>
      </c>
      <c r="M39" s="137">
        <f>+Tabla5557[[#This Row],[PRECIO SUGERIDO]]+Tabla5557[[#This Row],[ICO2]]</f>
        <v>44174.08931862899</v>
      </c>
      <c r="N39" s="141">
        <v>59000</v>
      </c>
      <c r="O39" s="132">
        <f>+N39/1.08*0.08</f>
        <v>4370.3703703703704</v>
      </c>
      <c r="P39" s="139">
        <f>+N39-O39</f>
        <v>54629.629629629628</v>
      </c>
      <c r="Q39" s="133">
        <f>+D39/P39</f>
        <v>0.26349547374981147</v>
      </c>
      <c r="R39" s="194">
        <f>+P39/D39</f>
        <v>3.7951316042320267</v>
      </c>
      <c r="S39" s="263">
        <v>59000</v>
      </c>
      <c r="T39" s="133">
        <f>+Tabla5557[[#This Row],[COSTO]]/Tabla5557[[#This Row],[Incremento 13%]]</f>
        <v>0.2439772905090847</v>
      </c>
    </row>
    <row r="40" spans="1:20" ht="13.8" thickBot="1" x14ac:dyDescent="0.3">
      <c r="A40" s="113">
        <v>3</v>
      </c>
      <c r="B40" s="143" t="str">
        <f>+LANGOSTINOS!B24</f>
        <v xml:space="preserve"> LANGOSTINOS EN COCO Y CURRY</v>
      </c>
      <c r="C40" s="143" t="s">
        <v>470</v>
      </c>
      <c r="D40" s="144">
        <f>+LANGOSTINOS!K27</f>
        <v>13533.059063149998</v>
      </c>
      <c r="E40" s="145">
        <f>+LANGOSTINOS!K28</f>
        <v>56000</v>
      </c>
      <c r="F40" s="145">
        <f>+E40/1.08*0.08</f>
        <v>4148.1481481481478</v>
      </c>
      <c r="G40" s="144">
        <f>+Tabla5557[[#This Row],[VENTA]]-Tabla5557[[#This Row],[ICO 8%]]</f>
        <v>51851.851851851854</v>
      </c>
      <c r="H40" s="146">
        <f>+Tabla5557[[#This Row],[COSTO]]/Tabla5557[[#This Row],[BASE]]</f>
        <v>0.26099471050360712</v>
      </c>
      <c r="I40" s="147">
        <f>+Tabla5557[[#This Row],[BASE]]/Tabla5557[[#This Row],[COSTO]]</f>
        <v>3.8314952746376805</v>
      </c>
      <c r="J40" s="148" t="e">
        <f>+VLOOKUP(Tabla5557[[#This Row],[LANGOSTINOS]],#REF!,2,0)</f>
        <v>#REF!</v>
      </c>
      <c r="K40" s="149">
        <f>+D40/(100-65)*100</f>
        <v>38665.883037571424</v>
      </c>
      <c r="L40" s="144">
        <f>+K40/1.08*0.08</f>
        <v>2864.1394842645495</v>
      </c>
      <c r="M40" s="150">
        <f>+Tabla5557[[#This Row],[PRECIO SUGERIDO]]+Tabla5557[[#This Row],[ICO2]]</f>
        <v>41530.02252183597</v>
      </c>
      <c r="N40" s="195">
        <v>56000</v>
      </c>
      <c r="O40" s="145">
        <f>+N40/1.08*0.08</f>
        <v>4148.1481481481478</v>
      </c>
      <c r="P40" s="151">
        <f>+N40-O40</f>
        <v>51851.851851851854</v>
      </c>
      <c r="Q40" s="146">
        <f>+D40/P40</f>
        <v>0.26099471050360712</v>
      </c>
      <c r="R40" s="196">
        <f>+P40/D40</f>
        <v>3.8314952746376805</v>
      </c>
      <c r="S40" s="263">
        <v>61000</v>
      </c>
      <c r="T40" s="133">
        <f>+Tabla5557[[#This Row],[COSTO]]/Tabla5557[[#This Row],[Incremento 13%]]</f>
        <v>0.22185342726475407</v>
      </c>
    </row>
    <row r="41" spans="1:20" ht="13.8" thickBot="1" x14ac:dyDescent="0.3">
      <c r="B41" s="153" t="s">
        <v>35</v>
      </c>
      <c r="C41" s="181"/>
      <c r="D41" s="155"/>
      <c r="E41" s="156"/>
      <c r="F41" s="156"/>
      <c r="G41" s="157"/>
      <c r="H41" s="158">
        <f>SUBTOTAL(101,Tabla5557[%])</f>
        <v>0.28112056029599619</v>
      </c>
      <c r="I41" s="156"/>
      <c r="J41" s="156" t="e">
        <f>SUBTOTAL(109,Tabla5557[ROTACION])</f>
        <v>#REF!</v>
      </c>
      <c r="K41" s="159"/>
      <c r="L41" s="155"/>
      <c r="M41" s="156"/>
      <c r="N41" s="160"/>
      <c r="O41" s="156"/>
      <c r="P41" s="155"/>
      <c r="Q41" s="161"/>
      <c r="R41" s="162">
        <f>SUBTOTAL(109,Tabla5557[RATION])</f>
        <v>10.76268642183353</v>
      </c>
      <c r="S41" s="40"/>
      <c r="T41" s="273"/>
    </row>
    <row r="44" spans="1:20" x14ac:dyDescent="0.25">
      <c r="E44" s="117" t="s">
        <v>25</v>
      </c>
      <c r="F44" s="114"/>
      <c r="G44" s="118"/>
      <c r="H44" s="114"/>
      <c r="I44" s="114"/>
      <c r="J44" s="70"/>
      <c r="K44" s="396" t="s">
        <v>29</v>
      </c>
      <c r="L44" s="396"/>
      <c r="M44" s="396"/>
      <c r="N44" s="395" t="s">
        <v>1090</v>
      </c>
      <c r="O44" s="395"/>
      <c r="P44" s="395"/>
      <c r="Q44" s="395"/>
    </row>
    <row r="45" spans="1:20" x14ac:dyDescent="0.25">
      <c r="B45" s="183" t="s">
        <v>322</v>
      </c>
      <c r="C45" s="184" t="s">
        <v>316</v>
      </c>
      <c r="D45" s="185" t="s">
        <v>7</v>
      </c>
      <c r="E45" s="186" t="s">
        <v>20</v>
      </c>
      <c r="F45" s="187" t="s">
        <v>33</v>
      </c>
      <c r="G45" s="185" t="s">
        <v>26</v>
      </c>
      <c r="H45" s="188" t="s">
        <v>21</v>
      </c>
      <c r="I45" s="189" t="s">
        <v>22</v>
      </c>
      <c r="J45" s="125" t="s">
        <v>23</v>
      </c>
      <c r="K45" s="189" t="s">
        <v>27</v>
      </c>
      <c r="L45" s="185" t="s">
        <v>32</v>
      </c>
      <c r="M45" s="189" t="s">
        <v>28</v>
      </c>
      <c r="N45" s="190" t="s">
        <v>30</v>
      </c>
      <c r="O45" s="185" t="s">
        <v>34</v>
      </c>
      <c r="P45" s="185" t="s">
        <v>25</v>
      </c>
      <c r="Q45" s="191" t="s">
        <v>31</v>
      </c>
      <c r="R45" s="192" t="s">
        <v>24</v>
      </c>
      <c r="S45" s="233" t="s">
        <v>1262</v>
      </c>
      <c r="T45" s="271" t="s">
        <v>1263</v>
      </c>
    </row>
    <row r="46" spans="1:20" x14ac:dyDescent="0.25">
      <c r="A46" s="113">
        <v>1</v>
      </c>
      <c r="B46" s="130" t="str">
        <f>+CEVICHES!B27</f>
        <v>CEVICHE DE CHICHARRON</v>
      </c>
      <c r="C46" s="130" t="s">
        <v>541</v>
      </c>
      <c r="D46" s="131">
        <f>+CEVICHES!K30</f>
        <v>14183.872835559001</v>
      </c>
      <c r="E46" s="132">
        <f>+CEVICHES!K31</f>
        <v>46000</v>
      </c>
      <c r="F46" s="132">
        <f>+E46/1.08*0.08</f>
        <v>3407.4074074074074</v>
      </c>
      <c r="G46" s="131">
        <f>+Tabla5557273[[#This Row],[VENTA]]-Tabla5557273[[#This Row],[ICO 8%]]</f>
        <v>42592.592592592591</v>
      </c>
      <c r="H46" s="133">
        <f>+Tabla5557273[[#This Row],[COSTO]]/Tabla5557273[[#This Row],[BASE]]</f>
        <v>0.33301266657399392</v>
      </c>
      <c r="I46" s="134">
        <f>+Tabla5557273[[#This Row],[BASE]]/Tabla5557273[[#This Row],[COSTO]]</f>
        <v>3.0028887798410646</v>
      </c>
      <c r="J46" s="135" t="e">
        <f>+VLOOKUP(Tabla5557273[[#This Row],[CEVICHES]],#REF!,2,0)</f>
        <v>#REF!</v>
      </c>
      <c r="K46" s="136">
        <f>+D46/(100-65)*100</f>
        <v>40525.350958740004</v>
      </c>
      <c r="L46" s="131">
        <f>+K46/1.08*0.08</f>
        <v>3001.877848795556</v>
      </c>
      <c r="M46" s="137">
        <f>+Tabla5557273[[#This Row],[PRECIO SUGERIDO]]+Tabla5557273[[#This Row],[ICO2]]</f>
        <v>43527.228807535561</v>
      </c>
      <c r="N46" s="138">
        <v>46000</v>
      </c>
      <c r="O46" s="132">
        <f>+N46/1.08*0.08</f>
        <v>3407.4074074074074</v>
      </c>
      <c r="P46" s="139">
        <f>+N46-O46</f>
        <v>42592.592592592591</v>
      </c>
      <c r="Q46" s="133">
        <f>+D46/P46</f>
        <v>0.33301266657399392</v>
      </c>
      <c r="R46" s="194">
        <f>+P46/D46</f>
        <v>3.0028887798410646</v>
      </c>
      <c r="S46" s="263">
        <v>49000</v>
      </c>
      <c r="T46" s="133">
        <f>+Tabla5557273[[#This Row],[COSTO]]/Tabla5557273[[#This Row],[Incremento 13%]]</f>
        <v>0.28946679256242858</v>
      </c>
    </row>
    <row r="47" spans="1:20" x14ac:dyDescent="0.25">
      <c r="A47" s="113">
        <v>2</v>
      </c>
      <c r="B47" s="130" t="str">
        <f>+CEVICHES!B41</f>
        <v>CEVICHE MIRAFLORES</v>
      </c>
      <c r="C47" s="130" t="s">
        <v>463</v>
      </c>
      <c r="D47" s="131">
        <f>+CEVICHES!K44</f>
        <v>16688.920683786997</v>
      </c>
      <c r="E47" s="132">
        <f>+CEVICHES!K45</f>
        <v>48000</v>
      </c>
      <c r="F47" s="132">
        <f>+E47/1.08*0.08</f>
        <v>3555.5555555555552</v>
      </c>
      <c r="G47" s="131">
        <f>+Tabla5557273[[#This Row],[VENTA]]-Tabla5557273[[#This Row],[ICO 8%]]</f>
        <v>44444.444444444445</v>
      </c>
      <c r="H47" s="133">
        <f>+Tabla5557273[[#This Row],[COSTO]]/Tabla5557273[[#This Row],[BASE]]</f>
        <v>0.37550071538520741</v>
      </c>
      <c r="I47" s="134">
        <f>+Tabla5557273[[#This Row],[BASE]]/Tabla5557273[[#This Row],[COSTO]]</f>
        <v>2.6631107719039893</v>
      </c>
      <c r="J47" s="135" t="e">
        <f>+VLOOKUP(Tabla5557273[[#This Row],[CEVICHES]],#REF!,2,0)</f>
        <v>#REF!</v>
      </c>
      <c r="K47" s="136">
        <f>+D47/(100-65)*100</f>
        <v>47682.630525105706</v>
      </c>
      <c r="L47" s="131">
        <f>+K47/1.08*0.08</f>
        <v>3532.0467055633858</v>
      </c>
      <c r="M47" s="137">
        <f>+Tabla5557273[[#This Row],[PRECIO SUGERIDO]]+Tabla5557273[[#This Row],[ICO2]]</f>
        <v>51214.677230669091</v>
      </c>
      <c r="N47" s="141">
        <v>51000</v>
      </c>
      <c r="O47" s="132">
        <f>+N47/1.08*0.08</f>
        <v>3777.7777777777774</v>
      </c>
      <c r="P47" s="139">
        <f>+N47-O47</f>
        <v>47222.222222222219</v>
      </c>
      <c r="Q47" s="133">
        <f>+D47/P47</f>
        <v>0.35341243800960703</v>
      </c>
      <c r="R47" s="194">
        <f>+P47/D47</f>
        <v>2.8295551951479885</v>
      </c>
      <c r="S47" s="263">
        <v>54000</v>
      </c>
      <c r="T47" s="133">
        <f>+Tabla5557273[[#This Row],[COSTO]]/Tabla5557273[[#This Row],[Incremento 13%]]</f>
        <v>0.30905408673679624</v>
      </c>
    </row>
    <row r="48" spans="1:20" x14ac:dyDescent="0.25">
      <c r="A48" s="113">
        <v>3</v>
      </c>
      <c r="B48" s="130" t="str">
        <f>+CEVICHES!B6</f>
        <v>COCTEL CARTAGENERO</v>
      </c>
      <c r="C48" s="130" t="s">
        <v>461</v>
      </c>
      <c r="D48" s="131">
        <f>+CEVICHES!K9</f>
        <v>14314.864749769498</v>
      </c>
      <c r="E48" s="132">
        <f>+CEVICHES!K10</f>
        <v>48000</v>
      </c>
      <c r="F48" s="132">
        <f>+E48/1.08*0.08</f>
        <v>3555.5555555555552</v>
      </c>
      <c r="G48" s="131">
        <f>+Tabla5557273[[#This Row],[VENTA]]-Tabla5557273[[#This Row],[ICO 8%]]</f>
        <v>44444.444444444445</v>
      </c>
      <c r="H48" s="133">
        <f>+Tabla5557273[[#This Row],[COSTO]]/Tabla5557273[[#This Row],[BASE]]</f>
        <v>0.32208445686981368</v>
      </c>
      <c r="I48" s="134">
        <f>+Tabla5557273[[#This Row],[BASE]]/Tabla5557273[[#This Row],[COSTO]]</f>
        <v>3.1047757154087048</v>
      </c>
      <c r="J48" s="135" t="e">
        <f>+VLOOKUP(Tabla5557273[[#This Row],[CEVICHES]],#REF!,2,0)</f>
        <v>#REF!</v>
      </c>
      <c r="K48" s="136">
        <f>+D48/(100-65)*100</f>
        <v>40899.613570770001</v>
      </c>
      <c r="L48" s="131">
        <f>+K48/1.08*0.08</f>
        <v>3029.6010052422221</v>
      </c>
      <c r="M48" s="137">
        <f>+Tabla5557273[[#This Row],[PRECIO SUGERIDO]]+Tabla5557273[[#This Row],[ICO2]]</f>
        <v>43929.214576012222</v>
      </c>
      <c r="N48" s="141">
        <v>43000</v>
      </c>
      <c r="O48" s="132">
        <f>+N48/1.08*0.08</f>
        <v>3185.1851851851848</v>
      </c>
      <c r="P48" s="139">
        <f>+N48-O48</f>
        <v>39814.814814814818</v>
      </c>
      <c r="Q48" s="133">
        <f>+D48/P48</f>
        <v>0.35953613790118738</v>
      </c>
      <c r="R48" s="194">
        <f>+P48/D48</f>
        <v>2.781361578386965</v>
      </c>
      <c r="S48" s="263">
        <v>54000</v>
      </c>
      <c r="T48" s="133">
        <f>+Tabla5557273[[#This Row],[COSTO]]/Tabla5557273[[#This Row],[Incremento 13%]]</f>
        <v>0.26509008795869443</v>
      </c>
    </row>
    <row r="49" spans="1:20" x14ac:dyDescent="0.25">
      <c r="A49" s="113">
        <v>4</v>
      </c>
      <c r="B49" s="130" t="str">
        <f>+CEVICHES!B61</f>
        <v>CEVICHE TRUFADO</v>
      </c>
      <c r="C49" s="130" t="s">
        <v>462</v>
      </c>
      <c r="D49" s="131">
        <f>+CEVICHES!K64</f>
        <v>16251.529767077001</v>
      </c>
      <c r="E49" s="132">
        <f>+CEVICHES!K65</f>
        <v>52000</v>
      </c>
      <c r="F49" s="132">
        <f>+E49/1.08*0.08</f>
        <v>3851.8518518518517</v>
      </c>
      <c r="G49" s="131">
        <f>+Tabla5557273[[#This Row],[VENTA]]-Tabla5557273[[#This Row],[ICO 8%]]</f>
        <v>48148.148148148146</v>
      </c>
      <c r="H49" s="133">
        <f>+Tabla5557273[[#This Row],[COSTO]]/Tabla5557273[[#This Row],[BASE]]</f>
        <v>0.33753177208544544</v>
      </c>
      <c r="I49" s="134">
        <f>+Tabla5557273[[#This Row],[BASE]]/Tabla5557273[[#This Row],[COSTO]]</f>
        <v>2.962684057330319</v>
      </c>
      <c r="J49" s="135" t="e">
        <f>+VLOOKUP(Tabla5557273[[#This Row],[CEVICHES]],#REF!,2,0)</f>
        <v>#REF!</v>
      </c>
      <c r="K49" s="136">
        <f>+D49/(100-65)*100</f>
        <v>46432.942191648573</v>
      </c>
      <c r="L49" s="131">
        <f>+K49/1.08*0.08</f>
        <v>3439.4771993813756</v>
      </c>
      <c r="M49" s="137">
        <f>+Tabla5557273[[#This Row],[PRECIO SUGERIDO]]+Tabla5557273[[#This Row],[ICO2]]</f>
        <v>49872.419391029951</v>
      </c>
      <c r="N49" s="138">
        <v>49000</v>
      </c>
      <c r="O49" s="132">
        <f>+N49/1.08*0.08</f>
        <v>3629.6296296296291</v>
      </c>
      <c r="P49" s="139">
        <f>+N49-O49</f>
        <v>45370.370370370372</v>
      </c>
      <c r="Q49" s="133">
        <f>+D49/P49</f>
        <v>0.35819698262128902</v>
      </c>
      <c r="R49" s="194">
        <f>+P49/D49</f>
        <v>2.7917599770997241</v>
      </c>
      <c r="S49" s="263">
        <v>58000</v>
      </c>
      <c r="T49" s="133">
        <f>+Tabla5557273[[#This Row],[COSTO]]/Tabla5557273[[#This Row],[Incremento 13%]]</f>
        <v>0.28019878908753448</v>
      </c>
    </row>
    <row r="50" spans="1:20" ht="13.8" thickBot="1" x14ac:dyDescent="0.3">
      <c r="A50" s="113">
        <v>5</v>
      </c>
      <c r="B50" s="143" t="str">
        <f>+CEVICHES!B81</f>
        <v>CEVICHE ARENA BLANCA</v>
      </c>
      <c r="C50" s="143" t="s">
        <v>464</v>
      </c>
      <c r="D50" s="144">
        <f>+CEVICHES!K84</f>
        <v>13015.225611927001</v>
      </c>
      <c r="E50" s="145">
        <f>+CEVICHES!K85</f>
        <v>44000</v>
      </c>
      <c r="F50" s="145">
        <f>+E50/1.08*0.08</f>
        <v>3259.2592592592591</v>
      </c>
      <c r="G50" s="144">
        <f>+Tabla5557273[[#This Row],[VENTA]]-Tabla5557273[[#This Row],[ICO 8%]]</f>
        <v>40740.740740740745</v>
      </c>
      <c r="H50" s="146">
        <f>+Tabla5557273[[#This Row],[COSTO]]/Tabla5557273[[#This Row],[BASE]]</f>
        <v>0.31946462865638997</v>
      </c>
      <c r="I50" s="147">
        <f>+Tabla5557273[[#This Row],[BASE]]/Tabla5557273[[#This Row],[COSTO]]</f>
        <v>3.130236997459837</v>
      </c>
      <c r="J50" s="148" t="e">
        <f>+VLOOKUP(Tabla5557273[[#This Row],[CEVICHES]],#REF!,2,0)</f>
        <v>#REF!</v>
      </c>
      <c r="K50" s="149">
        <f>+D50/(100-65)*100</f>
        <v>37186.358891219999</v>
      </c>
      <c r="L50" s="144">
        <f>+K50/1.08*0.08</f>
        <v>2754.5451030533332</v>
      </c>
      <c r="M50" s="150">
        <f>+Tabla5557273[[#This Row],[PRECIO SUGERIDO]]+Tabla5557273[[#This Row],[ICO2]]</f>
        <v>39940.903994273336</v>
      </c>
      <c r="N50" s="141">
        <v>39000</v>
      </c>
      <c r="O50" s="145">
        <f>+N50/1.08*0.08</f>
        <v>2888.8888888888887</v>
      </c>
      <c r="P50" s="151">
        <f>+N50-O50</f>
        <v>36111.111111111109</v>
      </c>
      <c r="Q50" s="146">
        <f>+D50/P50</f>
        <v>0.36042163233028618</v>
      </c>
      <c r="R50" s="196">
        <f>+P50/D50</f>
        <v>2.7745282477484916</v>
      </c>
      <c r="S50" s="263">
        <v>46000</v>
      </c>
      <c r="T50" s="133">
        <f>+Tabla5557273[[#This Row],[COSTO]]/Tabla5557273[[#This Row],[Incremento 13%]]</f>
        <v>0.28293968721580437</v>
      </c>
    </row>
    <row r="51" spans="1:20" ht="13.8" thickBot="1" x14ac:dyDescent="0.3">
      <c r="B51" s="153" t="s">
        <v>35</v>
      </c>
      <c r="C51" s="181"/>
      <c r="D51" s="155"/>
      <c r="E51" s="156"/>
      <c r="F51" s="156"/>
      <c r="G51" s="157"/>
      <c r="H51" s="158">
        <f>SUBTOTAL(101,Tabla5557273[%])</f>
        <v>0.33751884791417008</v>
      </c>
      <c r="I51" s="156"/>
      <c r="J51" s="156" t="e">
        <f>SUBTOTAL(109,Tabla5557273[ROTACION])</f>
        <v>#REF!</v>
      </c>
      <c r="K51" s="159"/>
      <c r="L51" s="155"/>
      <c r="M51" s="156"/>
      <c r="N51" s="160"/>
      <c r="O51" s="156"/>
      <c r="P51" s="155"/>
      <c r="Q51" s="161"/>
      <c r="R51" s="162">
        <f>SUBTOTAL(109,Tabla5557273[RATION])</f>
        <v>14.180093778224235</v>
      </c>
      <c r="S51" s="40"/>
      <c r="T51" s="273"/>
    </row>
    <row r="55" spans="1:20" x14ac:dyDescent="0.25">
      <c r="E55" s="117" t="s">
        <v>25</v>
      </c>
      <c r="F55" s="114"/>
      <c r="G55" s="118"/>
      <c r="H55" s="114"/>
      <c r="I55" s="114"/>
      <c r="K55" s="396" t="s">
        <v>29</v>
      </c>
      <c r="L55" s="396"/>
      <c r="M55" s="396"/>
      <c r="N55" s="395" t="s">
        <v>1090</v>
      </c>
      <c r="O55" s="395"/>
      <c r="P55" s="395"/>
      <c r="Q55" s="395"/>
    </row>
    <row r="56" spans="1:20" x14ac:dyDescent="0.25">
      <c r="B56" s="183" t="s">
        <v>323</v>
      </c>
      <c r="C56" s="184" t="s">
        <v>316</v>
      </c>
      <c r="D56" s="185" t="s">
        <v>7</v>
      </c>
      <c r="E56" s="186" t="s">
        <v>20</v>
      </c>
      <c r="F56" s="187" t="s">
        <v>33</v>
      </c>
      <c r="G56" s="185" t="s">
        <v>26</v>
      </c>
      <c r="H56" s="188" t="s">
        <v>21</v>
      </c>
      <c r="I56" s="189" t="s">
        <v>22</v>
      </c>
      <c r="J56" s="125" t="s">
        <v>23</v>
      </c>
      <c r="K56" s="189" t="s">
        <v>27</v>
      </c>
      <c r="L56" s="185" t="s">
        <v>32</v>
      </c>
      <c r="M56" s="189" t="s">
        <v>28</v>
      </c>
      <c r="N56" s="190" t="s">
        <v>30</v>
      </c>
      <c r="O56" s="185" t="s">
        <v>34</v>
      </c>
      <c r="P56" s="185" t="s">
        <v>25</v>
      </c>
      <c r="Q56" s="191" t="s">
        <v>31</v>
      </c>
      <c r="R56" s="192" t="s">
        <v>24</v>
      </c>
      <c r="S56" s="233" t="s">
        <v>1262</v>
      </c>
      <c r="T56" s="271" t="s">
        <v>1263</v>
      </c>
    </row>
    <row r="57" spans="1:20" x14ac:dyDescent="0.25">
      <c r="A57" s="113">
        <v>1</v>
      </c>
      <c r="B57" s="130" t="str">
        <f>+ENSALADAS!B20</f>
        <v>ENSALADA DEL TROPICO</v>
      </c>
      <c r="C57" s="130" t="s">
        <v>494</v>
      </c>
      <c r="D57" s="131">
        <f>+ENSALADAS!K24</f>
        <v>7790.2541475000007</v>
      </c>
      <c r="E57" s="132">
        <f>+ENSALADAS!K25</f>
        <v>32000</v>
      </c>
      <c r="F57" s="132">
        <f>+E57/1.08*0.08</f>
        <v>2370.3703703703704</v>
      </c>
      <c r="G57" s="131">
        <f>+Tabla5557274[[#This Row],[VENTA]]-Tabla5557274[[#This Row],[ICO 8%]]</f>
        <v>29629.629629629628</v>
      </c>
      <c r="H57" s="133">
        <f>+Tabla5557274[[#This Row],[COSTO]]/Tabla5557274[[#This Row],[BASE]]</f>
        <v>0.26292107747812504</v>
      </c>
      <c r="I57" s="134">
        <f>+Tabla5557274[[#This Row],[BASE]]/Tabla5557274[[#This Row],[COSTO]]</f>
        <v>3.8034227213419194</v>
      </c>
      <c r="J57" s="135" t="e">
        <f>+VLOOKUP(Tabla5557274[[#This Row],[ENSALADAS]],#REF!,2,0)</f>
        <v>#REF!</v>
      </c>
      <c r="K57" s="136">
        <f>+D57/(100-65)*100</f>
        <v>22257.868992857144</v>
      </c>
      <c r="L57" s="131">
        <f>+K57/1.08*0.08</f>
        <v>1648.7310365079363</v>
      </c>
      <c r="M57" s="137">
        <f>+Tabla5557274[[#This Row],[PRECIO SUGERIDO]]+Tabla5557274[[#This Row],[ICO2]]</f>
        <v>23906.60002936508</v>
      </c>
      <c r="N57" s="141">
        <v>32000</v>
      </c>
      <c r="O57" s="132">
        <f>+N57/1.08*0.08</f>
        <v>2370.3703703703704</v>
      </c>
      <c r="P57" s="139">
        <f>+N57-O57</f>
        <v>29629.629629629628</v>
      </c>
      <c r="Q57" s="133">
        <f>+D57/P57</f>
        <v>0.26292107747812504</v>
      </c>
      <c r="R57" s="194">
        <f>+P57/D57</f>
        <v>3.8034227213419194</v>
      </c>
      <c r="S57" s="244">
        <v>36000</v>
      </c>
      <c r="T57" s="133">
        <f>+Tabla5557274[[#This Row],[COSTO]]/Tabla5557274[[#This Row],[Incremento 13%]]</f>
        <v>0.21639594854166669</v>
      </c>
    </row>
    <row r="58" spans="1:20" ht="13.8" thickBot="1" x14ac:dyDescent="0.3">
      <c r="A58" s="113">
        <v>2</v>
      </c>
      <c r="B58" s="143" t="str">
        <f>+ENSALADAS!B6</f>
        <v xml:space="preserve"> ENSALADA MEDITERRANEA</v>
      </c>
      <c r="C58" s="143" t="s">
        <v>493</v>
      </c>
      <c r="D58" s="144">
        <f>+ENSALADAS!K9</f>
        <v>10849.058821369999</v>
      </c>
      <c r="E58" s="145">
        <f>+ENSALADAS!K10</f>
        <v>34000</v>
      </c>
      <c r="F58" s="145">
        <f>+E58/1.08*0.08</f>
        <v>2518.5185185185182</v>
      </c>
      <c r="G58" s="144">
        <f>+Tabla5557274[[#This Row],[VENTA]]-Tabla5557274[[#This Row],[ICO 8%]]</f>
        <v>31481.481481481482</v>
      </c>
      <c r="H58" s="146">
        <f>+Tabla5557274[[#This Row],[COSTO]]/Tabla5557274[[#This Row],[BASE]]</f>
        <v>0.3446171625611647</v>
      </c>
      <c r="I58" s="147">
        <f>+Tabla5557274[[#This Row],[BASE]]/Tabla5557274[[#This Row],[COSTO]]</f>
        <v>2.901770743418834</v>
      </c>
      <c r="J58" s="135" t="e">
        <f>+VLOOKUP(Tabla5557274[[#This Row],[ENSALADAS]],#REF!,2,0)</f>
        <v>#REF!</v>
      </c>
      <c r="K58" s="149">
        <f>+D58/(100-65)*100</f>
        <v>30997.310918199997</v>
      </c>
      <c r="L58" s="144">
        <f>+K58/1.08*0.08</f>
        <v>2296.0971050518515</v>
      </c>
      <c r="M58" s="150">
        <f>+Tabla5557274[[#This Row],[PRECIO SUGERIDO]]+Tabla5557274[[#This Row],[ICO2]]</f>
        <v>33293.408023251846</v>
      </c>
      <c r="N58" s="195">
        <v>34000</v>
      </c>
      <c r="O58" s="145">
        <f>+N58/1.08*0.08</f>
        <v>2518.5185185185182</v>
      </c>
      <c r="P58" s="151">
        <f>+N58-O58</f>
        <v>31481.481481481482</v>
      </c>
      <c r="Q58" s="146">
        <f>+D58/P58</f>
        <v>0.3446171625611647</v>
      </c>
      <c r="R58" s="196">
        <f>+P58/D58</f>
        <v>2.901770743418834</v>
      </c>
      <c r="S58" s="244">
        <v>38000</v>
      </c>
      <c r="T58" s="133">
        <f>+Tabla5557274[[#This Row],[COSTO]]/Tabla5557274[[#This Row],[Incremento 13%]]</f>
        <v>0.28550154793078947</v>
      </c>
    </row>
    <row r="59" spans="1:20" ht="13.8" thickBot="1" x14ac:dyDescent="0.3">
      <c r="B59" s="153" t="s">
        <v>35</v>
      </c>
      <c r="C59" s="181"/>
      <c r="D59" s="155"/>
      <c r="E59" s="156"/>
      <c r="F59" s="156"/>
      <c r="G59" s="157"/>
      <c r="H59" s="158">
        <f>SUBTOTAL(101,Tabla5557274[%])</f>
        <v>0.30376912001964484</v>
      </c>
      <c r="I59" s="156"/>
      <c r="J59" s="156" t="e">
        <f>SUBTOTAL(109,Tabla5557274[ROTACION])</f>
        <v>#REF!</v>
      </c>
      <c r="K59" s="159"/>
      <c r="L59" s="155"/>
      <c r="M59" s="156"/>
      <c r="N59" s="160"/>
      <c r="O59" s="156"/>
      <c r="P59" s="155"/>
      <c r="Q59" s="161"/>
      <c r="R59" s="162">
        <f>SUBTOTAL(109,Tabla5557274[RATION])</f>
        <v>6.7051934647607538</v>
      </c>
      <c r="S59" s="232"/>
      <c r="T59" s="274"/>
    </row>
    <row r="63" spans="1:20" x14ac:dyDescent="0.25">
      <c r="E63" s="117" t="s">
        <v>25</v>
      </c>
      <c r="F63" s="114"/>
      <c r="G63" s="118"/>
      <c r="H63" s="114"/>
      <c r="I63" s="114"/>
      <c r="J63" s="70"/>
      <c r="K63" s="396" t="s">
        <v>29</v>
      </c>
      <c r="L63" s="396"/>
      <c r="M63" s="396"/>
      <c r="N63" s="395" t="s">
        <v>1090</v>
      </c>
      <c r="O63" s="395"/>
      <c r="P63" s="395"/>
      <c r="Q63" s="395"/>
    </row>
    <row r="64" spans="1:20" x14ac:dyDescent="0.25">
      <c r="B64" s="183" t="s">
        <v>324</v>
      </c>
      <c r="C64" s="184" t="s">
        <v>316</v>
      </c>
      <c r="D64" s="185" t="s">
        <v>7</v>
      </c>
      <c r="E64" s="186" t="s">
        <v>20</v>
      </c>
      <c r="F64" s="187" t="s">
        <v>33</v>
      </c>
      <c r="G64" s="185" t="s">
        <v>26</v>
      </c>
      <c r="H64" s="188" t="s">
        <v>21</v>
      </c>
      <c r="I64" s="189" t="s">
        <v>22</v>
      </c>
      <c r="J64" s="125" t="s">
        <v>23</v>
      </c>
      <c r="K64" s="189" t="s">
        <v>27</v>
      </c>
      <c r="L64" s="185" t="s">
        <v>32</v>
      </c>
      <c r="M64" s="189" t="s">
        <v>28</v>
      </c>
      <c r="N64" s="190" t="s">
        <v>30</v>
      </c>
      <c r="O64" s="185" t="s">
        <v>34</v>
      </c>
      <c r="P64" s="185" t="s">
        <v>25</v>
      </c>
      <c r="Q64" s="191" t="s">
        <v>31</v>
      </c>
      <c r="R64" s="192" t="s">
        <v>24</v>
      </c>
      <c r="S64" s="233" t="s">
        <v>1262</v>
      </c>
      <c r="T64" s="271" t="s">
        <v>1263</v>
      </c>
    </row>
    <row r="65" spans="2:20" x14ac:dyDescent="0.25">
      <c r="B65" s="130" t="str">
        <f>+ARROCES!B68</f>
        <v>ARROZ HOLANDÃ‰S</v>
      </c>
      <c r="C65" s="130" t="s">
        <v>467</v>
      </c>
      <c r="D65" s="131">
        <f>+ARROCES!K71</f>
        <v>18745.681161905501</v>
      </c>
      <c r="E65" s="132">
        <f>+ARROCES!K72</f>
        <v>56000</v>
      </c>
      <c r="F65" s="132">
        <f t="shared" ref="F65:F70" si="14">+E65/1.08*0.08</f>
        <v>4148.1481481481478</v>
      </c>
      <c r="G65" s="131">
        <f>+Tabla5557275[[#This Row],[VENTA]]-Tabla5557275[[#This Row],[ICO 8%]]</f>
        <v>51851.851851851854</v>
      </c>
      <c r="H65" s="133">
        <f>+Tabla5557275[[#This Row],[COSTO]]/Tabla5557275[[#This Row],[BASE]]</f>
        <v>0.36152385097960604</v>
      </c>
      <c r="I65" s="134">
        <f>+Tabla5557275[[#This Row],[BASE]]/Tabla5557275[[#This Row],[COSTO]]</f>
        <v>2.7660692297073672</v>
      </c>
      <c r="J65" s="135" t="e">
        <f>+VLOOKUP(Tabla5557275[[#This Row],[ARROCES]],#REF!,2,0)</f>
        <v>#REF!</v>
      </c>
      <c r="K65" s="136">
        <f t="shared" ref="K65:K70" si="15">+D65/(100-65)*100</f>
        <v>53559.08903401572</v>
      </c>
      <c r="L65" s="131">
        <f t="shared" ref="L65:L70" si="16">+K65/1.08*0.08</f>
        <v>3967.3399284456091</v>
      </c>
      <c r="M65" s="137">
        <f>+Tabla5557275[[#This Row],[PRECIO SUGERIDO]]+Tabla5557275[[#This Row],[ICO2]]</f>
        <v>57526.42896246133</v>
      </c>
      <c r="N65" s="141">
        <v>58000</v>
      </c>
      <c r="O65" s="132">
        <f t="shared" ref="O65:O70" si="17">+N65/1.08*0.08</f>
        <v>4296.2962962962965</v>
      </c>
      <c r="P65" s="139">
        <f t="shared" ref="P65:P70" si="18">+N65-O65</f>
        <v>53703.703703703701</v>
      </c>
      <c r="Q65" s="133">
        <f t="shared" ref="Q65:Q70" si="19">+D65/P65</f>
        <v>0.34905751129065415</v>
      </c>
      <c r="R65" s="194">
        <f t="shared" ref="R65:R70" si="20">+P65/D65</f>
        <v>2.8648574164826299</v>
      </c>
      <c r="S65" s="244">
        <v>62000</v>
      </c>
      <c r="T65" s="133">
        <f>+Tabla5557275[[#This Row],[COSTO]]/Tabla5557275[[#This Row],[Incremento 13%]]</f>
        <v>0.30234969615976615</v>
      </c>
    </row>
    <row r="66" spans="2:20" x14ac:dyDescent="0.25">
      <c r="B66" s="130" t="str">
        <f>+ARROCES!B6</f>
        <v>ARROZ MEDITERRANEO</v>
      </c>
      <c r="C66" s="130" t="s">
        <v>465</v>
      </c>
      <c r="D66" s="131">
        <f>+ARROCES!K9</f>
        <v>18448.731824105002</v>
      </c>
      <c r="E66" s="132">
        <f>+ARROCES!K10</f>
        <v>59000</v>
      </c>
      <c r="F66" s="132">
        <f t="shared" si="14"/>
        <v>4370.3703703703704</v>
      </c>
      <c r="G66" s="131">
        <f>+Tabla5557275[[#This Row],[VENTA]]-Tabla5557275[[#This Row],[ICO 8%]]</f>
        <v>54629.629629629628</v>
      </c>
      <c r="H66" s="133">
        <f>+Tabla5557275[[#This Row],[COSTO]]/Tabla5557275[[#This Row],[BASE]]</f>
        <v>0.33770559949209156</v>
      </c>
      <c r="I66" s="134">
        <f>+Tabla5557275[[#This Row],[BASE]]/Tabla5557275[[#This Row],[COSTO]]</f>
        <v>2.9611590731808937</v>
      </c>
      <c r="J66" s="135" t="e">
        <f>+VLOOKUP(Tabla5557275[[#This Row],[ARROCES]],#REF!,2,0)</f>
        <v>#REF!</v>
      </c>
      <c r="K66" s="136">
        <f t="shared" si="15"/>
        <v>52710.662354585715</v>
      </c>
      <c r="L66" s="131">
        <f t="shared" si="16"/>
        <v>3904.4935077470896</v>
      </c>
      <c r="M66" s="137">
        <f>+Tabla5557275[[#This Row],[PRECIO SUGERIDO]]+Tabla5557275[[#This Row],[ICO2]]</f>
        <v>56615.155862332802</v>
      </c>
      <c r="N66" s="141"/>
      <c r="O66" s="132">
        <f t="shared" si="17"/>
        <v>0</v>
      </c>
      <c r="P66" s="139">
        <f t="shared" si="18"/>
        <v>0</v>
      </c>
      <c r="Q66" s="133" t="e">
        <f t="shared" si="19"/>
        <v>#DIV/0!</v>
      </c>
      <c r="R66" s="194">
        <f t="shared" si="20"/>
        <v>0</v>
      </c>
      <c r="S66" s="244">
        <v>66000</v>
      </c>
      <c r="T66" s="133">
        <f>+Tabla5557275[[#This Row],[COSTO]]/Tabla5557275[[#This Row],[Incremento 13%]]</f>
        <v>0.27952623975916668</v>
      </c>
    </row>
    <row r="67" spans="2:20" x14ac:dyDescent="0.25">
      <c r="B67" s="306" t="str">
        <f>+ARROCES!B124</f>
        <v>ARROZ PALENQUE</v>
      </c>
      <c r="C67" s="306" t="s">
        <v>466</v>
      </c>
      <c r="D67" s="315">
        <f>+ARROCES!K127</f>
        <v>16079.417535704251</v>
      </c>
      <c r="E67" s="132">
        <f>+ARROCES!K54</f>
        <v>54000</v>
      </c>
      <c r="F67" s="132">
        <f t="shared" si="14"/>
        <v>4000</v>
      </c>
      <c r="G67" s="131">
        <f>+Tabla5557275[[#This Row],[VENTA]]-Tabla5557275[[#This Row],[ICO 8%]]</f>
        <v>50000</v>
      </c>
      <c r="H67" s="133">
        <f>+Tabla5557275[[#This Row],[COSTO]]/Tabla5557275[[#This Row],[BASE]]</f>
        <v>0.32158835071408504</v>
      </c>
      <c r="I67" s="134">
        <f>+Tabla5557275[[#This Row],[BASE]]/Tabla5557275[[#This Row],[COSTO]]</f>
        <v>3.1095653738063147</v>
      </c>
      <c r="J67" s="135" t="e">
        <f>+VLOOKUP(Tabla5557275[[#This Row],[ARROCES]],#REF!,2,0)</f>
        <v>#REF!</v>
      </c>
      <c r="K67" s="136">
        <f t="shared" si="15"/>
        <v>45941.192959155007</v>
      </c>
      <c r="L67" s="131">
        <f t="shared" si="16"/>
        <v>3403.0513303077782</v>
      </c>
      <c r="M67" s="137">
        <f>+Tabla5557275[[#This Row],[PRECIO SUGERIDO]]+Tabla5557275[[#This Row],[ICO2]]</f>
        <v>49344.244289462782</v>
      </c>
      <c r="N67" s="141"/>
      <c r="O67" s="132">
        <f t="shared" si="17"/>
        <v>0</v>
      </c>
      <c r="P67" s="139">
        <f t="shared" si="18"/>
        <v>0</v>
      </c>
      <c r="Q67" s="133" t="e">
        <f t="shared" si="19"/>
        <v>#DIV/0!</v>
      </c>
      <c r="R67" s="194">
        <f t="shared" si="20"/>
        <v>0</v>
      </c>
      <c r="S67" s="244">
        <v>61000</v>
      </c>
      <c r="T67" s="133">
        <f>+Tabla5557275[[#This Row],[COSTO]]/Tabla5557275[[#This Row],[Incremento 13%]]</f>
        <v>0.2635970087820369</v>
      </c>
    </row>
    <row r="68" spans="2:20" x14ac:dyDescent="0.25">
      <c r="B68" s="130" t="str">
        <f>+ARROCES!B29</f>
        <v>ARROZ DEL TROPICO</v>
      </c>
      <c r="C68" s="130" t="s">
        <v>542</v>
      </c>
      <c r="D68" s="131">
        <f>+ARROCES!K32</f>
        <v>21420.170509969004</v>
      </c>
      <c r="E68" s="132">
        <f>+ARROCES!K33</f>
        <v>63000</v>
      </c>
      <c r="F68" s="132">
        <f t="shared" si="14"/>
        <v>4666.6666666666661</v>
      </c>
      <c r="G68" s="131">
        <f>+Tabla5557275[[#This Row],[VENTA]]-Tabla5557275[[#This Row],[ICO 8%]]</f>
        <v>58333.333333333336</v>
      </c>
      <c r="H68" s="133">
        <f>+Tabla5557275[[#This Row],[COSTO]]/Tabla5557275[[#This Row],[BASE]]</f>
        <v>0.36720292302804008</v>
      </c>
      <c r="I68" s="134">
        <f>+Tabla5557275[[#This Row],[BASE]]/Tabla5557275[[#This Row],[COSTO]]</f>
        <v>2.7232898685930089</v>
      </c>
      <c r="J68" s="135" t="e">
        <f>+VLOOKUP(Tabla5557275[[#This Row],[ARROCES]],#REF!,2,0)</f>
        <v>#REF!</v>
      </c>
      <c r="K68" s="136">
        <f t="shared" si="15"/>
        <v>61200.487171340013</v>
      </c>
      <c r="L68" s="131">
        <f t="shared" si="16"/>
        <v>4533.3694200992604</v>
      </c>
      <c r="M68" s="137">
        <f>+Tabla5557275[[#This Row],[PRECIO SUGERIDO]]+Tabla5557275[[#This Row],[ICO2]]</f>
        <v>65733.856591439268</v>
      </c>
      <c r="N68" s="138"/>
      <c r="O68" s="132">
        <f t="shared" si="17"/>
        <v>0</v>
      </c>
      <c r="P68" s="139">
        <f t="shared" si="18"/>
        <v>0</v>
      </c>
      <c r="Q68" s="133" t="e">
        <f t="shared" si="19"/>
        <v>#DIV/0!</v>
      </c>
      <c r="R68" s="194">
        <f t="shared" si="20"/>
        <v>0</v>
      </c>
      <c r="S68" s="244">
        <v>70000</v>
      </c>
      <c r="T68" s="133">
        <f>+Tabla5557275[[#This Row],[COSTO]]/Tabla5557275[[#This Row],[Incremento 13%]]</f>
        <v>0.30600243585670006</v>
      </c>
    </row>
    <row r="69" spans="2:20" x14ac:dyDescent="0.25">
      <c r="B69" s="130" t="str">
        <f>+ARROCES!B85</f>
        <v xml:space="preserve"> ARROZ CALDOSO</v>
      </c>
      <c r="C69" s="130" t="s">
        <v>468</v>
      </c>
      <c r="D69" s="131">
        <v>11763</v>
      </c>
      <c r="E69" s="132">
        <f>+ARROCES!K89</f>
        <v>59000</v>
      </c>
      <c r="F69" s="132">
        <f t="shared" si="14"/>
        <v>4370.3703703703704</v>
      </c>
      <c r="G69" s="131">
        <f>+Tabla5557275[[#This Row],[VENTA]]-Tabla5557275[[#This Row],[ICO 8%]]</f>
        <v>54629.629629629628</v>
      </c>
      <c r="H69" s="133">
        <f>+Tabla5557275[[#This Row],[COSTO]]/Tabla5557275[[#This Row],[BASE]]</f>
        <v>0.2153227118644068</v>
      </c>
      <c r="I69" s="134">
        <f>+Tabla5557275[[#This Row],[BASE]]/Tabla5557275[[#This Row],[COSTO]]</f>
        <v>4.6441919263478386</v>
      </c>
      <c r="J69" s="135" t="e">
        <f>+VLOOKUP(Tabla5557275[[#This Row],[ARROCES]],#REF!,2,0)</f>
        <v>#REF!</v>
      </c>
      <c r="K69" s="136">
        <f t="shared" si="15"/>
        <v>33608.571428571428</v>
      </c>
      <c r="L69" s="131">
        <f t="shared" si="16"/>
        <v>2489.5238095238092</v>
      </c>
      <c r="M69" s="137">
        <f>+Tabla5557275[[#This Row],[PRECIO SUGERIDO]]+Tabla5557275[[#This Row],[ICO2]]</f>
        <v>36098.095238095237</v>
      </c>
      <c r="N69" s="141"/>
      <c r="O69" s="132">
        <f t="shared" si="17"/>
        <v>0</v>
      </c>
      <c r="P69" s="139">
        <f t="shared" si="18"/>
        <v>0</v>
      </c>
      <c r="Q69" s="133" t="e">
        <f>+D69/P69</f>
        <v>#DIV/0!</v>
      </c>
      <c r="R69" s="194">
        <f t="shared" si="20"/>
        <v>0</v>
      </c>
      <c r="S69" s="244">
        <v>62000</v>
      </c>
      <c r="T69" s="133">
        <f>+Tabla5557275[[#This Row],[COSTO]]/Tabla5557275[[#This Row],[Incremento 13%]]</f>
        <v>0.18972580645161291</v>
      </c>
    </row>
    <row r="70" spans="2:20" ht="13.8" thickBot="1" x14ac:dyDescent="0.3">
      <c r="B70" s="143" t="str">
        <f>+ARROCES!B106</f>
        <v>ARROZ VEGETARIANO</v>
      </c>
      <c r="C70" s="130" t="s">
        <v>536</v>
      </c>
      <c r="D70" s="144">
        <f>+ARROCES!K109</f>
        <v>18795.786409400003</v>
      </c>
      <c r="E70" s="145">
        <f>+ARROCES!K110</f>
        <v>64000</v>
      </c>
      <c r="F70" s="145">
        <f t="shared" si="14"/>
        <v>4740.7407407407409</v>
      </c>
      <c r="G70" s="144">
        <f>+Tabla5557275[[#This Row],[VENTA]]-Tabla5557275[[#This Row],[ICO 8%]]</f>
        <v>59259.259259259255</v>
      </c>
      <c r="H70" s="146">
        <f>+Tabla5557275[[#This Row],[COSTO]]/Tabla5557275[[#This Row],[BASE]]</f>
        <v>0.31717889565862506</v>
      </c>
      <c r="I70" s="147">
        <f>+Tabla5557275[[#This Row],[BASE]]/Tabla5557275[[#This Row],[COSTO]]</f>
        <v>3.1527948854336296</v>
      </c>
      <c r="J70" s="135" t="e">
        <f>+VLOOKUP(Tabla5557275[[#This Row],[ARROCES]],#REF!,2,0)</f>
        <v>#REF!</v>
      </c>
      <c r="K70" s="149">
        <f t="shared" si="15"/>
        <v>53702.246884000007</v>
      </c>
      <c r="L70" s="144">
        <f t="shared" si="16"/>
        <v>3977.9442136296298</v>
      </c>
      <c r="M70" s="150">
        <f>+Tabla5557275[[#This Row],[PRECIO SUGERIDO]]+Tabla5557275[[#This Row],[ICO2]]</f>
        <v>57680.191097629635</v>
      </c>
      <c r="N70" s="197"/>
      <c r="O70" s="145">
        <f t="shared" si="17"/>
        <v>0</v>
      </c>
      <c r="P70" s="151">
        <f t="shared" si="18"/>
        <v>0</v>
      </c>
      <c r="Q70" s="146" t="e">
        <f t="shared" si="19"/>
        <v>#DIV/0!</v>
      </c>
      <c r="R70" s="196">
        <f t="shared" si="20"/>
        <v>0</v>
      </c>
      <c r="S70" s="244">
        <v>64000</v>
      </c>
      <c r="T70" s="133">
        <f>+Tabla5557275[[#This Row],[COSTO]]/Tabla5557275[[#This Row],[Incremento 13%]]</f>
        <v>0.29368416264687502</v>
      </c>
    </row>
    <row r="71" spans="2:20" ht="13.8" thickBot="1" x14ac:dyDescent="0.3">
      <c r="B71" s="153" t="s">
        <v>35</v>
      </c>
      <c r="C71" s="181"/>
      <c r="D71" s="155"/>
      <c r="E71" s="156"/>
      <c r="F71" s="156"/>
      <c r="G71" s="155"/>
      <c r="H71" s="158">
        <f>SUBTOTAL(101,Tabla5557275[%])</f>
        <v>0.32008705528947573</v>
      </c>
      <c r="I71" s="156"/>
      <c r="J71" s="156" t="e">
        <f>SUBTOTAL(109,Tabla5557275[ROTACION])</f>
        <v>#REF!</v>
      </c>
      <c r="K71" s="159"/>
      <c r="L71" s="155"/>
      <c r="M71" s="156"/>
      <c r="N71" s="160"/>
      <c r="O71" s="156"/>
      <c r="P71" s="155"/>
      <c r="Q71" s="161"/>
      <c r="R71" s="198">
        <f>SUBTOTAL(103,Tabla5557275[RATION])</f>
        <v>6</v>
      </c>
      <c r="S71" s="232"/>
      <c r="T71" s="274"/>
    </row>
    <row r="75" spans="2:20" x14ac:dyDescent="0.25">
      <c r="E75" s="117" t="s">
        <v>25</v>
      </c>
      <c r="F75" s="114"/>
      <c r="G75" s="118"/>
      <c r="H75" s="114"/>
      <c r="I75" s="114"/>
      <c r="J75" s="70"/>
      <c r="K75" s="396" t="s">
        <v>29</v>
      </c>
      <c r="L75" s="396"/>
      <c r="M75" s="396"/>
      <c r="N75" s="395" t="s">
        <v>1090</v>
      </c>
      <c r="O75" s="395"/>
      <c r="P75" s="395"/>
      <c r="Q75" s="395"/>
    </row>
    <row r="76" spans="2:20" x14ac:dyDescent="0.25">
      <c r="B76" s="183" t="s">
        <v>327</v>
      </c>
      <c r="C76" s="184" t="s">
        <v>316</v>
      </c>
      <c r="D76" s="185" t="s">
        <v>7</v>
      </c>
      <c r="E76" s="186" t="s">
        <v>20</v>
      </c>
      <c r="F76" s="187" t="s">
        <v>33</v>
      </c>
      <c r="G76" s="185" t="s">
        <v>26</v>
      </c>
      <c r="H76" s="188" t="s">
        <v>21</v>
      </c>
      <c r="I76" s="189" t="s">
        <v>22</v>
      </c>
      <c r="J76" s="125" t="s">
        <v>23</v>
      </c>
      <c r="K76" s="189" t="s">
        <v>27</v>
      </c>
      <c r="L76" s="185" t="s">
        <v>32</v>
      </c>
      <c r="M76" s="189" t="s">
        <v>28</v>
      </c>
      <c r="N76" s="190" t="s">
        <v>30</v>
      </c>
      <c r="O76" s="185" t="s">
        <v>34</v>
      </c>
      <c r="P76" s="185" t="s">
        <v>25</v>
      </c>
      <c r="Q76" s="191" t="s">
        <v>31</v>
      </c>
      <c r="R76" s="192" t="s">
        <v>24</v>
      </c>
      <c r="S76" s="233" t="s">
        <v>1262</v>
      </c>
      <c r="T76" s="271" t="s">
        <v>1263</v>
      </c>
    </row>
    <row r="77" spans="2:20" x14ac:dyDescent="0.25">
      <c r="B77" s="130" t="str">
        <f>+'FUERTES MAR'!B33</f>
        <v>CAZUELA DEL MANGLE</v>
      </c>
      <c r="C77" s="130" t="s">
        <v>472</v>
      </c>
      <c r="D77" s="131" t="e">
        <f>+'FUERTES MAR'!K36</f>
        <v>#N/A</v>
      </c>
      <c r="E77" s="132">
        <f>+'FUERTES MAR'!K37</f>
        <v>68000</v>
      </c>
      <c r="F77" s="132">
        <f t="shared" ref="F77:F90" si="21">+E77/1.08*0.08</f>
        <v>5037.0370370370365</v>
      </c>
      <c r="G77" s="131">
        <f>+Tabla5557276[[#This Row],[VENTA]]-Tabla5557276[[#This Row],[ICO 8%]]</f>
        <v>62962.962962962964</v>
      </c>
      <c r="H77" s="133" t="e">
        <f>+Tabla5557276[[#This Row],[COSTO]]/Tabla5557276[[#This Row],[BASE]]</f>
        <v>#N/A</v>
      </c>
      <c r="I77" s="134" t="e">
        <f>+Tabla5557276[[#This Row],[BASE]]/Tabla5557276[[#This Row],[COSTO]]</f>
        <v>#N/A</v>
      </c>
      <c r="J77" s="135" t="e">
        <f>+VLOOKUP(Tabla5557276[[#This Row],[FUERTES MAR]],#REF!,2,0)</f>
        <v>#REF!</v>
      </c>
      <c r="K77" s="136" t="e">
        <f t="shared" ref="K77:K90" si="22">+D77/(100-65)*100</f>
        <v>#N/A</v>
      </c>
      <c r="L77" s="131" t="e">
        <f t="shared" ref="L77:L90" si="23">+K77/1.08*0.08</f>
        <v>#N/A</v>
      </c>
      <c r="M77" s="137" t="e">
        <f>+Tabla5557276[[#This Row],[PRECIO SUGERIDO]]+Tabla5557276[[#This Row],[ICO2]]</f>
        <v>#N/A</v>
      </c>
      <c r="N77" s="141">
        <v>70000</v>
      </c>
      <c r="O77" s="132">
        <f t="shared" ref="O77:O90" si="24">+N77/1.08*0.08</f>
        <v>5185.1851851851852</v>
      </c>
      <c r="P77" s="139">
        <f t="shared" ref="P77:P90" si="25">+N77-O77</f>
        <v>64814.814814814818</v>
      </c>
      <c r="Q77" s="133" t="e">
        <f t="shared" ref="Q77:Q90" si="26">+D77/P77</f>
        <v>#N/A</v>
      </c>
      <c r="R77" s="194" t="e">
        <f t="shared" ref="R77:R90" si="27">+P77/D77</f>
        <v>#N/A</v>
      </c>
      <c r="S77" s="244">
        <v>76000</v>
      </c>
      <c r="T77" s="133" t="e">
        <f>+Tabla5557276[[#This Row],[COSTO]]/Tabla5557276[[#This Row],[Incremento 13%]]</f>
        <v>#N/A</v>
      </c>
    </row>
    <row r="78" spans="2:20" x14ac:dyDescent="0.25">
      <c r="B78" s="130" t="str">
        <f>+'FUERTES MAR'!B79</f>
        <v>SALMON AGRIDULCE</v>
      </c>
      <c r="C78" s="130" t="s">
        <v>474</v>
      </c>
      <c r="D78" s="131">
        <f>+'FUERTES MAR'!K82</f>
        <v>17874.679898295006</v>
      </c>
      <c r="E78" s="132">
        <f>+'FUERTES MAR'!K83</f>
        <v>63000</v>
      </c>
      <c r="F78" s="132">
        <f t="shared" si="21"/>
        <v>4666.6666666666661</v>
      </c>
      <c r="G78" s="131">
        <f>+Tabla5557276[[#This Row],[VENTA]]-Tabla5557276[[#This Row],[ICO 8%]]</f>
        <v>58333.333333333336</v>
      </c>
      <c r="H78" s="133">
        <f>+Tabla5557276[[#This Row],[COSTO]]/Tabla5557276[[#This Row],[BASE]]</f>
        <v>0.3064230839707715</v>
      </c>
      <c r="I78" s="134">
        <f>+Tabla5557276[[#This Row],[BASE]]/Tabla5557276[[#This Row],[COSTO]]</f>
        <v>3.2634617047826135</v>
      </c>
      <c r="J78" s="135" t="e">
        <f>+VLOOKUP(Tabla5557276[[#This Row],[FUERTES MAR]],#REF!,2,0)</f>
        <v>#REF!</v>
      </c>
      <c r="K78" s="136">
        <f t="shared" si="22"/>
        <v>51070.513995128589</v>
      </c>
      <c r="L78" s="131">
        <f t="shared" si="23"/>
        <v>3783.0010366761917</v>
      </c>
      <c r="M78" s="137">
        <f>+Tabla5557276[[#This Row],[PRECIO SUGERIDO]]+Tabla5557276[[#This Row],[ICO2]]</f>
        <v>54853.515031804782</v>
      </c>
      <c r="N78" s="138">
        <v>56000</v>
      </c>
      <c r="O78" s="132">
        <f t="shared" si="24"/>
        <v>4148.1481481481478</v>
      </c>
      <c r="P78" s="139">
        <f t="shared" si="25"/>
        <v>51851.851851851854</v>
      </c>
      <c r="Q78" s="133">
        <f t="shared" si="26"/>
        <v>0.34472596946711798</v>
      </c>
      <c r="R78" s="194">
        <f t="shared" si="27"/>
        <v>2.9008548486956567</v>
      </c>
      <c r="S78" s="244">
        <v>67000</v>
      </c>
      <c r="T78" s="133">
        <f>+Tabla5557276[[#This Row],[COSTO]]/Tabla5557276[[#This Row],[Incremento 13%]]</f>
        <v>0.26678626713873144</v>
      </c>
    </row>
    <row r="79" spans="2:20" x14ac:dyDescent="0.25">
      <c r="B79" s="130" t="str">
        <f>+'FUERTES MAR'!B244</f>
        <v xml:space="preserve"> RISSOTO CARBONERO</v>
      </c>
      <c r="C79" s="130" t="s">
        <v>482</v>
      </c>
      <c r="D79" s="131">
        <f>+'FUERTES MAR'!K247</f>
        <v>24233.721865595002</v>
      </c>
      <c r="E79" s="132">
        <f>+'FUERTES MAR'!K248</f>
        <v>77000</v>
      </c>
      <c r="F79" s="132">
        <f t="shared" si="21"/>
        <v>5703.7037037037035</v>
      </c>
      <c r="G79" s="131">
        <f>+Tabla5557276[[#This Row],[VENTA]]-Tabla5557276[[#This Row],[ICO 8%]]</f>
        <v>71296.296296296292</v>
      </c>
      <c r="H79" s="133">
        <f>+Tabla5557276[[#This Row],[COSTO]]/Tabla5557276[[#This Row],[BASE]]</f>
        <v>0.33990155343951434</v>
      </c>
      <c r="I79" s="134">
        <f>+Tabla5557276[[#This Row],[BASE]]/Tabla5557276[[#This Row],[COSTO]]</f>
        <v>2.9420283310883737</v>
      </c>
      <c r="J79" s="135" t="e">
        <f>+VLOOKUP(Tabla5557276[[#This Row],[FUERTES MAR]],#REF!,2,0)</f>
        <v>#REF!</v>
      </c>
      <c r="K79" s="136">
        <f t="shared" si="22"/>
        <v>69239.205330271434</v>
      </c>
      <c r="L79" s="131">
        <f t="shared" si="23"/>
        <v>5128.8300244645498</v>
      </c>
      <c r="M79" s="137">
        <f>+Tabla5557276[[#This Row],[PRECIO SUGERIDO]]+Tabla5557276[[#This Row],[ICO2]]</f>
        <v>74368.035354735985</v>
      </c>
      <c r="N79" s="138">
        <v>75000</v>
      </c>
      <c r="O79" s="132">
        <f t="shared" si="24"/>
        <v>5555.5555555555547</v>
      </c>
      <c r="P79" s="139">
        <f t="shared" si="25"/>
        <v>69444.444444444438</v>
      </c>
      <c r="Q79" s="133">
        <f t="shared" si="26"/>
        <v>0.34896559486456807</v>
      </c>
      <c r="R79" s="194">
        <f t="shared" si="27"/>
        <v>2.8656120108003638</v>
      </c>
      <c r="S79" s="244">
        <v>80000</v>
      </c>
      <c r="T79" s="133">
        <f>+Tabla5557276[[#This Row],[COSTO]]/Tabla5557276[[#This Row],[Incremento 13%]]</f>
        <v>0.30292152331993755</v>
      </c>
    </row>
    <row r="80" spans="2:20" x14ac:dyDescent="0.25">
      <c r="B80" s="130" t="str">
        <f>+'FUERTES MAR'!B166</f>
        <v>PESCA CARTAGENERA</v>
      </c>
      <c r="C80" s="130" t="s">
        <v>478</v>
      </c>
      <c r="D80" s="131" t="e">
        <f>+'FUERTES MAR'!K169</f>
        <v>#N/A</v>
      </c>
      <c r="E80" s="132">
        <f>+'FUERTES MAR'!K170</f>
        <v>59000</v>
      </c>
      <c r="F80" s="132">
        <f t="shared" si="21"/>
        <v>4370.3703703703704</v>
      </c>
      <c r="G80" s="131">
        <f>+Tabla5557276[[#This Row],[VENTA]]-Tabla5557276[[#This Row],[ICO 8%]]</f>
        <v>54629.629629629628</v>
      </c>
      <c r="H80" s="133" t="e">
        <f>+Tabla5557276[[#This Row],[COSTO]]/Tabla5557276[[#This Row],[BASE]]</f>
        <v>#N/A</v>
      </c>
      <c r="I80" s="134" t="e">
        <f>+Tabla5557276[[#This Row],[BASE]]/Tabla5557276[[#This Row],[COSTO]]</f>
        <v>#N/A</v>
      </c>
      <c r="J80" s="135" t="e">
        <f>+VLOOKUP(Tabla5557276[[#This Row],[FUERTES MAR]],#REF!,2,0)</f>
        <v>#REF!</v>
      </c>
      <c r="K80" s="136" t="e">
        <f t="shared" si="22"/>
        <v>#N/A</v>
      </c>
      <c r="L80" s="131" t="e">
        <f t="shared" si="23"/>
        <v>#N/A</v>
      </c>
      <c r="M80" s="137" t="e">
        <f>+Tabla5557276[[#This Row],[PRECIO SUGERIDO]]+Tabla5557276[[#This Row],[ICO2]]</f>
        <v>#N/A</v>
      </c>
      <c r="N80" s="141"/>
      <c r="O80" s="132">
        <f t="shared" si="24"/>
        <v>0</v>
      </c>
      <c r="P80" s="139">
        <f t="shared" si="25"/>
        <v>0</v>
      </c>
      <c r="Q80" s="133" t="e">
        <f t="shared" si="26"/>
        <v>#N/A</v>
      </c>
      <c r="R80" s="194" t="e">
        <f t="shared" si="27"/>
        <v>#N/A</v>
      </c>
      <c r="S80" s="244">
        <v>68000</v>
      </c>
      <c r="T80" s="133" t="e">
        <f>+Tabla5557276[[#This Row],[COSTO]]/Tabla5557276[[#This Row],[Incremento 13%]]</f>
        <v>#N/A</v>
      </c>
    </row>
    <row r="81" spans="2:20" x14ac:dyDescent="0.25">
      <c r="B81" s="130" t="str">
        <f>+'FUERTES MAR'!B95</f>
        <v>SALMÃ“N DE LA COLINA</v>
      </c>
      <c r="C81" s="130" t="s">
        <v>475</v>
      </c>
      <c r="D81" s="131">
        <f>+'FUERTES MAR'!K98</f>
        <v>17874.679898295006</v>
      </c>
      <c r="E81" s="132">
        <f>+'FUERTES MAR'!K99</f>
        <v>63000</v>
      </c>
      <c r="F81" s="132">
        <f t="shared" si="21"/>
        <v>4666.6666666666661</v>
      </c>
      <c r="G81" s="131">
        <f>+Tabla5557276[[#This Row],[VENTA]]-Tabla5557276[[#This Row],[ICO 8%]]</f>
        <v>58333.333333333336</v>
      </c>
      <c r="H81" s="133">
        <f>+Tabla5557276[[#This Row],[COSTO]]/Tabla5557276[[#This Row],[BASE]]</f>
        <v>0.3064230839707715</v>
      </c>
      <c r="I81" s="134">
        <f>+Tabla5557276[[#This Row],[BASE]]/Tabla5557276[[#This Row],[COSTO]]</f>
        <v>3.2634617047826135</v>
      </c>
      <c r="J81" s="135" t="e">
        <f>+VLOOKUP(Tabla5557276[[#This Row],[FUERTES MAR]],#REF!,2,0)</f>
        <v>#REF!</v>
      </c>
      <c r="K81" s="136">
        <f t="shared" si="22"/>
        <v>51070.513995128589</v>
      </c>
      <c r="L81" s="131">
        <f t="shared" si="23"/>
        <v>3783.0010366761917</v>
      </c>
      <c r="M81" s="137">
        <f>+Tabla5557276[[#This Row],[PRECIO SUGERIDO]]+Tabla5557276[[#This Row],[ICO2]]</f>
        <v>54853.515031804782</v>
      </c>
      <c r="N81" s="141"/>
      <c r="O81" s="132">
        <f t="shared" si="24"/>
        <v>0</v>
      </c>
      <c r="P81" s="139">
        <f t="shared" si="25"/>
        <v>0</v>
      </c>
      <c r="Q81" s="133" t="e">
        <f t="shared" si="26"/>
        <v>#DIV/0!</v>
      </c>
      <c r="R81" s="194">
        <f t="shared" si="27"/>
        <v>0</v>
      </c>
      <c r="S81" s="244">
        <v>66000</v>
      </c>
      <c r="T81" s="133">
        <f>+Tabla5557276[[#This Row],[COSTO]]/Tabla5557276[[#This Row],[Incremento 13%]]</f>
        <v>0.27082848330750009</v>
      </c>
    </row>
    <row r="82" spans="2:20" x14ac:dyDescent="0.25">
      <c r="B82" s="130" t="str">
        <f>+'FUERTES MAR'!B58</f>
        <v>FRUTOS DEL MAR</v>
      </c>
      <c r="C82" s="130" t="s">
        <v>473</v>
      </c>
      <c r="D82" s="131">
        <f>+'FUERTES MAR'!K61</f>
        <v>22166.203948790007</v>
      </c>
      <c r="E82" s="132">
        <f>+'FUERTES MAR'!K62</f>
        <v>65000</v>
      </c>
      <c r="F82" s="132">
        <f t="shared" si="21"/>
        <v>4814.8148148148148</v>
      </c>
      <c r="G82" s="131">
        <f>+Tabla5557276[[#This Row],[VENTA]]-Tabla5557276[[#This Row],[ICO 8%]]</f>
        <v>60185.185185185182</v>
      </c>
      <c r="H82" s="133">
        <f>+Tabla5557276[[#This Row],[COSTO]]/Tabla5557276[[#This Row],[BASE]]</f>
        <v>0.3683000040722032</v>
      </c>
      <c r="I82" s="134">
        <f>+Tabla5557276[[#This Row],[BASE]]/Tabla5557276[[#This Row],[COSTO]]</f>
        <v>2.7151778141277334</v>
      </c>
      <c r="J82" s="135" t="e">
        <f>+VLOOKUP(Tabla5557276[[#This Row],[FUERTES MAR]],#REF!,2,0)</f>
        <v>#REF!</v>
      </c>
      <c r="K82" s="136">
        <f t="shared" si="22"/>
        <v>63332.011282257168</v>
      </c>
      <c r="L82" s="131">
        <f t="shared" si="23"/>
        <v>4691.2600949820117</v>
      </c>
      <c r="M82" s="137">
        <f>+Tabla5557276[[#This Row],[PRECIO SUGERIDO]]+Tabla5557276[[#This Row],[ICO2]]</f>
        <v>68023.271377239173</v>
      </c>
      <c r="N82" s="141"/>
      <c r="O82" s="132">
        <f t="shared" si="24"/>
        <v>0</v>
      </c>
      <c r="P82" s="139">
        <f t="shared" si="25"/>
        <v>0</v>
      </c>
      <c r="Q82" s="133" t="e">
        <f t="shared" si="26"/>
        <v>#DIV/0!</v>
      </c>
      <c r="R82" s="194">
        <f t="shared" si="27"/>
        <v>0</v>
      </c>
      <c r="S82" s="308">
        <v>73000</v>
      </c>
      <c r="T82" s="133">
        <f>+Tabla5557276[[#This Row],[COSTO]]/Tabla5557276[[#This Row],[Incremento 13%]]</f>
        <v>0.30364662943547954</v>
      </c>
    </row>
    <row r="83" spans="2:20" x14ac:dyDescent="0.25">
      <c r="B83" s="130" t="str">
        <f>+'FUERTES MAR'!B110</f>
        <v>TIMBAL DE PESCADO</v>
      </c>
      <c r="C83" s="130" t="s">
        <v>528</v>
      </c>
      <c r="D83" s="131">
        <f>+'FUERTES MAR'!K113</f>
        <v>14653.231999142003</v>
      </c>
      <c r="E83" s="132">
        <f>+'FUERTES MAR'!K114</f>
        <v>49000</v>
      </c>
      <c r="F83" s="132">
        <f t="shared" si="21"/>
        <v>3629.6296296296291</v>
      </c>
      <c r="G83" s="131">
        <f>+Tabla5557276[[#This Row],[VENTA]]-Tabla5557276[[#This Row],[ICO 8%]]</f>
        <v>45370.370370370372</v>
      </c>
      <c r="H83" s="133">
        <f>+Tabla5557276[[#This Row],[COSTO]]/Tabla5557276[[#This Row],[BASE]]</f>
        <v>0.32296919508312982</v>
      </c>
      <c r="I83" s="134">
        <f>+Tabla5557276[[#This Row],[BASE]]/Tabla5557276[[#This Row],[COSTO]]</f>
        <v>3.0962705274185902</v>
      </c>
      <c r="J83" s="135" t="e">
        <f>+VLOOKUP(Tabla5557276[[#This Row],[FUERTES MAR]],#REF!,2,0)</f>
        <v>#REF!</v>
      </c>
      <c r="K83" s="136">
        <f t="shared" si="22"/>
        <v>41866.377140405726</v>
      </c>
      <c r="L83" s="131">
        <f t="shared" si="23"/>
        <v>3101.2131215115351</v>
      </c>
      <c r="M83" s="137">
        <f>+Tabla5557276[[#This Row],[PRECIO SUGERIDO]]+Tabla5557276[[#This Row],[ICO2]]</f>
        <v>44967.590261917263</v>
      </c>
      <c r="N83" s="141"/>
      <c r="O83" s="132">
        <f t="shared" si="24"/>
        <v>0</v>
      </c>
      <c r="P83" s="139">
        <f t="shared" si="25"/>
        <v>0</v>
      </c>
      <c r="Q83" s="133" t="e">
        <f t="shared" si="26"/>
        <v>#DIV/0!</v>
      </c>
      <c r="R83" s="194">
        <f t="shared" si="27"/>
        <v>0</v>
      </c>
      <c r="S83" s="244">
        <v>55000</v>
      </c>
      <c r="T83" s="133">
        <f>+Tabla5557276[[#This Row],[COSTO]]/Tabla5557276[[#This Row],[Incremento 13%]]</f>
        <v>0.26642239998440004</v>
      </c>
    </row>
    <row r="84" spans="2:20" x14ac:dyDescent="0.25">
      <c r="B84" s="130" t="str">
        <f>+'FUERTES MAR'!B263</f>
        <v>PESCA AL AJILLO</v>
      </c>
      <c r="C84" s="130"/>
      <c r="D84" s="131">
        <f>+'FUERTES MAR'!K266</f>
        <v>16524.330816862002</v>
      </c>
      <c r="E84" s="132">
        <f>+'FUERTES MAR'!K267</f>
        <v>57000</v>
      </c>
      <c r="F84" s="132">
        <f t="shared" si="21"/>
        <v>4222.2222222222217</v>
      </c>
      <c r="G84" s="131">
        <f>+Tabla5557276[[#This Row],[VENTA]]-Tabla5557276[[#This Row],[ICO 8%]]</f>
        <v>52777.777777777781</v>
      </c>
      <c r="H84" s="133">
        <f>+Tabla5557276[[#This Row],[COSTO]]/Tabla5557276[[#This Row],[BASE]]</f>
        <v>0.31309258389843792</v>
      </c>
      <c r="I84" s="134">
        <f>+Tabla5557276[[#This Row],[BASE]]/Tabla5557276[[#This Row],[COSTO]]</f>
        <v>3.1939434257707733</v>
      </c>
      <c r="J84" s="135" t="e">
        <f>+VLOOKUP(Tabla5557276[[#This Row],[FUERTES MAR]],#REF!,2,0)</f>
        <v>#REF!</v>
      </c>
      <c r="K84" s="136">
        <f t="shared" si="22"/>
        <v>47212.373762462863</v>
      </c>
      <c r="L84" s="131">
        <f t="shared" si="23"/>
        <v>3497.212871293545</v>
      </c>
      <c r="M84" s="137">
        <f>+Tabla5557276[[#This Row],[PRECIO SUGERIDO]]+Tabla5557276[[#This Row],[ICO2]]</f>
        <v>50709.586633756408</v>
      </c>
      <c r="N84" s="141"/>
      <c r="O84" s="132">
        <f t="shared" si="24"/>
        <v>0</v>
      </c>
      <c r="P84" s="139">
        <f t="shared" si="25"/>
        <v>0</v>
      </c>
      <c r="Q84" s="133" t="e">
        <f t="shared" si="26"/>
        <v>#DIV/0!</v>
      </c>
      <c r="R84" s="194">
        <f t="shared" si="27"/>
        <v>0</v>
      </c>
      <c r="S84" s="244">
        <v>62000</v>
      </c>
      <c r="T84" s="133">
        <f>+Tabla5557276[[#This Row],[COSTO]]/Tabla5557276[[#This Row],[Incremento 13%]]</f>
        <v>0.2665214647880968</v>
      </c>
    </row>
    <row r="85" spans="2:20" x14ac:dyDescent="0.25">
      <c r="B85" s="130" t="str">
        <f>+'FUERTES MAR'!B146</f>
        <v>PESCA DEL ARRECIFE</v>
      </c>
      <c r="C85" s="130" t="s">
        <v>477</v>
      </c>
      <c r="D85" s="131" t="e">
        <f>+'FUERTES MAR'!K149</f>
        <v>#N/A</v>
      </c>
      <c r="E85" s="132">
        <f>+'FUERTES MAR'!K150</f>
        <v>61000</v>
      </c>
      <c r="F85" s="132">
        <f t="shared" si="21"/>
        <v>4518.5185185185182</v>
      </c>
      <c r="G85" s="131">
        <f>+Tabla5557276[[#This Row],[VENTA]]-Tabla5557276[[#This Row],[ICO 8%]]</f>
        <v>56481.481481481482</v>
      </c>
      <c r="H85" s="133" t="e">
        <f>+Tabla5557276[[#This Row],[COSTO]]/Tabla5557276[[#This Row],[BASE]]</f>
        <v>#N/A</v>
      </c>
      <c r="I85" s="134" t="e">
        <f>+Tabla5557276[[#This Row],[BASE]]/Tabla5557276[[#This Row],[COSTO]]</f>
        <v>#N/A</v>
      </c>
      <c r="J85" s="135" t="e">
        <f>+VLOOKUP(Tabla5557276[[#This Row],[FUERTES MAR]],#REF!,2,0)</f>
        <v>#REF!</v>
      </c>
      <c r="K85" s="136" t="e">
        <f t="shared" si="22"/>
        <v>#N/A</v>
      </c>
      <c r="L85" s="131" t="e">
        <f t="shared" si="23"/>
        <v>#N/A</v>
      </c>
      <c r="M85" s="137" t="e">
        <f>+Tabla5557276[[#This Row],[PRECIO SUGERIDO]]+Tabla5557276[[#This Row],[ICO2]]</f>
        <v>#N/A</v>
      </c>
      <c r="N85" s="141"/>
      <c r="O85" s="132">
        <f t="shared" si="24"/>
        <v>0</v>
      </c>
      <c r="P85" s="139">
        <f t="shared" si="25"/>
        <v>0</v>
      </c>
      <c r="Q85" s="133" t="e">
        <f t="shared" si="26"/>
        <v>#N/A</v>
      </c>
      <c r="R85" s="194" t="e">
        <f t="shared" si="27"/>
        <v>#N/A</v>
      </c>
      <c r="S85" s="244">
        <v>62000</v>
      </c>
      <c r="T85" s="133" t="e">
        <f>+Tabla5557276[[#This Row],[COSTO]]/Tabla5557276[[#This Row],[Incremento 13%]]</f>
        <v>#N/A</v>
      </c>
    </row>
    <row r="86" spans="2:20" x14ac:dyDescent="0.25">
      <c r="B86" s="130" t="str">
        <f>+'FUERTES MAR'!B129</f>
        <v>CEVICHE PARRILLERO</v>
      </c>
      <c r="C86" s="200" t="s">
        <v>476</v>
      </c>
      <c r="D86" s="131">
        <f>+'FUERTES MAR'!K132</f>
        <v>27618.83435465</v>
      </c>
      <c r="E86" s="132">
        <f>+'FUERTES MAR'!K133</f>
        <v>82000</v>
      </c>
      <c r="F86" s="132">
        <f t="shared" si="21"/>
        <v>6074.0740740740739</v>
      </c>
      <c r="G86" s="131">
        <f>+Tabla5557276[[#This Row],[VENTA]]-Tabla5557276[[#This Row],[ICO 8%]]</f>
        <v>75925.925925925927</v>
      </c>
      <c r="H86" s="133">
        <f>+Tabla5557276[[#This Row],[COSTO]]/Tabla5557276[[#This Row],[BASE]]</f>
        <v>0.36376025735392681</v>
      </c>
      <c r="I86" s="134">
        <f>+Tabla5557276[[#This Row],[BASE]]/Tabla5557276[[#This Row],[COSTO]]</f>
        <v>2.7490633728770231</v>
      </c>
      <c r="J86" s="135" t="e">
        <f>+VLOOKUP(Tabla5557276[[#This Row],[FUERTES MAR]],#REF!,2,0)</f>
        <v>#REF!</v>
      </c>
      <c r="K86" s="136">
        <f t="shared" si="22"/>
        <v>78910.955298999994</v>
      </c>
      <c r="L86" s="131">
        <f t="shared" si="23"/>
        <v>5845.2559480740738</v>
      </c>
      <c r="M86" s="137">
        <f>+Tabla5557276[[#This Row],[PRECIO SUGERIDO]]+Tabla5557276[[#This Row],[ICO2]]</f>
        <v>84756.211247074069</v>
      </c>
      <c r="N86" s="138"/>
      <c r="O86" s="132">
        <f t="shared" si="24"/>
        <v>0</v>
      </c>
      <c r="P86" s="139">
        <f t="shared" si="25"/>
        <v>0</v>
      </c>
      <c r="Q86" s="133" t="e">
        <f t="shared" si="26"/>
        <v>#DIV/0!</v>
      </c>
      <c r="R86" s="194">
        <f t="shared" si="27"/>
        <v>0</v>
      </c>
      <c r="S86" s="244">
        <v>92000</v>
      </c>
      <c r="T86" s="133">
        <f>+Tabla5557276[[#This Row],[COSTO]]/Tabla5557276[[#This Row],[Incremento 13%]]</f>
        <v>0.30020472124619563</v>
      </c>
    </row>
    <row r="87" spans="2:20" x14ac:dyDescent="0.25">
      <c r="B87" s="130" t="str">
        <f>+'FUERTES MAR'!B208</f>
        <v>PULPO DE LA CASA</v>
      </c>
      <c r="C87" s="130" t="s">
        <v>480</v>
      </c>
      <c r="D87" s="131">
        <f>+'FUERTES MAR'!K211</f>
        <v>26946.269167400002</v>
      </c>
      <c r="E87" s="132">
        <f>+'FUERTES MAR'!K212</f>
        <v>93000</v>
      </c>
      <c r="F87" s="132">
        <f t="shared" si="21"/>
        <v>6888.8888888888887</v>
      </c>
      <c r="G87" s="131">
        <f>+Tabla5557276[[#This Row],[VENTA]]-Tabla5557276[[#This Row],[ICO 8%]]</f>
        <v>86111.111111111109</v>
      </c>
      <c r="H87" s="133">
        <f>+Tabla5557276[[#This Row],[COSTO]]/Tabla5557276[[#This Row],[BASE]]</f>
        <v>0.3129244161375484</v>
      </c>
      <c r="I87" s="134">
        <f>+Tabla5557276[[#This Row],[BASE]]/Tabla5557276[[#This Row],[COSTO]]</f>
        <v>3.1956598732150132</v>
      </c>
      <c r="J87" s="135" t="e">
        <f>+VLOOKUP(Tabla5557276[[#This Row],[FUERTES MAR]],#REF!,2,0)</f>
        <v>#REF!</v>
      </c>
      <c r="K87" s="136">
        <f t="shared" si="22"/>
        <v>76989.340478285711</v>
      </c>
      <c r="L87" s="131">
        <f t="shared" si="23"/>
        <v>5702.9141095026444</v>
      </c>
      <c r="M87" s="137">
        <f>+Tabla5557276[[#This Row],[PRECIO SUGERIDO]]+Tabla5557276[[#This Row],[ICO2]]</f>
        <v>82692.254587788353</v>
      </c>
      <c r="N87" s="138"/>
      <c r="O87" s="132">
        <f t="shared" si="24"/>
        <v>0</v>
      </c>
      <c r="P87" s="139">
        <f t="shared" si="25"/>
        <v>0</v>
      </c>
      <c r="Q87" s="133" t="e">
        <f t="shared" si="26"/>
        <v>#DIV/0!</v>
      </c>
      <c r="R87" s="194">
        <f t="shared" si="27"/>
        <v>0</v>
      </c>
      <c r="S87" s="244">
        <v>99000</v>
      </c>
      <c r="T87" s="133">
        <f>+Tabla5557276[[#This Row],[COSTO]]/Tabla5557276[[#This Row],[Incremento 13%]]</f>
        <v>0.27218453704444445</v>
      </c>
    </row>
    <row r="88" spans="2:20" x14ac:dyDescent="0.25">
      <c r="B88" s="130" t="str">
        <f>+'FUERTES MAR'!B225</f>
        <v>PESCADO ENCOCADO</v>
      </c>
      <c r="C88" s="130" t="s">
        <v>481</v>
      </c>
      <c r="D88" s="131" t="e">
        <f>+'FUERTES MAR'!K228</f>
        <v>#N/A</v>
      </c>
      <c r="E88" s="132">
        <f>+'FUERTES MAR'!K229</f>
        <v>69000</v>
      </c>
      <c r="F88" s="132">
        <f t="shared" si="21"/>
        <v>5111.1111111111104</v>
      </c>
      <c r="G88" s="131">
        <f>+Tabla5557276[[#This Row],[VENTA]]-Tabla5557276[[#This Row],[ICO 8%]]</f>
        <v>63888.888888888891</v>
      </c>
      <c r="H88" s="133" t="e">
        <f>+Tabla5557276[[#This Row],[COSTO]]/Tabla5557276[[#This Row],[BASE]]</f>
        <v>#N/A</v>
      </c>
      <c r="I88" s="134" t="e">
        <f>+Tabla5557276[[#This Row],[BASE]]/Tabla5557276[[#This Row],[COSTO]]</f>
        <v>#N/A</v>
      </c>
      <c r="J88" s="135" t="e">
        <f>+VLOOKUP(Tabla5557276[[#This Row],[FUERTES MAR]],#REF!,2,0)</f>
        <v>#REF!</v>
      </c>
      <c r="K88" s="136" t="e">
        <f t="shared" si="22"/>
        <v>#N/A</v>
      </c>
      <c r="L88" s="131" t="e">
        <f t="shared" si="23"/>
        <v>#N/A</v>
      </c>
      <c r="M88" s="137" t="e">
        <f>+Tabla5557276[[#This Row],[PRECIO SUGERIDO]]+Tabla5557276[[#This Row],[ICO2]]</f>
        <v>#N/A</v>
      </c>
      <c r="N88" s="138"/>
      <c r="O88" s="132">
        <f t="shared" si="24"/>
        <v>0</v>
      </c>
      <c r="P88" s="139">
        <f t="shared" si="25"/>
        <v>0</v>
      </c>
      <c r="Q88" s="133" t="e">
        <f t="shared" si="26"/>
        <v>#N/A</v>
      </c>
      <c r="R88" s="194" t="e">
        <f t="shared" si="27"/>
        <v>#N/A</v>
      </c>
      <c r="S88" s="244">
        <v>75000</v>
      </c>
      <c r="T88" s="133" t="e">
        <f>+Tabla5557276[[#This Row],[COSTO]]/Tabla5557276[[#This Row],[Incremento 13%]]</f>
        <v>#N/A</v>
      </c>
    </row>
    <row r="89" spans="2:20" x14ac:dyDescent="0.25">
      <c r="B89" s="130" t="str">
        <f>+'FUERTES MAR'!B190</f>
        <v>ATUN MASAI</v>
      </c>
      <c r="C89" s="130" t="s">
        <v>479</v>
      </c>
      <c r="D89" s="131">
        <f>+'FUERTES MAR'!K193</f>
        <v>16759.932133295995</v>
      </c>
      <c r="E89" s="132">
        <f>+'FUERTES MAR'!K194</f>
        <v>65000</v>
      </c>
      <c r="F89" s="132">
        <f t="shared" si="21"/>
        <v>4814.8148148148148</v>
      </c>
      <c r="G89" s="131">
        <f>+Tabla5557276[[#This Row],[VENTA]]-Tabla5557276[[#This Row],[ICO 8%]]</f>
        <v>60185.185185185182</v>
      </c>
      <c r="H89" s="133">
        <f>+Tabla5557276[[#This Row],[COSTO]]/Tabla5557276[[#This Row],[BASE]]</f>
        <v>0.27847271852245653</v>
      </c>
      <c r="I89" s="134">
        <f>+Tabla5557276[[#This Row],[BASE]]/Tabla5557276[[#This Row],[COSTO]]</f>
        <v>3.5910160438906988</v>
      </c>
      <c r="J89" s="135" t="e">
        <f>+VLOOKUP(Tabla5557276[[#This Row],[FUERTES MAR]],#REF!,2,0)</f>
        <v>#REF!</v>
      </c>
      <c r="K89" s="136">
        <f t="shared" si="22"/>
        <v>47885.520380845701</v>
      </c>
      <c r="L89" s="131">
        <f t="shared" si="23"/>
        <v>3547.0755837663478</v>
      </c>
      <c r="M89" s="137">
        <f>+Tabla5557276[[#This Row],[PRECIO SUGERIDO]]+Tabla5557276[[#This Row],[ICO2]]</f>
        <v>51432.595964612046</v>
      </c>
      <c r="N89" s="141">
        <v>69000</v>
      </c>
      <c r="O89" s="132">
        <f t="shared" si="24"/>
        <v>5111.1111111111104</v>
      </c>
      <c r="P89" s="139">
        <f t="shared" si="25"/>
        <v>63888.888888888891</v>
      </c>
      <c r="Q89" s="133">
        <f t="shared" si="26"/>
        <v>0.26232937252115468</v>
      </c>
      <c r="R89" s="194">
        <f t="shared" si="27"/>
        <v>3.8120016465916651</v>
      </c>
      <c r="S89" s="244">
        <v>69000</v>
      </c>
      <c r="T89" s="133">
        <f>+Tabla5557276[[#This Row],[COSTO]]/Tabla5557276[[#This Row],[Incremento 13%]]</f>
        <v>0.24289756714921731</v>
      </c>
    </row>
    <row r="90" spans="2:20" ht="13.8" thickBot="1" x14ac:dyDescent="0.3">
      <c r="B90" s="143" t="str">
        <f>+'FUERTES MAR'!B6</f>
        <v>ISLOTE MALANGA</v>
      </c>
      <c r="C90" s="143" t="s">
        <v>471</v>
      </c>
      <c r="D90" s="144">
        <f>+'FUERTES MAR'!K9</f>
        <v>77225.904437321195</v>
      </c>
      <c r="E90" s="145">
        <f>+'FUERTES MAR'!K10</f>
        <v>280000</v>
      </c>
      <c r="F90" s="145">
        <f t="shared" si="21"/>
        <v>20740.740740740741</v>
      </c>
      <c r="G90" s="144">
        <f>+Tabla5557276[[#This Row],[VENTA]]-Tabla5557276[[#This Row],[ICO 8%]]</f>
        <v>259259.25925925927</v>
      </c>
      <c r="H90" s="146">
        <f>+Tabla5557276[[#This Row],[COSTO]]/Tabla5557276[[#This Row],[BASE]]</f>
        <v>0.29787134568681028</v>
      </c>
      <c r="I90" s="147">
        <f>+Tabla5557276[[#This Row],[BASE]]/Tabla5557276[[#This Row],[COSTO]]</f>
        <v>3.3571540682917047</v>
      </c>
      <c r="J90" s="135" t="e">
        <f>+VLOOKUP(Tabla5557276[[#This Row],[FUERTES MAR]],#REF!,2,0)</f>
        <v>#REF!</v>
      </c>
      <c r="K90" s="149">
        <f t="shared" si="22"/>
        <v>220645.44124948911</v>
      </c>
      <c r="L90" s="144">
        <f t="shared" si="23"/>
        <v>16344.106759221415</v>
      </c>
      <c r="M90" s="150">
        <f>+Tabla5557276[[#This Row],[PRECIO SUGERIDO]]+Tabla5557276[[#This Row],[ICO2]]</f>
        <v>236989.54800871052</v>
      </c>
      <c r="N90" s="141"/>
      <c r="O90" s="145">
        <f t="shared" si="24"/>
        <v>0</v>
      </c>
      <c r="P90" s="151">
        <f t="shared" si="25"/>
        <v>0</v>
      </c>
      <c r="Q90" s="146" t="e">
        <f t="shared" si="26"/>
        <v>#DIV/0!</v>
      </c>
      <c r="R90" s="196">
        <f t="shared" si="27"/>
        <v>0</v>
      </c>
      <c r="S90" s="244">
        <v>280000</v>
      </c>
      <c r="T90" s="133">
        <f>+Tabla5557276[[#This Row],[COSTO]]/Tabla5557276[[#This Row],[Incremento 13%]]</f>
        <v>0.27580680156186144</v>
      </c>
    </row>
    <row r="91" spans="2:20" ht="13.8" thickBot="1" x14ac:dyDescent="0.3">
      <c r="B91" s="153" t="s">
        <v>35</v>
      </c>
      <c r="C91" s="181"/>
      <c r="D91" s="155"/>
      <c r="E91" s="156"/>
      <c r="F91" s="156"/>
      <c r="G91" s="155"/>
      <c r="H91" s="158" t="e">
        <f>SUBTOTAL(101,Tabla5557276[%])</f>
        <v>#N/A</v>
      </c>
      <c r="I91" s="156"/>
      <c r="J91" s="156" t="e">
        <f>SUBTOTAL(109,Tabla5557276[ROTACION])</f>
        <v>#REF!</v>
      </c>
      <c r="K91" s="159"/>
      <c r="L91" s="155"/>
      <c r="M91" s="156"/>
      <c r="N91" s="160"/>
      <c r="O91" s="156"/>
      <c r="P91" s="155"/>
      <c r="Q91" s="161"/>
      <c r="R91" s="198">
        <f>SUBTOTAL(103,Tabla5557276[RATION])</f>
        <v>14</v>
      </c>
      <c r="S91" s="232"/>
      <c r="T91" s="274"/>
    </row>
    <row r="95" spans="2:20" x14ac:dyDescent="0.25">
      <c r="E95" s="117" t="s">
        <v>25</v>
      </c>
      <c r="F95" s="114"/>
      <c r="G95" s="118"/>
      <c r="H95" s="114"/>
      <c r="I95" s="114"/>
      <c r="J95" s="70"/>
      <c r="K95" s="396" t="s">
        <v>29</v>
      </c>
      <c r="L95" s="396"/>
      <c r="M95" s="396"/>
      <c r="N95" s="395" t="s">
        <v>1090</v>
      </c>
      <c r="O95" s="395"/>
      <c r="P95" s="395"/>
      <c r="Q95" s="395"/>
    </row>
    <row r="96" spans="2:20" x14ac:dyDescent="0.25">
      <c r="B96" s="183" t="s">
        <v>329</v>
      </c>
      <c r="C96" s="184" t="s">
        <v>316</v>
      </c>
      <c r="D96" s="185" t="s">
        <v>7</v>
      </c>
      <c r="E96" s="186" t="s">
        <v>20</v>
      </c>
      <c r="F96" s="187" t="s">
        <v>33</v>
      </c>
      <c r="G96" s="185" t="s">
        <v>26</v>
      </c>
      <c r="H96" s="188" t="s">
        <v>21</v>
      </c>
      <c r="I96" s="189" t="s">
        <v>22</v>
      </c>
      <c r="J96" s="189" t="s">
        <v>23</v>
      </c>
      <c r="K96" s="189" t="s">
        <v>27</v>
      </c>
      <c r="L96" s="185" t="s">
        <v>32</v>
      </c>
      <c r="M96" s="189" t="s">
        <v>28</v>
      </c>
      <c r="N96" s="190" t="s">
        <v>30</v>
      </c>
      <c r="O96" s="185" t="s">
        <v>34</v>
      </c>
      <c r="P96" s="185" t="s">
        <v>25</v>
      </c>
      <c r="Q96" s="191" t="s">
        <v>31</v>
      </c>
      <c r="R96" s="192" t="s">
        <v>24</v>
      </c>
      <c r="S96" s="233" t="s">
        <v>1262</v>
      </c>
      <c r="T96" s="271" t="s">
        <v>1263</v>
      </c>
    </row>
    <row r="97" spans="1:20" x14ac:dyDescent="0.25">
      <c r="B97" s="130" t="str">
        <f>+'FUERTES TIERRA'!B6</f>
        <v>POSTA CARIBEÃ‘A</v>
      </c>
      <c r="C97" s="130" t="s">
        <v>484</v>
      </c>
      <c r="D97" s="131" t="e">
        <f>+'FUERTES TIERRA'!K9</f>
        <v>#N/A</v>
      </c>
      <c r="E97" s="132">
        <f>+'FUERTES TIERRA'!K10</f>
        <v>51000</v>
      </c>
      <c r="F97" s="132">
        <f t="shared" ref="F97:F104" si="28">+E97/1.08*0.08</f>
        <v>3777.7777777777774</v>
      </c>
      <c r="G97" s="131">
        <f>+Tabla5557277[[#This Row],[VENTA]]-Tabla5557277[[#This Row],[ICO 8%]]</f>
        <v>47222.222222222219</v>
      </c>
      <c r="H97" s="133" t="e">
        <f>+Tabla5557277[[#This Row],[COSTO]]/Tabla5557277[[#This Row],[BASE]]</f>
        <v>#N/A</v>
      </c>
      <c r="I97" s="134" t="e">
        <f>+Tabla5557277[[#This Row],[BASE]]/Tabla5557277[[#This Row],[COSTO]]</f>
        <v>#N/A</v>
      </c>
      <c r="J97" s="135" t="e">
        <f>+VLOOKUP(Tabla5557277[[#This Row],[FUERTES TIERRA]],#REF!,2,0)</f>
        <v>#REF!</v>
      </c>
      <c r="K97" s="136" t="e">
        <f t="shared" ref="K97:K104" si="29">+D97/(100-65)*100</f>
        <v>#N/A</v>
      </c>
      <c r="L97" s="131" t="e">
        <f t="shared" ref="L97:L104" si="30">+K97/1.08*0.08</f>
        <v>#N/A</v>
      </c>
      <c r="M97" s="137" t="e">
        <f>+Tabla5557277[[#This Row],[PRECIO SUGERIDO]]+Tabla5557277[[#This Row],[ICO2]]</f>
        <v>#N/A</v>
      </c>
      <c r="N97" s="141">
        <v>57000</v>
      </c>
      <c r="O97" s="132">
        <f t="shared" ref="O97:O104" si="31">+N97/1.08*0.08</f>
        <v>4222.2222222222217</v>
      </c>
      <c r="P97" s="139">
        <f t="shared" ref="P97:P104" si="32">+N97-O97</f>
        <v>52777.777777777781</v>
      </c>
      <c r="Q97" s="133" t="e">
        <f t="shared" ref="Q97:Q104" si="33">+D97/P97</f>
        <v>#N/A</v>
      </c>
      <c r="R97" s="194" t="e">
        <f t="shared" ref="R97:R104" si="34">+P97/D97</f>
        <v>#N/A</v>
      </c>
      <c r="S97" s="244">
        <v>60000</v>
      </c>
      <c r="T97" s="133" t="e">
        <f>+Tabla5557277[[#This Row],[COSTO]]/Tabla5557277[[#This Row],[Incremento 13%]]</f>
        <v>#N/A</v>
      </c>
    </row>
    <row r="98" spans="1:20" x14ac:dyDescent="0.25">
      <c r="B98" s="130" t="str">
        <f>+'FUERTES TIERRA'!B35</f>
        <v>TENTACION DEL TROPICO</v>
      </c>
      <c r="C98" s="130" t="s">
        <v>486</v>
      </c>
      <c r="D98" s="131">
        <f>+'FUERTES TIERRA'!K38</f>
        <v>17972.050049371002</v>
      </c>
      <c r="E98" s="132">
        <f>+'FUERTES TIERRA'!K39</f>
        <v>56000</v>
      </c>
      <c r="F98" s="132">
        <f t="shared" si="28"/>
        <v>4148.1481481481478</v>
      </c>
      <c r="G98" s="131">
        <f>+Tabla5557277[[#This Row],[VENTA]]-Tabla5557277[[#This Row],[ICO 8%]]</f>
        <v>51851.851851851854</v>
      </c>
      <c r="H98" s="133">
        <f>+Tabla5557277[[#This Row],[COSTO]]/Tabla5557277[[#This Row],[BASE]]</f>
        <v>0.34660382238072646</v>
      </c>
      <c r="I98" s="134">
        <f>+Tabla5557277[[#This Row],[BASE]]/Tabla5557277[[#This Row],[COSTO]]</f>
        <v>2.8851384071049035</v>
      </c>
      <c r="J98" s="135" t="e">
        <f>+VLOOKUP(Tabla5557277[[#This Row],[FUERTES TIERRA]],#REF!,2,0)</f>
        <v>#REF!</v>
      </c>
      <c r="K98" s="136">
        <f t="shared" si="29"/>
        <v>51348.714426774291</v>
      </c>
      <c r="L98" s="131">
        <f t="shared" si="30"/>
        <v>3803.6084760573549</v>
      </c>
      <c r="M98" s="137">
        <f>+Tabla5557277[[#This Row],[PRECIO SUGERIDO]]+Tabla5557277[[#This Row],[ICO2]]</f>
        <v>55152.322902831649</v>
      </c>
      <c r="N98" s="141">
        <v>55500</v>
      </c>
      <c r="O98" s="132">
        <f t="shared" si="31"/>
        <v>4111.1111111111104</v>
      </c>
      <c r="P98" s="139">
        <f t="shared" si="32"/>
        <v>51388.888888888891</v>
      </c>
      <c r="Q98" s="133">
        <f t="shared" si="33"/>
        <v>0.34972637933911138</v>
      </c>
      <c r="R98" s="194">
        <f t="shared" si="34"/>
        <v>2.8593782427557524</v>
      </c>
      <c r="S98" s="244">
        <v>62000</v>
      </c>
      <c r="T98" s="133">
        <f>+Tabla5557277[[#This Row],[COSTO]]/Tabla5557277[[#This Row],[Incremento 13%]]</f>
        <v>0.28987177498985489</v>
      </c>
    </row>
    <row r="99" spans="1:20" x14ac:dyDescent="0.25">
      <c r="B99" s="130" t="str">
        <f>+'FUERTES TIERRA'!B52</f>
        <v>LOMO PRIMAVERA</v>
      </c>
      <c r="C99" s="130" t="s">
        <v>571</v>
      </c>
      <c r="D99" s="131">
        <f>+'FUERTES TIERRA'!K55</f>
        <v>22027.530494431001</v>
      </c>
      <c r="E99" s="132">
        <f>+'FUERTES TIERRA'!K56</f>
        <v>63000</v>
      </c>
      <c r="F99" s="132">
        <f t="shared" si="28"/>
        <v>4666.6666666666661</v>
      </c>
      <c r="G99" s="131">
        <f>+Tabla5557277[[#This Row],[VENTA]]-Tabla5557277[[#This Row],[ICO 8%]]</f>
        <v>58333.333333333336</v>
      </c>
      <c r="H99" s="133">
        <f>+Tabla5557277[[#This Row],[COSTO]]/Tabla5557277[[#This Row],[BASE]]</f>
        <v>0.37761480847596002</v>
      </c>
      <c r="I99" s="134">
        <f>+Tabla5557277[[#This Row],[BASE]]/Tabla5557277[[#This Row],[COSTO]]</f>
        <v>2.6482012292790227</v>
      </c>
      <c r="J99" s="135" t="e">
        <f>+VLOOKUP(Tabla5557277[[#This Row],[FUERTES TIERRA]],#REF!,2,0)</f>
        <v>#REF!</v>
      </c>
      <c r="K99" s="136">
        <f t="shared" si="29"/>
        <v>62935.801412659996</v>
      </c>
      <c r="L99" s="131">
        <f t="shared" si="30"/>
        <v>4661.9112157525924</v>
      </c>
      <c r="M99" s="137">
        <f>+Tabla5557277[[#This Row],[PRECIO SUGERIDO]]+Tabla5557277[[#This Row],[ICO2]]</f>
        <v>67597.712628412584</v>
      </c>
      <c r="N99" s="138">
        <v>68000</v>
      </c>
      <c r="O99" s="132">
        <f t="shared" si="31"/>
        <v>5037.0370370370365</v>
      </c>
      <c r="P99" s="139">
        <f t="shared" si="32"/>
        <v>62962.962962962964</v>
      </c>
      <c r="Q99" s="133">
        <f t="shared" si="33"/>
        <v>0.34984901373508059</v>
      </c>
      <c r="R99" s="194">
        <f t="shared" si="34"/>
        <v>2.8583759300154532</v>
      </c>
      <c r="S99" s="244">
        <v>73000</v>
      </c>
      <c r="T99" s="133">
        <f>+Tabla5557277[[#This Row],[COSTO]]/Tabla5557277[[#This Row],[Incremento 13%]]</f>
        <v>0.30174699307439729</v>
      </c>
    </row>
    <row r="100" spans="1:20" x14ac:dyDescent="0.25">
      <c r="B100" s="130" t="str">
        <f>+'FUERTES TIERRA'!B23</f>
        <v xml:space="preserve"> LOMO AL CAFÃ‰</v>
      </c>
      <c r="C100" s="130" t="s">
        <v>485</v>
      </c>
      <c r="D100" s="131">
        <f>+'FUERTES TIERRA'!K26</f>
        <v>18821.344728680997</v>
      </c>
      <c r="E100" s="132">
        <f>+'FUERTES TIERRA'!K27</f>
        <v>59000</v>
      </c>
      <c r="F100" s="132">
        <f t="shared" si="28"/>
        <v>4370.3703703703704</v>
      </c>
      <c r="G100" s="131">
        <f>+Tabla5557277[[#This Row],[VENTA]]-Tabla5557277[[#This Row],[ICO 8%]]</f>
        <v>54629.629629629628</v>
      </c>
      <c r="H100" s="133">
        <f>+Tabla5557277[[#This Row],[COSTO]]/Tabla5557277[[#This Row],[BASE]]</f>
        <v>0.34452631028771996</v>
      </c>
      <c r="I100" s="134">
        <f>+Tabla5557277[[#This Row],[BASE]]/Tabla5557277[[#This Row],[COSTO]]</f>
        <v>2.902535946136835</v>
      </c>
      <c r="J100" s="135" t="e">
        <f>+VLOOKUP(Tabla5557277[[#This Row],[FUERTES TIERRA]],#REF!,2,0)</f>
        <v>#REF!</v>
      </c>
      <c r="K100" s="136">
        <f t="shared" si="29"/>
        <v>53775.270653374275</v>
      </c>
      <c r="L100" s="131">
        <f t="shared" si="30"/>
        <v>3983.3533817314278</v>
      </c>
      <c r="M100" s="137">
        <f>+Tabla5557277[[#This Row],[PRECIO SUGERIDO]]+Tabla5557277[[#This Row],[ICO2]]</f>
        <v>57758.624035105706</v>
      </c>
      <c r="N100" s="141">
        <v>59000</v>
      </c>
      <c r="O100" s="132">
        <f t="shared" si="31"/>
        <v>4370.3703703703704</v>
      </c>
      <c r="P100" s="139">
        <f t="shared" si="32"/>
        <v>54629.629629629628</v>
      </c>
      <c r="Q100" s="133">
        <f t="shared" si="33"/>
        <v>0.34452631028771996</v>
      </c>
      <c r="R100" s="194">
        <f t="shared" si="34"/>
        <v>2.902535946136835</v>
      </c>
      <c r="S100" s="244">
        <v>64000</v>
      </c>
      <c r="T100" s="133">
        <f>+Tabla5557277[[#This Row],[COSTO]]/Tabla5557277[[#This Row],[Incremento 13%]]</f>
        <v>0.29408351138564059</v>
      </c>
    </row>
    <row r="101" spans="1:20" x14ac:dyDescent="0.25">
      <c r="B101" s="130" t="str">
        <f>+'FUERTES TIERRA'!B110</f>
        <v>COSTILLAS ARREBATADAS</v>
      </c>
      <c r="C101" s="130" t="s">
        <v>488</v>
      </c>
      <c r="D101" s="131">
        <f>+'FUERTES TIERRA'!K113</f>
        <v>24682.402104074001</v>
      </c>
      <c r="E101" s="132">
        <f>+'FUERTES TIERRA'!K114</f>
        <v>74000</v>
      </c>
      <c r="F101" s="132">
        <f t="shared" si="28"/>
        <v>5481.4814814814808</v>
      </c>
      <c r="G101" s="131">
        <f>+Tabla5557277[[#This Row],[VENTA]]-Tabla5557277[[#This Row],[ICO 8%]]</f>
        <v>68518.518518518526</v>
      </c>
      <c r="H101" s="133">
        <f>+Tabla5557277[[#This Row],[COSTO]]/Tabla5557277[[#This Row],[BASE]]</f>
        <v>0.36022965232972864</v>
      </c>
      <c r="I101" s="134">
        <f>+Tabla5557277[[#This Row],[BASE]]/Tabla5557277[[#This Row],[COSTO]]</f>
        <v>2.7760068987454454</v>
      </c>
      <c r="J101" s="135" t="e">
        <f>+VLOOKUP(Tabla5557277[[#This Row],[FUERTES TIERRA]],#REF!,2,0)</f>
        <v>#REF!</v>
      </c>
      <c r="K101" s="136">
        <f t="shared" si="29"/>
        <v>70521.148868782853</v>
      </c>
      <c r="L101" s="131">
        <f t="shared" si="30"/>
        <v>5223.788805095026</v>
      </c>
      <c r="M101" s="137">
        <f>+Tabla5557277[[#This Row],[PRECIO SUGERIDO]]+Tabla5557277[[#This Row],[ICO2]]</f>
        <v>75744.937673877881</v>
      </c>
      <c r="N101" s="141">
        <v>77000</v>
      </c>
      <c r="O101" s="132">
        <f t="shared" si="31"/>
        <v>5703.7037037037035</v>
      </c>
      <c r="P101" s="139">
        <f t="shared" si="32"/>
        <v>71296.296296296292</v>
      </c>
      <c r="Q101" s="133">
        <f t="shared" si="33"/>
        <v>0.3461947308103886</v>
      </c>
      <c r="R101" s="194">
        <f t="shared" si="34"/>
        <v>2.8885477189648552</v>
      </c>
      <c r="S101" s="244">
        <v>83000</v>
      </c>
      <c r="T101" s="133">
        <f>+Tabla5557277[[#This Row],[COSTO]]/Tabla5557277[[#This Row],[Incremento 13%]]</f>
        <v>0.29737833860330121</v>
      </c>
    </row>
    <row r="102" spans="1:20" x14ac:dyDescent="0.25">
      <c r="B102" s="130" t="str">
        <f>+'FUERTES TIERRA'!B91</f>
        <v>LOMO MUCURA</v>
      </c>
      <c r="C102" s="130" t="s">
        <v>483</v>
      </c>
      <c r="D102" s="131">
        <f>+'FUERTES TIERRA'!K94</f>
        <v>16875.946324523</v>
      </c>
      <c r="E102" s="132">
        <f>+'FUERTES TIERRA'!K95</f>
        <v>63000</v>
      </c>
      <c r="F102" s="132">
        <f t="shared" si="28"/>
        <v>4666.6666666666661</v>
      </c>
      <c r="G102" s="131">
        <f>+Tabla5557277[[#This Row],[VENTA]]-Tabla5557277[[#This Row],[ICO 8%]]</f>
        <v>58333.333333333336</v>
      </c>
      <c r="H102" s="133">
        <f>+Tabla5557277[[#This Row],[COSTO]]/Tabla5557277[[#This Row],[BASE]]</f>
        <v>0.28930193699182283</v>
      </c>
      <c r="I102" s="134">
        <f>+Tabla5557277[[#This Row],[BASE]]/Tabla5557277[[#This Row],[COSTO]]</f>
        <v>3.456596282755843</v>
      </c>
      <c r="J102" s="135" t="e">
        <f>+VLOOKUP(Tabla5557277[[#This Row],[FUERTES TIERRA]],#REF!,2,0)</f>
        <v>#REF!</v>
      </c>
      <c r="K102" s="136">
        <f t="shared" si="29"/>
        <v>48216.989498637144</v>
      </c>
      <c r="L102" s="131">
        <f t="shared" si="30"/>
        <v>3571.6288517508992</v>
      </c>
      <c r="M102" s="137">
        <f>+Tabla5557277[[#This Row],[PRECIO SUGERIDO]]+Tabla5557277[[#This Row],[ICO2]]</f>
        <v>51788.618350388046</v>
      </c>
      <c r="N102" s="138">
        <v>53000</v>
      </c>
      <c r="O102" s="132">
        <f t="shared" si="31"/>
        <v>3925.9259259259261</v>
      </c>
      <c r="P102" s="139">
        <f t="shared" si="32"/>
        <v>49074.074074074073</v>
      </c>
      <c r="Q102" s="133">
        <f t="shared" si="33"/>
        <v>0.34388720812235546</v>
      </c>
      <c r="R102" s="194">
        <f t="shared" si="34"/>
        <v>2.9079302061279315</v>
      </c>
      <c r="S102" s="244">
        <v>65000</v>
      </c>
      <c r="T102" s="133">
        <f>+Tabla5557277[[#This Row],[COSTO]]/Tabla5557277[[#This Row],[Incremento 13%]]</f>
        <v>0.25962994345419999</v>
      </c>
    </row>
    <row r="103" spans="1:20" x14ac:dyDescent="0.25">
      <c r="B103" s="130" t="str">
        <f>+'FUERTES TIERRA'!B124</f>
        <v xml:space="preserve"> COSTILLAS AHUMADAS</v>
      </c>
      <c r="C103" s="130" t="s">
        <v>487</v>
      </c>
      <c r="D103" s="131">
        <f>+'FUERTES TIERRA'!K127</f>
        <v>18238.320289574</v>
      </c>
      <c r="E103" s="132">
        <f>+'FUERTES TIERRA'!K128</f>
        <v>74000</v>
      </c>
      <c r="F103" s="132">
        <f t="shared" si="28"/>
        <v>5481.4814814814808</v>
      </c>
      <c r="G103" s="131">
        <f>+Tabla5557277[[#This Row],[VENTA]]-Tabla5557277[[#This Row],[ICO 8%]]</f>
        <v>68518.518518518526</v>
      </c>
      <c r="H103" s="133">
        <f>+Tabla5557277[[#This Row],[COSTO]]/Tabla5557277[[#This Row],[BASE]]</f>
        <v>0.26618089071270157</v>
      </c>
      <c r="I103" s="134">
        <f>+Tabla5557277[[#This Row],[BASE]]/Tabla5557277[[#This Row],[COSTO]]</f>
        <v>3.7568436912300185</v>
      </c>
      <c r="J103" s="135" t="e">
        <f>+VLOOKUP(Tabla5557277[[#This Row],[FUERTES TIERRA]],#REF!,2,0)</f>
        <v>#REF!</v>
      </c>
      <c r="K103" s="136">
        <f t="shared" si="29"/>
        <v>52109.486541639999</v>
      </c>
      <c r="L103" s="131">
        <f t="shared" si="30"/>
        <v>3859.9619660474068</v>
      </c>
      <c r="M103" s="137">
        <f>+Tabla5557277[[#This Row],[PRECIO SUGERIDO]]+Tabla5557277[[#This Row],[ICO2]]</f>
        <v>55969.448507687404</v>
      </c>
      <c r="N103" s="141">
        <v>57000</v>
      </c>
      <c r="O103" s="132">
        <f t="shared" si="31"/>
        <v>4222.2222222222217</v>
      </c>
      <c r="P103" s="139">
        <f t="shared" si="32"/>
        <v>52777.777777777781</v>
      </c>
      <c r="Q103" s="133">
        <f t="shared" si="33"/>
        <v>0.34556817390771788</v>
      </c>
      <c r="R103" s="194">
        <f t="shared" si="34"/>
        <v>2.8937850054069059</v>
      </c>
      <c r="S103" s="244">
        <v>83000</v>
      </c>
      <c r="T103" s="133">
        <f>+Tabla5557277[[#This Row],[COSTO]]/Tabla5557277[[#This Row],[Incremento 13%]]</f>
        <v>0.21973879866956625</v>
      </c>
    </row>
    <row r="104" spans="1:20" ht="13.8" thickBot="1" x14ac:dyDescent="0.3">
      <c r="B104" s="130" t="str">
        <f>+'FUERTES TIERRA'!B69</f>
        <v>LOMO EN SALSA DE COROZO</v>
      </c>
      <c r="C104" s="130"/>
      <c r="D104" s="131">
        <f>+'FUERTES TIERRA'!K72</f>
        <v>22632.251354328004</v>
      </c>
      <c r="E104" s="132">
        <f>+'FUERTES TIERRA'!K73</f>
        <v>65000</v>
      </c>
      <c r="F104" s="132">
        <f t="shared" si="28"/>
        <v>4814.8148148148148</v>
      </c>
      <c r="G104" s="131">
        <f>+Tabla5557277[[#This Row],[VENTA]]-Tabla5557277[[#This Row],[ICO 8%]]</f>
        <v>60185.185185185182</v>
      </c>
      <c r="H104" s="133">
        <f>+Tabla5557277[[#This Row],[COSTO]]/Tabla5557277[[#This Row],[BASE]]</f>
        <v>0.37604356096421915</v>
      </c>
      <c r="I104" s="134">
        <f>+Tabla5557277[[#This Row],[BASE]]/Tabla5557277[[#This Row],[COSTO]]</f>
        <v>2.6592663824262393</v>
      </c>
      <c r="J104" s="135" t="e">
        <f>+VLOOKUP(Tabla5557277[[#This Row],[FUERTES TIERRA]],#REF!,2,0)</f>
        <v>#REF!</v>
      </c>
      <c r="K104" s="136">
        <f t="shared" si="29"/>
        <v>64663.575298080017</v>
      </c>
      <c r="L104" s="131">
        <f t="shared" si="30"/>
        <v>4789.8944665244453</v>
      </c>
      <c r="M104" s="137">
        <f>+Tabla5557277[[#This Row],[PRECIO SUGERIDO]]+Tabla5557277[[#This Row],[ICO2]]</f>
        <v>69453.469764604466</v>
      </c>
      <c r="N104" s="138">
        <v>70000</v>
      </c>
      <c r="O104" s="132">
        <f t="shared" si="31"/>
        <v>5185.1851851851852</v>
      </c>
      <c r="P104" s="139">
        <f t="shared" si="32"/>
        <v>64814.814814814818</v>
      </c>
      <c r="Q104" s="133">
        <f t="shared" si="33"/>
        <v>0.34918330660963204</v>
      </c>
      <c r="R104" s="194">
        <f t="shared" si="34"/>
        <v>2.8638253349205653</v>
      </c>
      <c r="S104" s="244">
        <v>73000</v>
      </c>
      <c r="T104" s="133">
        <f>+Tabla5557277[[#This Row],[COSTO]]/Tabla5557277[[#This Row],[Incremento 13%]]</f>
        <v>0.31003084047024665</v>
      </c>
    </row>
    <row r="105" spans="1:20" ht="13.8" thickBot="1" x14ac:dyDescent="0.3">
      <c r="B105" s="153" t="s">
        <v>35</v>
      </c>
      <c r="C105" s="181"/>
      <c r="D105" s="155"/>
      <c r="E105" s="156"/>
      <c r="F105" s="156"/>
      <c r="G105" s="155"/>
      <c r="H105" s="158" t="e">
        <f>SUBTOTAL(101,Tabla5557277[%])</f>
        <v>#N/A</v>
      </c>
      <c r="I105" s="156"/>
      <c r="J105" s="156" t="e">
        <f>SUBTOTAL(109,Tabla5557277[ROTACION])</f>
        <v>#REF!</v>
      </c>
      <c r="K105" s="159"/>
      <c r="L105" s="155"/>
      <c r="M105" s="156"/>
      <c r="N105" s="160"/>
      <c r="O105" s="156"/>
      <c r="P105" s="155"/>
      <c r="Q105" s="161"/>
      <c r="R105" s="198">
        <f>SUBTOTAL(103,Tabla5557277[RATION])</f>
        <v>8</v>
      </c>
      <c r="S105" s="232"/>
      <c r="T105" s="274"/>
    </row>
    <row r="109" spans="1:20" x14ac:dyDescent="0.25">
      <c r="E109" s="117" t="s">
        <v>25</v>
      </c>
      <c r="F109" s="114"/>
      <c r="G109" s="118"/>
      <c r="H109" s="114"/>
      <c r="I109" s="114"/>
      <c r="J109" s="70"/>
      <c r="K109" s="396" t="s">
        <v>29</v>
      </c>
      <c r="L109" s="396"/>
      <c r="M109" s="396"/>
      <c r="N109" s="395" t="s">
        <v>1090</v>
      </c>
      <c r="O109" s="395"/>
      <c r="P109" s="395"/>
      <c r="Q109" s="395"/>
    </row>
    <row r="110" spans="1:20" x14ac:dyDescent="0.25">
      <c r="B110" s="183" t="s">
        <v>330</v>
      </c>
      <c r="C110" s="184" t="s">
        <v>316</v>
      </c>
      <c r="D110" s="185" t="s">
        <v>7</v>
      </c>
      <c r="E110" s="186" t="s">
        <v>20</v>
      </c>
      <c r="F110" s="187" t="s">
        <v>33</v>
      </c>
      <c r="G110" s="185" t="s">
        <v>26</v>
      </c>
      <c r="H110" s="188" t="s">
        <v>21</v>
      </c>
      <c r="I110" s="189" t="s">
        <v>22</v>
      </c>
      <c r="J110" s="189" t="s">
        <v>23</v>
      </c>
      <c r="K110" s="189" t="s">
        <v>27</v>
      </c>
      <c r="L110" s="185" t="s">
        <v>32</v>
      </c>
      <c r="M110" s="189" t="s">
        <v>28</v>
      </c>
      <c r="N110" s="190" t="s">
        <v>30</v>
      </c>
      <c r="O110" s="185" t="s">
        <v>34</v>
      </c>
      <c r="P110" s="185" t="s">
        <v>25</v>
      </c>
      <c r="Q110" s="191" t="s">
        <v>31</v>
      </c>
      <c r="R110" s="192" t="s">
        <v>24</v>
      </c>
      <c r="S110" s="233" t="s">
        <v>1262</v>
      </c>
      <c r="T110" s="271" t="s">
        <v>1263</v>
      </c>
    </row>
    <row r="111" spans="1:20" x14ac:dyDescent="0.25">
      <c r="A111" s="113">
        <v>1</v>
      </c>
      <c r="B111" s="130" t="str">
        <f>+'FUERTES MAR Y TIERRA'!B70</f>
        <v xml:space="preserve"> LOMO MAR Y TIERRA</v>
      </c>
      <c r="C111" s="130" t="s">
        <v>492</v>
      </c>
      <c r="D111" s="131">
        <f>+'FUERTES MAR Y TIERRA'!K74</f>
        <v>23967.388930991001</v>
      </c>
      <c r="E111" s="132">
        <f>+'FUERTES MAR Y TIERRA'!K75</f>
        <v>71000</v>
      </c>
      <c r="F111" s="132">
        <f t="shared" ref="F111:F116" si="35">+E111/1.08*0.08</f>
        <v>5259.2592592592582</v>
      </c>
      <c r="G111" s="131">
        <f>+Tabla5557279[[#This Row],[VENTA]]-Tabla5557279[[#This Row],[ICO 8%]]</f>
        <v>65740.740740740745</v>
      </c>
      <c r="H111" s="133">
        <f>+Tabla5557279[[#This Row],[COSTO]]/Tabla5557279[[#This Row],[BASE]]</f>
        <v>0.36457436683760958</v>
      </c>
      <c r="I111" s="134">
        <f>+Tabla5557279[[#This Row],[BASE]]/Tabla5557279[[#This Row],[COSTO]]</f>
        <v>2.7429246018424127</v>
      </c>
      <c r="J111" s="135" t="e">
        <f>+VLOOKUP(Tabla5557279[[#This Row],[FUERTES MAR Y TIERRA]],#REF!,2,0)</f>
        <v>#REF!</v>
      </c>
      <c r="K111" s="136">
        <f t="shared" ref="K111:K116" si="36">+D111/(100-67)*100</f>
        <v>72628.451306033327</v>
      </c>
      <c r="L111" s="131">
        <f t="shared" ref="L111:L116" si="37">+K111/1.08*0.08</f>
        <v>5379.8852819283948</v>
      </c>
      <c r="M111" s="137">
        <f>+Tabla5557279[[#This Row],[PRECIO SUGERIDO]]+Tabla5557279[[#This Row],[ICO2]]</f>
        <v>78008.336587961719</v>
      </c>
      <c r="N111" s="141">
        <v>78000</v>
      </c>
      <c r="O111" s="132">
        <f t="shared" ref="O111:O116" si="38">+N111/1.08*0.08</f>
        <v>5777.7777777777774</v>
      </c>
      <c r="P111" s="139">
        <f t="shared" ref="P111:P116" si="39">+N111-O111</f>
        <v>72222.222222222219</v>
      </c>
      <c r="Q111" s="133">
        <f t="shared" ref="Q111:Q116" si="40">+D111/P111</f>
        <v>0.33185615442910621</v>
      </c>
      <c r="R111" s="194">
        <f t="shared" ref="R111:R116" si="41">+P111/D111</f>
        <v>3.0133537879395518</v>
      </c>
      <c r="S111" s="244">
        <v>80000</v>
      </c>
      <c r="T111" s="133">
        <f>+Tabla5557279[[#This Row],[COSTO]]/Tabla5557279[[#This Row],[Incremento 13%]]</f>
        <v>0.29959236163738751</v>
      </c>
    </row>
    <row r="112" spans="1:20" x14ac:dyDescent="0.25">
      <c r="A112" s="113">
        <v>2</v>
      </c>
      <c r="B112" s="130" t="str">
        <f>+'FUERTES MAR Y TIERRA'!B51</f>
        <v xml:space="preserve"> FETUCCINI MAR Y TIERRA</v>
      </c>
      <c r="C112" s="130" t="s">
        <v>491</v>
      </c>
      <c r="D112" s="131">
        <f>+'FUERTES MAR Y TIERRA'!K55</f>
        <v>18952.803526739495</v>
      </c>
      <c r="E112" s="132">
        <f>+'FUERTES MAR Y TIERRA'!K56</f>
        <v>62000</v>
      </c>
      <c r="F112" s="132">
        <f t="shared" si="35"/>
        <v>4592.5925925925922</v>
      </c>
      <c r="G112" s="131">
        <f>+Tabla5557279[[#This Row],[VENTA]]-Tabla5557279[[#This Row],[ICO 8%]]</f>
        <v>57407.407407407409</v>
      </c>
      <c r="H112" s="133">
        <f>+Tabla5557279[[#This Row],[COSTO]]/Tabla5557279[[#This Row],[BASE]]</f>
        <v>0.33014560982062346</v>
      </c>
      <c r="I112" s="134">
        <f>+Tabla5557279[[#This Row],[BASE]]/Tabla5557279[[#This Row],[COSTO]]</f>
        <v>3.0289665234177292</v>
      </c>
      <c r="J112" s="135" t="e">
        <f>+VLOOKUP(Tabla5557279[[#This Row],[FUERTES MAR Y TIERRA]],#REF!,2,0)</f>
        <v>#REF!</v>
      </c>
      <c r="K112" s="136">
        <f t="shared" si="36"/>
        <v>57432.737959816652</v>
      </c>
      <c r="L112" s="131">
        <f t="shared" si="37"/>
        <v>4254.2768859123444</v>
      </c>
      <c r="M112" s="137">
        <f>+Tabla5557279[[#This Row],[PRECIO SUGERIDO]]+Tabla5557279[[#This Row],[ICO2]]</f>
        <v>61687.014845728998</v>
      </c>
      <c r="N112" s="141">
        <v>62000</v>
      </c>
      <c r="O112" s="132">
        <f t="shared" si="38"/>
        <v>4592.5925925925922</v>
      </c>
      <c r="P112" s="139">
        <f t="shared" si="39"/>
        <v>57407.407407407409</v>
      </c>
      <c r="Q112" s="133">
        <f t="shared" si="40"/>
        <v>0.33014560982062346</v>
      </c>
      <c r="R112" s="194">
        <f t="shared" si="41"/>
        <v>3.0289665234177292</v>
      </c>
      <c r="S112" s="244">
        <v>64000</v>
      </c>
      <c r="T112" s="133">
        <f>+Tabla5557279[[#This Row],[COSTO]]/Tabla5557279[[#This Row],[Incremento 13%]]</f>
        <v>0.2961375551053046</v>
      </c>
    </row>
    <row r="113" spans="1:20" x14ac:dyDescent="0.25">
      <c r="A113" s="113">
        <v>3</v>
      </c>
      <c r="B113" s="130" t="str">
        <f>+'FUERTES MAR Y TIERRA'!B6</f>
        <v>LOMO MALANGA</v>
      </c>
      <c r="C113" s="130" t="s">
        <v>489</v>
      </c>
      <c r="D113" s="131">
        <f>+'FUERTES MAR Y TIERRA'!K9</f>
        <v>25906.293429180994</v>
      </c>
      <c r="E113" s="132">
        <f>+'FUERTES MAR Y TIERRA'!K10</f>
        <v>76000</v>
      </c>
      <c r="F113" s="132">
        <f t="shared" si="35"/>
        <v>5629.6296296296296</v>
      </c>
      <c r="G113" s="131">
        <f>+Tabla5557279[[#This Row],[VENTA]]-Tabla5557279[[#This Row],[ICO 8%]]</f>
        <v>70370.370370370365</v>
      </c>
      <c r="H113" s="133">
        <f>+Tabla5557279[[#This Row],[COSTO]]/Tabla5557279[[#This Row],[BASE]]</f>
        <v>0.36814206451994047</v>
      </c>
      <c r="I113" s="134">
        <f>+Tabla5557279[[#This Row],[BASE]]/Tabla5557279[[#This Row],[COSTO]]</f>
        <v>2.7163426741358832</v>
      </c>
      <c r="J113" s="135" t="e">
        <f>+VLOOKUP(Tabla5557279[[#This Row],[FUERTES MAR Y TIERRA]],#REF!,2,0)</f>
        <v>#REF!</v>
      </c>
      <c r="K113" s="136">
        <f t="shared" si="36"/>
        <v>78503.919482366648</v>
      </c>
      <c r="L113" s="131">
        <f t="shared" si="37"/>
        <v>5815.1051468419737</v>
      </c>
      <c r="M113" s="137">
        <f>+Tabla5557279[[#This Row],[PRECIO SUGERIDO]]+Tabla5557279[[#This Row],[ICO2]]</f>
        <v>84319.024629208623</v>
      </c>
      <c r="N113" s="141">
        <v>98500</v>
      </c>
      <c r="O113" s="132">
        <f t="shared" si="38"/>
        <v>7296.2962962962956</v>
      </c>
      <c r="P113" s="139">
        <f t="shared" si="39"/>
        <v>91203.703703703708</v>
      </c>
      <c r="Q113" s="133">
        <f t="shared" si="40"/>
        <v>0.28404869952807588</v>
      </c>
      <c r="R113" s="194">
        <f t="shared" si="41"/>
        <v>3.520523071084007</v>
      </c>
      <c r="S113" s="244">
        <v>81000</v>
      </c>
      <c r="T113" s="133">
        <f>+Tabla5557279[[#This Row],[COSTO]]/Tabla5557279[[#This Row],[Incremento 13%]]</f>
        <v>0.31983078307630858</v>
      </c>
    </row>
    <row r="114" spans="1:20" x14ac:dyDescent="0.25">
      <c r="A114" s="113">
        <v>4</v>
      </c>
      <c r="B114" s="143" t="str">
        <f>+'FUERTES MAR Y TIERRA'!B30</f>
        <v>AREPA DE LA CASA</v>
      </c>
      <c r="C114" s="143" t="s">
        <v>490</v>
      </c>
      <c r="D114" s="144">
        <f>+'FUERTES MAR Y TIERRA'!K34</f>
        <v>15468.178136125001</v>
      </c>
      <c r="E114" s="145">
        <f>+'FUERTES MAR Y TIERRA'!K35</f>
        <v>49000</v>
      </c>
      <c r="F114" s="145">
        <f t="shared" si="35"/>
        <v>3629.6296296296291</v>
      </c>
      <c r="G114" s="144">
        <f>+Tabla5557279[[#This Row],[VENTA]]-Tabla5557279[[#This Row],[ICO 8%]]</f>
        <v>45370.370370370372</v>
      </c>
      <c r="H114" s="146">
        <f>+Tabla5557279[[#This Row],[COSTO]]/Tabla5557279[[#This Row],[BASE]]</f>
        <v>0.34093127320438776</v>
      </c>
      <c r="I114" s="147">
        <f>+Tabla5557279[[#This Row],[BASE]]/Tabla5557279[[#This Row],[COSTO]]</f>
        <v>2.933142479424296</v>
      </c>
      <c r="J114" s="148" t="e">
        <f>+VLOOKUP(Tabla5557279[[#This Row],[FUERTES MAR Y TIERRA]],#REF!,2,0)</f>
        <v>#REF!</v>
      </c>
      <c r="K114" s="149">
        <f t="shared" si="36"/>
        <v>46873.267079166668</v>
      </c>
      <c r="L114" s="144">
        <f t="shared" si="37"/>
        <v>3472.0938577160491</v>
      </c>
      <c r="M114" s="150">
        <f>+Tabla5557279[[#This Row],[PRECIO SUGERIDO]]+Tabla5557279[[#This Row],[ICO2]]</f>
        <v>50345.360936882716</v>
      </c>
      <c r="N114" s="195">
        <v>49000</v>
      </c>
      <c r="O114" s="145">
        <f t="shared" si="38"/>
        <v>3629.6296296296291</v>
      </c>
      <c r="P114" s="151">
        <f t="shared" si="39"/>
        <v>45370.370370370372</v>
      </c>
      <c r="Q114" s="146">
        <f t="shared" si="40"/>
        <v>0.34093127320438776</v>
      </c>
      <c r="R114" s="196">
        <f t="shared" si="41"/>
        <v>2.933142479424296</v>
      </c>
      <c r="S114" s="244">
        <v>52000</v>
      </c>
      <c r="T114" s="133">
        <f>+Tabla5557279[[#This Row],[COSTO]]/Tabla5557279[[#This Row],[Incremento 13%]]</f>
        <v>0.29746496415625001</v>
      </c>
    </row>
    <row r="115" spans="1:20" x14ac:dyDescent="0.25">
      <c r="A115" s="113">
        <v>5</v>
      </c>
      <c r="B115" s="143" t="str">
        <f>+'FUERTES MAR Y TIERRA'!B94</f>
        <v>BOWL DEL CARIBE CON CAMARONES</v>
      </c>
      <c r="C115" s="143"/>
      <c r="D115" s="144">
        <f>+'FUERTES MAR Y TIERRA'!K98</f>
        <v>15330.329602287</v>
      </c>
      <c r="E115" s="145">
        <f>+'FUERTES MAR Y TIERRA'!K99</f>
        <v>56000</v>
      </c>
      <c r="F115" s="145">
        <f t="shared" si="35"/>
        <v>4148.1481481481478</v>
      </c>
      <c r="G115" s="144">
        <f>+Tabla5557279[[#This Row],[VENTA]]-Tabla5557279[[#This Row],[ICO 8%]]</f>
        <v>51851.851851851854</v>
      </c>
      <c r="H115" s="146">
        <f>+Tabla5557279[[#This Row],[COSTO]]/Tabla5557279[[#This Row],[BASE]]</f>
        <v>0.29565635661553497</v>
      </c>
      <c r="I115" s="147">
        <f>+Tabla5557279[[#This Row],[BASE]]/Tabla5557279[[#This Row],[COSTO]]</f>
        <v>3.3823050904343583</v>
      </c>
      <c r="J115" s="148" t="e">
        <f>+VLOOKUP(Tabla5557279[[#This Row],[FUERTES MAR Y TIERRA]],#REF!,2,0)</f>
        <v>#REF!</v>
      </c>
      <c r="K115" s="149">
        <f t="shared" si="36"/>
        <v>46455.544249354549</v>
      </c>
      <c r="L115" s="144">
        <f t="shared" si="37"/>
        <v>3441.1514258781144</v>
      </c>
      <c r="M115" s="150">
        <f>+Tabla5557279[[#This Row],[PRECIO SUGERIDO]]+Tabla5557279[[#This Row],[ICO2]]</f>
        <v>49896.695675232666</v>
      </c>
      <c r="N115" s="195">
        <v>56000</v>
      </c>
      <c r="O115" s="145">
        <f t="shared" si="38"/>
        <v>4148.1481481481478</v>
      </c>
      <c r="P115" s="151">
        <f t="shared" si="39"/>
        <v>51851.851851851854</v>
      </c>
      <c r="Q115" s="146">
        <f t="shared" si="40"/>
        <v>0.29565635661553497</v>
      </c>
      <c r="R115" s="196">
        <f t="shared" si="41"/>
        <v>3.3823050904343583</v>
      </c>
      <c r="S115" s="244">
        <v>59000</v>
      </c>
      <c r="T115" s="133">
        <f>+Tabla5557279[[#This Row],[COSTO]]/Tabla5557279[[#This Row],[Incremento 13%]]</f>
        <v>0.25983609495401694</v>
      </c>
    </row>
    <row r="116" spans="1:20" ht="13.8" thickBot="1" x14ac:dyDescent="0.3">
      <c r="A116" s="113">
        <v>6</v>
      </c>
      <c r="B116" s="143" t="str">
        <f>+'FUERTES MAR Y TIERRA'!B115</f>
        <v>BOWL DEL CARIBE CON SOBRE BARRIGA</v>
      </c>
      <c r="C116" s="143"/>
      <c r="D116" s="144">
        <f>+'FUERTES MAR Y TIERRA'!K119</f>
        <v>11767.124910407998</v>
      </c>
      <c r="E116" s="145">
        <f>+'FUERTES MAR Y TIERRA'!K120</f>
        <v>52000</v>
      </c>
      <c r="F116" s="145">
        <f t="shared" si="35"/>
        <v>3851.8518518518517</v>
      </c>
      <c r="G116" s="144">
        <f>+Tabla5557279[[#This Row],[VENTA]]-Tabla5557279[[#This Row],[ICO 8%]]</f>
        <v>48148.148148148146</v>
      </c>
      <c r="H116" s="146">
        <f>+Tabla5557279[[#This Row],[COSTO]]/Tabla5557279[[#This Row],[BASE]]</f>
        <v>0.24439413275462765</v>
      </c>
      <c r="I116" s="147">
        <f>+Tabla5557279[[#This Row],[BASE]]/Tabla5557279[[#This Row],[COSTO]]</f>
        <v>4.0917512574002854</v>
      </c>
      <c r="J116" s="148" t="e">
        <f>+VLOOKUP(Tabla5557279[[#This Row],[FUERTES MAR Y TIERRA]],#REF!,2,0)</f>
        <v>#REF!</v>
      </c>
      <c r="K116" s="149">
        <f t="shared" si="36"/>
        <v>35657.954273963631</v>
      </c>
      <c r="L116" s="144">
        <f t="shared" si="37"/>
        <v>2641.3299462195282</v>
      </c>
      <c r="M116" s="150">
        <f>+Tabla5557279[[#This Row],[PRECIO SUGERIDO]]+Tabla5557279[[#This Row],[ICO2]]</f>
        <v>38299.284220183159</v>
      </c>
      <c r="N116" s="195">
        <v>52000</v>
      </c>
      <c r="O116" s="145">
        <f t="shared" si="38"/>
        <v>3851.8518518518517</v>
      </c>
      <c r="P116" s="151">
        <f t="shared" si="39"/>
        <v>48148.148148148146</v>
      </c>
      <c r="Q116" s="146">
        <f t="shared" si="40"/>
        <v>0.24439413275462765</v>
      </c>
      <c r="R116" s="196">
        <f t="shared" si="41"/>
        <v>4.0917512574002854</v>
      </c>
      <c r="S116" s="244">
        <v>56000</v>
      </c>
      <c r="T116" s="133">
        <f>+Tabla5557279[[#This Row],[COSTO]]/Tabla5557279[[#This Row],[Incremento 13%]]</f>
        <v>0.21012723054299998</v>
      </c>
    </row>
    <row r="117" spans="1:20" ht="13.8" thickBot="1" x14ac:dyDescent="0.3">
      <c r="B117" s="153" t="s">
        <v>35</v>
      </c>
      <c r="C117" s="181"/>
      <c r="D117" s="155"/>
      <c r="E117" s="156"/>
      <c r="F117" s="156"/>
      <c r="G117" s="155"/>
      <c r="H117" s="158">
        <f>SUBTOTAL(101,Tabla5557279[%])</f>
        <v>0.32397396729212063</v>
      </c>
      <c r="I117" s="156"/>
      <c r="J117" s="156" t="e">
        <f>SUBTOTAL(109,Tabla5557279[ROTACION])</f>
        <v>#REF!</v>
      </c>
      <c r="K117" s="159"/>
      <c r="L117" s="155"/>
      <c r="M117" s="156"/>
      <c r="N117" s="160"/>
      <c r="O117" s="156"/>
      <c r="P117" s="155"/>
      <c r="Q117" s="161"/>
      <c r="R117" s="162">
        <f>SUBTOTAL(109,Tabla5557279[RATION])</f>
        <v>19.970042209700228</v>
      </c>
      <c r="S117" s="232"/>
      <c r="T117" s="133"/>
    </row>
    <row r="120" spans="1:20" x14ac:dyDescent="0.25">
      <c r="E120" s="117" t="s">
        <v>25</v>
      </c>
      <c r="F120" s="114"/>
      <c r="G120" s="118"/>
      <c r="H120" s="114"/>
      <c r="I120" s="114"/>
      <c r="J120" s="70"/>
      <c r="K120" s="396" t="s">
        <v>29</v>
      </c>
      <c r="L120" s="396"/>
      <c r="M120" s="396"/>
      <c r="N120" s="395" t="s">
        <v>1090</v>
      </c>
      <c r="O120" s="395"/>
      <c r="P120" s="395"/>
      <c r="Q120" s="395"/>
    </row>
    <row r="121" spans="1:20" x14ac:dyDescent="0.25">
      <c r="B121" s="183" t="s">
        <v>495</v>
      </c>
      <c r="C121" s="184" t="s">
        <v>316</v>
      </c>
      <c r="D121" s="185" t="s">
        <v>7</v>
      </c>
      <c r="E121" s="186" t="s">
        <v>20</v>
      </c>
      <c r="F121" s="187" t="s">
        <v>33</v>
      </c>
      <c r="G121" s="185" t="s">
        <v>26</v>
      </c>
      <c r="H121" s="188" t="s">
        <v>21</v>
      </c>
      <c r="I121" s="189" t="s">
        <v>22</v>
      </c>
      <c r="J121" s="189" t="s">
        <v>23</v>
      </c>
      <c r="K121" s="189" t="s">
        <v>27</v>
      </c>
      <c r="L121" s="185" t="s">
        <v>32</v>
      </c>
      <c r="M121" s="189" t="s">
        <v>28</v>
      </c>
      <c r="N121" s="190" t="s">
        <v>30</v>
      </c>
      <c r="O121" s="185" t="s">
        <v>34</v>
      </c>
      <c r="P121" s="185" t="s">
        <v>25</v>
      </c>
      <c r="Q121" s="191" t="s">
        <v>31</v>
      </c>
      <c r="R121" s="192" t="s">
        <v>24</v>
      </c>
      <c r="S121" s="233" t="s">
        <v>1262</v>
      </c>
      <c r="T121" s="271" t="s">
        <v>1263</v>
      </c>
    </row>
    <row r="122" spans="1:20" x14ac:dyDescent="0.25">
      <c r="B122" s="130" t="str">
        <f>+'MENU INFANTIL'!B6</f>
        <v>MENU INFANTIL DE POLLO</v>
      </c>
      <c r="C122" s="130" t="s">
        <v>496</v>
      </c>
      <c r="D122" s="131">
        <f>+'MENU INFANTIL'!K9</f>
        <v>7820.245898277999</v>
      </c>
      <c r="E122" s="132">
        <f>+'MENU INFANTIL'!K10</f>
        <v>34000</v>
      </c>
      <c r="F122" s="132">
        <f>+E122/1.08*0.08</f>
        <v>2518.5185185185182</v>
      </c>
      <c r="G122" s="131">
        <f>+Tabla5557279288[[#This Row],[VENTA]]-Tabla5557279288[[#This Row],[ICO 8%]]</f>
        <v>31481.481481481482</v>
      </c>
      <c r="H122" s="133">
        <f>+Tabla5557279288[[#This Row],[COSTO]]/Tabla5557279288[[#This Row],[BASE]]</f>
        <v>0.24840781088647762</v>
      </c>
      <c r="I122" s="134">
        <f>+Tabla5557279288[[#This Row],[BASE]]/Tabla5557279288[[#This Row],[COSTO]]</f>
        <v>4.0256383099684419</v>
      </c>
      <c r="J122" s="135" t="e">
        <f>+VLOOKUP(Tabla5557279288[[#This Row],[MENU INFANTIL]],#REF!,2,0)</f>
        <v>#REF!</v>
      </c>
      <c r="K122" s="136">
        <f>+D122/(100-67)*100</f>
        <v>23697.714843266665</v>
      </c>
      <c r="L122" s="131">
        <f>+K122/1.08*0.08</f>
        <v>1755.3862846864195</v>
      </c>
      <c r="M122" s="137">
        <f>+Tabla5557279288[[#This Row],[PRECIO SUGERIDO]]+Tabla5557279288[[#This Row],[ICO2]]</f>
        <v>25453.101127953087</v>
      </c>
      <c r="N122" s="141">
        <v>34000</v>
      </c>
      <c r="O122" s="132">
        <f>+N122/1.08*0.08</f>
        <v>2518.5185185185182</v>
      </c>
      <c r="P122" s="139">
        <f>+N122-O122</f>
        <v>31481.481481481482</v>
      </c>
      <c r="Q122" s="133">
        <f>+D122/P122</f>
        <v>0.24840781088647762</v>
      </c>
      <c r="R122" s="194">
        <f>+P122/D122</f>
        <v>4.0256383099684419</v>
      </c>
      <c r="S122" s="244">
        <v>35000</v>
      </c>
      <c r="T122" s="133">
        <f>+Tabla5557279288[[#This Row],[COSTO]]/Tabla5557279288[[#This Row],[Incremento 13%]]</f>
        <v>0.22343559709365712</v>
      </c>
    </row>
    <row r="123" spans="1:20" x14ac:dyDescent="0.25">
      <c r="B123" s="130" t="str">
        <f>+'MENU INFANTIL'!B29</f>
        <v>MENU INFANTIL DE SOLOMITO</v>
      </c>
      <c r="C123" s="130" t="s">
        <v>496</v>
      </c>
      <c r="D123" s="131">
        <f>+'MENU INFANTIL'!K32</f>
        <v>9645.7843068784987</v>
      </c>
      <c r="E123" s="132">
        <f>+'MENU INFANTIL'!K33</f>
        <v>34000</v>
      </c>
      <c r="F123" s="132">
        <f>+E123/1.08*0.08</f>
        <v>2518.5185185185182</v>
      </c>
      <c r="G123" s="131">
        <f>+Tabla5557279288[[#This Row],[VENTA]]-Tabla5557279288[[#This Row],[ICO 8%]]</f>
        <v>31481.481481481482</v>
      </c>
      <c r="H123" s="133">
        <f>+Tabla5557279288[[#This Row],[COSTO]]/Tabla5557279288[[#This Row],[BASE]]</f>
        <v>0.30639550151261113</v>
      </c>
      <c r="I123" s="134">
        <f>+Tabla5557279288[[#This Row],[BASE]]/Tabla5557279288[[#This Row],[COSTO]]</f>
        <v>3.2637554894350833</v>
      </c>
      <c r="J123" s="135" t="e">
        <f>+VLOOKUP(Tabla5557279288[[#This Row],[MENU INFANTIL]],#REF!,2,0)</f>
        <v>#REF!</v>
      </c>
      <c r="K123" s="136">
        <f>+D123/(100-67)*100</f>
        <v>29229.649414783329</v>
      </c>
      <c r="L123" s="131">
        <f>+K123/1.08*0.08</f>
        <v>2165.1592159098764</v>
      </c>
      <c r="M123" s="137">
        <f>+Tabla5557279288[[#This Row],[PRECIO SUGERIDO]]+Tabla5557279288[[#This Row],[ICO2]]</f>
        <v>31394.808630693205</v>
      </c>
      <c r="N123" s="141">
        <v>34000</v>
      </c>
      <c r="O123" s="132">
        <f>+N123/1.08*0.08</f>
        <v>2518.5185185185182</v>
      </c>
      <c r="P123" s="139">
        <f>+N123-O123</f>
        <v>31481.481481481482</v>
      </c>
      <c r="Q123" s="133">
        <f>+D123/P123</f>
        <v>0.30639550151261113</v>
      </c>
      <c r="R123" s="194">
        <f>+P123/D123</f>
        <v>3.2637554894350833</v>
      </c>
      <c r="S123" s="244">
        <v>35000</v>
      </c>
      <c r="T123" s="133">
        <f>+Tabla5557279288[[#This Row],[COSTO]]/Tabla5557279288[[#This Row],[Incremento 13%]]</f>
        <v>0.27559383733938569</v>
      </c>
    </row>
    <row r="124" spans="1:20" ht="13.8" thickBot="1" x14ac:dyDescent="0.3">
      <c r="B124" s="143" t="str">
        <f>+'MENU INFANTIL'!B17</f>
        <v>MENU INFANTIL DE PESCADO</v>
      </c>
      <c r="C124" s="143" t="s">
        <v>496</v>
      </c>
      <c r="D124" s="144">
        <f>+'MENU INFANTIL'!K20</f>
        <v>8825.1979565199999</v>
      </c>
      <c r="E124" s="145">
        <f>+'MENU INFANTIL'!K21</f>
        <v>34000</v>
      </c>
      <c r="F124" s="145">
        <f>+E124/1.08*0.08</f>
        <v>2518.5185185185182</v>
      </c>
      <c r="G124" s="144">
        <f>+Tabla5557279288[[#This Row],[VENTA]]-Tabla5557279288[[#This Row],[ICO 8%]]</f>
        <v>31481.481481481482</v>
      </c>
      <c r="H124" s="146">
        <f>+Tabla5557279288[[#This Row],[COSTO]]/Tabla5557279288[[#This Row],[BASE]]</f>
        <v>0.28032981744239999</v>
      </c>
      <c r="I124" s="147">
        <f>+Tabla5557279288[[#This Row],[BASE]]/Tabla5557279288[[#This Row],[COSTO]]</f>
        <v>3.5672266658022287</v>
      </c>
      <c r="J124" s="135" t="e">
        <f>+VLOOKUP(Tabla5557279288[[#This Row],[MENU INFANTIL]],#REF!,2,0)</f>
        <v>#REF!</v>
      </c>
      <c r="K124" s="149">
        <f>+D124/(100-67)*100</f>
        <v>26743.024110666665</v>
      </c>
      <c r="L124" s="144">
        <f>+K124/1.08*0.08</f>
        <v>1980.9647489382714</v>
      </c>
      <c r="M124" s="150">
        <f>+Tabla5557279288[[#This Row],[PRECIO SUGERIDO]]+Tabla5557279288[[#This Row],[ICO2]]</f>
        <v>28723.988859604935</v>
      </c>
      <c r="N124" s="141">
        <v>34000</v>
      </c>
      <c r="O124" s="145">
        <f>+N124/1.08*0.08</f>
        <v>2518.5185185185182</v>
      </c>
      <c r="P124" s="151">
        <f>+N124-O124</f>
        <v>31481.481481481482</v>
      </c>
      <c r="Q124" s="146">
        <f>+D124/P124</f>
        <v>0.28032981744239999</v>
      </c>
      <c r="R124" s="196">
        <f>+P124/D124</f>
        <v>3.5672266658022287</v>
      </c>
      <c r="S124" s="244">
        <v>35000</v>
      </c>
      <c r="T124" s="133">
        <f>+Tabla5557279288[[#This Row],[COSTO]]/Tabla5557279288[[#This Row],[Incremento 13%]]</f>
        <v>0.25214851304342856</v>
      </c>
    </row>
    <row r="125" spans="1:20" ht="13.8" thickBot="1" x14ac:dyDescent="0.3">
      <c r="B125" s="153" t="s">
        <v>35</v>
      </c>
      <c r="C125" s="181"/>
      <c r="D125" s="155"/>
      <c r="E125" s="156"/>
      <c r="F125" s="156"/>
      <c r="G125" s="155"/>
      <c r="H125" s="158">
        <f>SUBTOTAL(101,Tabla5557279288[%])</f>
        <v>0.27837770994716293</v>
      </c>
      <c r="I125" s="156"/>
      <c r="J125" s="156" t="e">
        <f>SUBTOTAL(109,Tabla5557279288[ROTACION])</f>
        <v>#REF!</v>
      </c>
      <c r="K125" s="159"/>
      <c r="L125" s="155"/>
      <c r="M125" s="156"/>
      <c r="N125" s="160"/>
      <c r="O125" s="156"/>
      <c r="P125" s="155"/>
      <c r="Q125" s="161"/>
      <c r="R125" s="162">
        <f>SUBTOTAL(109,Tabla5557279288[RATION])</f>
        <v>10.856620465205754</v>
      </c>
      <c r="S125" s="232"/>
      <c r="T125" s="275"/>
    </row>
    <row r="129" spans="2:20" x14ac:dyDescent="0.25">
      <c r="E129" s="117" t="s">
        <v>25</v>
      </c>
      <c r="F129" s="114"/>
      <c r="G129" s="118"/>
      <c r="H129" s="114"/>
      <c r="I129" s="114"/>
      <c r="J129" s="70"/>
      <c r="K129" s="396" t="s">
        <v>29</v>
      </c>
      <c r="L129" s="396"/>
      <c r="M129" s="396"/>
      <c r="N129" s="395" t="s">
        <v>1090</v>
      </c>
      <c r="O129" s="395"/>
      <c r="P129" s="395"/>
      <c r="Q129" s="395"/>
    </row>
    <row r="130" spans="2:20" x14ac:dyDescent="0.25">
      <c r="B130" s="183" t="s">
        <v>331</v>
      </c>
      <c r="C130" s="184" t="s">
        <v>316</v>
      </c>
      <c r="D130" s="185" t="s">
        <v>7</v>
      </c>
      <c r="E130" s="186" t="s">
        <v>20</v>
      </c>
      <c r="F130" s="187" t="s">
        <v>33</v>
      </c>
      <c r="G130" s="185" t="s">
        <v>26</v>
      </c>
      <c r="H130" s="188" t="s">
        <v>21</v>
      </c>
      <c r="I130" s="189" t="s">
        <v>22</v>
      </c>
      <c r="J130" s="189" t="s">
        <v>23</v>
      </c>
      <c r="K130" s="189" t="s">
        <v>27</v>
      </c>
      <c r="L130" s="185" t="s">
        <v>32</v>
      </c>
      <c r="M130" s="189" t="s">
        <v>28</v>
      </c>
      <c r="N130" s="190" t="s">
        <v>30</v>
      </c>
      <c r="O130" s="185" t="s">
        <v>34</v>
      </c>
      <c r="P130" s="185" t="s">
        <v>25</v>
      </c>
      <c r="Q130" s="191" t="s">
        <v>31</v>
      </c>
      <c r="R130" s="192" t="s">
        <v>24</v>
      </c>
      <c r="S130" s="233" t="s">
        <v>1262</v>
      </c>
      <c r="T130" s="271" t="s">
        <v>1263</v>
      </c>
    </row>
    <row r="131" spans="2:20" x14ac:dyDescent="0.25">
      <c r="B131" s="130" t="str">
        <f>+POSTRES!B44</f>
        <v>COCO AREBATADO</v>
      </c>
      <c r="C131" s="130" t="s">
        <v>500</v>
      </c>
      <c r="D131" s="131">
        <f>+POSTRES!K47</f>
        <v>5639.5436937399991</v>
      </c>
      <c r="E131" s="132">
        <f>+POSTRES!K48</f>
        <v>26000</v>
      </c>
      <c r="F131" s="132">
        <f t="shared" ref="F131:F136" si="42">+E131/1.08*0.08</f>
        <v>1925.9259259259259</v>
      </c>
      <c r="G131" s="131">
        <f>+Tabla555727953[[#This Row],[VENTA]]-Tabla555727953[[#This Row],[ICO 8%]]</f>
        <v>24074.074074074073</v>
      </c>
      <c r="H131" s="133">
        <f>+Tabla555727953[[#This Row],[COSTO]]/Tabla555727953[[#This Row],[BASE]]</f>
        <v>0.23425796881689229</v>
      </c>
      <c r="I131" s="134">
        <f>+Tabla555727953[[#This Row],[BASE]]/Tabla555727953[[#This Row],[COSTO]]</f>
        <v>4.2687982186921882</v>
      </c>
      <c r="J131" s="135" t="e">
        <f>+VLOOKUP(Tabla555727953[[#This Row],[POSTRES]],#REF!,2,0)</f>
        <v>#REF!</v>
      </c>
      <c r="K131" s="136">
        <f t="shared" ref="K131:K136" si="43">+D131/(100-67)*100</f>
        <v>17089.526344666665</v>
      </c>
      <c r="L131" s="131">
        <f t="shared" ref="L131:L136" si="44">+K131/1.08*0.08</f>
        <v>1265.8908403456787</v>
      </c>
      <c r="M131" s="137">
        <f>+Tabla555727953[[#This Row],[PRECIO SUGERIDO]]+Tabla555727953[[#This Row],[ICO2]]</f>
        <v>18355.417185012342</v>
      </c>
      <c r="N131" s="141">
        <v>26000</v>
      </c>
      <c r="O131" s="132">
        <f t="shared" ref="O131:O136" si="45">+N131/1.08*0.08</f>
        <v>1925.9259259259259</v>
      </c>
      <c r="P131" s="139">
        <f t="shared" ref="P131:P136" si="46">+N131-O131</f>
        <v>24074.074074074073</v>
      </c>
      <c r="Q131" s="133">
        <f t="shared" ref="Q131:Q148" si="47">+D131/P131</f>
        <v>0.23425796881689229</v>
      </c>
      <c r="R131" s="194">
        <f t="shared" ref="R131:R136" si="48">+P131/D131</f>
        <v>4.2687982186921882</v>
      </c>
      <c r="S131" s="244">
        <v>29000</v>
      </c>
      <c r="T131" s="133">
        <f>+Tabla555727953[[#This Row],[COSTO]]/Tabla555727953[[#This Row],[Incremento 13%]]</f>
        <v>0.19446702392206894</v>
      </c>
    </row>
    <row r="132" spans="2:20" x14ac:dyDescent="0.25">
      <c r="B132" s="130" t="str">
        <f>+POSTRES!B19</f>
        <v>MILOJA DE MALANGA</v>
      </c>
      <c r="C132" s="130" t="s">
        <v>499</v>
      </c>
      <c r="D132" s="131">
        <f>+POSTRES!K22</f>
        <v>2953.2841532920002</v>
      </c>
      <c r="E132" s="132">
        <f>+POSTRES!K23</f>
        <v>26000</v>
      </c>
      <c r="F132" s="132">
        <f t="shared" si="42"/>
        <v>1925.9259259259259</v>
      </c>
      <c r="G132" s="131">
        <f>+Tabla555727953[[#This Row],[VENTA]]-Tabla555727953[[#This Row],[ICO 8%]]</f>
        <v>24074.074074074073</v>
      </c>
      <c r="H132" s="133">
        <f>+Tabla555727953[[#This Row],[COSTO]]/Tabla555727953[[#This Row],[BASE]]</f>
        <v>0.12267488021366771</v>
      </c>
      <c r="I132" s="134">
        <f>+Tabla555727953[[#This Row],[BASE]]/Tabla555727953[[#This Row],[COSTO]]</f>
        <v>8.1516280941808166</v>
      </c>
      <c r="J132" s="135" t="e">
        <f>+VLOOKUP(Tabla555727953[[#This Row],[POSTRES]],#REF!,2,0)</f>
        <v>#REF!</v>
      </c>
      <c r="K132" s="136">
        <f t="shared" si="43"/>
        <v>8949.3459190666672</v>
      </c>
      <c r="L132" s="131">
        <f t="shared" si="44"/>
        <v>662.91451252345678</v>
      </c>
      <c r="M132" s="137">
        <f>+Tabla555727953[[#This Row],[PRECIO SUGERIDO]]+Tabla555727953[[#This Row],[ICO2]]</f>
        <v>9612.2604315901244</v>
      </c>
      <c r="N132" s="141">
        <v>26000</v>
      </c>
      <c r="O132" s="132">
        <f t="shared" si="45"/>
        <v>1925.9259259259259</v>
      </c>
      <c r="P132" s="139">
        <f t="shared" si="46"/>
        <v>24074.074074074073</v>
      </c>
      <c r="Q132" s="133">
        <f t="shared" si="47"/>
        <v>0.12267488021366771</v>
      </c>
      <c r="R132" s="194">
        <f t="shared" si="48"/>
        <v>8.1516280941808166</v>
      </c>
      <c r="S132" s="244">
        <v>29000</v>
      </c>
      <c r="T132" s="133">
        <f>+Tabla555727953[[#This Row],[COSTO]]/Tabla555727953[[#This Row],[Incremento 13%]]</f>
        <v>0.10183738459627587</v>
      </c>
    </row>
    <row r="133" spans="2:20" x14ac:dyDescent="0.25">
      <c r="B133" s="130" t="str">
        <f>+POSTRES!B31</f>
        <v>TRILOGIA DE BROWNIE PELENQUE</v>
      </c>
      <c r="C133" s="130" t="s">
        <v>498</v>
      </c>
      <c r="D133" s="131">
        <f>+POSTRES!K34</f>
        <v>6767.3365919609996</v>
      </c>
      <c r="E133" s="132">
        <f>+POSTRES!K35</f>
        <v>29000</v>
      </c>
      <c r="F133" s="132">
        <f t="shared" si="42"/>
        <v>2148.1481481481483</v>
      </c>
      <c r="G133" s="131">
        <f>+Tabla555727953[[#This Row],[VENTA]]-Tabla555727953[[#This Row],[ICO 8%]]</f>
        <v>26851.85185185185</v>
      </c>
      <c r="H133" s="133">
        <f>+Tabla555727953[[#This Row],[COSTO]]/Tabla555727953[[#This Row],[BASE]]</f>
        <v>0.25202494894199584</v>
      </c>
      <c r="I133" s="134">
        <f>+Tabla555727953[[#This Row],[BASE]]/Tabla555727953[[#This Row],[COSTO]]</f>
        <v>3.9678611351694086</v>
      </c>
      <c r="J133" s="135" t="e">
        <f>+VLOOKUP(Tabla555727953[[#This Row],[POSTRES]],#REF!,2,0)</f>
        <v>#REF!</v>
      </c>
      <c r="K133" s="136">
        <f t="shared" si="43"/>
        <v>20507.080581699996</v>
      </c>
      <c r="L133" s="131">
        <f t="shared" si="44"/>
        <v>1519.0430060518515</v>
      </c>
      <c r="M133" s="137">
        <f>+Tabla555727953[[#This Row],[PRECIO SUGERIDO]]+Tabla555727953[[#This Row],[ICO2]]</f>
        <v>22026.123587751848</v>
      </c>
      <c r="N133" s="141">
        <v>29000</v>
      </c>
      <c r="O133" s="132">
        <f t="shared" si="45"/>
        <v>2148.1481481481483</v>
      </c>
      <c r="P133" s="139">
        <f t="shared" si="46"/>
        <v>26851.85185185185</v>
      </c>
      <c r="Q133" s="133">
        <f t="shared" si="47"/>
        <v>0.25202494894199584</v>
      </c>
      <c r="R133" s="194">
        <f t="shared" si="48"/>
        <v>3.9678611351694086</v>
      </c>
      <c r="S133" s="244">
        <v>31000</v>
      </c>
      <c r="T133" s="133">
        <f>+Tabla555727953[[#This Row],[COSTO]]/Tabla555727953[[#This Row],[Incremento 13%]]</f>
        <v>0.21830118038583871</v>
      </c>
    </row>
    <row r="134" spans="2:20" x14ac:dyDescent="0.25">
      <c r="B134" s="130" t="str">
        <f>+POSTRES!B57</f>
        <v>MILHOJA DE BUÃ‘UELO</v>
      </c>
      <c r="C134" s="130" t="s">
        <v>544</v>
      </c>
      <c r="D134" s="131">
        <f>+POSTRES!K60</f>
        <v>3687.2491706599999</v>
      </c>
      <c r="E134" s="132">
        <f>+POSTRES!K61</f>
        <v>26000</v>
      </c>
      <c r="F134" s="132">
        <f t="shared" si="42"/>
        <v>1925.9259259259259</v>
      </c>
      <c r="G134" s="131">
        <f>+Tabla555727953[[#This Row],[VENTA]]-Tabla555727953[[#This Row],[ICO 8%]]</f>
        <v>24074.074074074073</v>
      </c>
      <c r="H134" s="133">
        <f>+Tabla555727953[[#This Row],[COSTO]]/Tabla555727953[[#This Row],[BASE]]</f>
        <v>0.15316265785818461</v>
      </c>
      <c r="I134" s="134">
        <f>+Tabla555727953[[#This Row],[BASE]]/Tabla555727953[[#This Row],[COSTO]]</f>
        <v>6.5290065736905243</v>
      </c>
      <c r="J134" s="135" t="e">
        <f>+VLOOKUP(Tabla555727953[[#This Row],[POSTRES]],#REF!,2,0)</f>
        <v>#REF!</v>
      </c>
      <c r="K134" s="136">
        <f t="shared" si="43"/>
        <v>11173.482335333332</v>
      </c>
      <c r="L134" s="131">
        <f t="shared" si="44"/>
        <v>827.66535817283932</v>
      </c>
      <c r="M134" s="137">
        <f>+Tabla555727953[[#This Row],[PRECIO SUGERIDO]]+Tabla555727953[[#This Row],[ICO2]]</f>
        <v>12001.147693506171</v>
      </c>
      <c r="N134" s="141">
        <v>26000</v>
      </c>
      <c r="O134" s="132">
        <f t="shared" si="45"/>
        <v>1925.9259259259259</v>
      </c>
      <c r="P134" s="139">
        <f t="shared" si="46"/>
        <v>24074.074074074073</v>
      </c>
      <c r="Q134" s="133">
        <f t="shared" si="47"/>
        <v>0.15316265785818461</v>
      </c>
      <c r="R134" s="194">
        <f t="shared" si="48"/>
        <v>6.5290065736905243</v>
      </c>
      <c r="S134" s="244">
        <v>29000</v>
      </c>
      <c r="T134" s="133">
        <f>+Tabla555727953[[#This Row],[COSTO]]/Tabla555727953[[#This Row],[Incremento 13%]]</f>
        <v>0.12714652312620689</v>
      </c>
    </row>
    <row r="135" spans="2:20" x14ac:dyDescent="0.25">
      <c r="B135" s="130" t="str">
        <f>+POSTRES!B7</f>
        <v>SPRING ROLLS MALANGA</v>
      </c>
      <c r="C135" s="200" t="s">
        <v>543</v>
      </c>
      <c r="D135" s="131">
        <f>+POSTRES!K10</f>
        <v>10290.181131560001</v>
      </c>
      <c r="E135" s="132">
        <f>+POSTRES!K11</f>
        <v>32000</v>
      </c>
      <c r="F135" s="132">
        <f t="shared" si="42"/>
        <v>2370.3703703703704</v>
      </c>
      <c r="G135" s="131">
        <f>+Tabla555727953[[#This Row],[VENTA]]-Tabla555727953[[#This Row],[ICO 8%]]</f>
        <v>29629.629629629628</v>
      </c>
      <c r="H135" s="133">
        <f>+Tabla555727953[[#This Row],[COSTO]]/Tabla555727953[[#This Row],[BASE]]</f>
        <v>0.34729361319015006</v>
      </c>
      <c r="I135" s="134">
        <f>+Tabla555727953[[#This Row],[BASE]]/Tabla555727953[[#This Row],[COSTO]]</f>
        <v>2.8794079764792002</v>
      </c>
      <c r="J135" s="135" t="e">
        <f>+VLOOKUP(Tabla555727953[[#This Row],[POSTRES]],#REF!,2,0)</f>
        <v>#REF!</v>
      </c>
      <c r="K135" s="136">
        <f t="shared" si="43"/>
        <v>31182.367065333336</v>
      </c>
      <c r="L135" s="131">
        <f t="shared" si="44"/>
        <v>2309.804967802469</v>
      </c>
      <c r="M135" s="137">
        <f>+Tabla555727953[[#This Row],[PRECIO SUGERIDO]]+Tabla555727953[[#This Row],[ICO2]]</f>
        <v>33492.172033135808</v>
      </c>
      <c r="N135" s="141">
        <v>32000</v>
      </c>
      <c r="O135" s="132">
        <f t="shared" si="45"/>
        <v>2370.3703703703704</v>
      </c>
      <c r="P135" s="139">
        <f t="shared" si="46"/>
        <v>29629.629629629628</v>
      </c>
      <c r="Q135" s="133">
        <f t="shared" si="47"/>
        <v>0.34729361319015006</v>
      </c>
      <c r="R135" s="194">
        <f t="shared" si="48"/>
        <v>2.8794079764792002</v>
      </c>
      <c r="S135" s="244">
        <v>34000</v>
      </c>
      <c r="T135" s="133">
        <f>+Tabla555727953[[#This Row],[COSTO]]/Tabla555727953[[#This Row],[Incremento 13%]]</f>
        <v>0.30265238622235296</v>
      </c>
    </row>
    <row r="136" spans="2:20" ht="13.8" thickBot="1" x14ac:dyDescent="0.3">
      <c r="B136" s="130" t="str">
        <f>+POSTRES!B70</f>
        <v>CHEESECAKE DE COROZO COSTEÃ‘O</v>
      </c>
      <c r="C136" s="130" t="s">
        <v>497</v>
      </c>
      <c r="D136" s="131">
        <f>+POSTRES!K73</f>
        <v>5916.5760291645001</v>
      </c>
      <c r="E136" s="132">
        <f>+POSTRES!K74</f>
        <v>24000</v>
      </c>
      <c r="F136" s="132">
        <f t="shared" si="42"/>
        <v>1777.7777777777776</v>
      </c>
      <c r="G136" s="131">
        <f>+Tabla555727953[[#This Row],[VENTA]]-Tabla555727953[[#This Row],[ICO 8%]]</f>
        <v>22222.222222222223</v>
      </c>
      <c r="H136" s="133">
        <f>+Tabla555727953[[#This Row],[COSTO]]/Tabla555727953[[#This Row],[BASE]]</f>
        <v>0.26624592131240249</v>
      </c>
      <c r="I136" s="134">
        <f>+Tabla555727953[[#This Row],[BASE]]/Tabla555727953[[#This Row],[COSTO]]</f>
        <v>3.75592608168686</v>
      </c>
      <c r="J136" s="135" t="e">
        <f>+VLOOKUP(Tabla555727953[[#This Row],[POSTRES]],#REF!,2,0)</f>
        <v>#REF!</v>
      </c>
      <c r="K136" s="136">
        <f t="shared" si="43"/>
        <v>17929.018270195455</v>
      </c>
      <c r="L136" s="131">
        <f t="shared" si="44"/>
        <v>1328.0754274218855</v>
      </c>
      <c r="M136" s="137">
        <f>+Tabla555727953[[#This Row],[PRECIO SUGERIDO]]+Tabla555727953[[#This Row],[ICO2]]</f>
        <v>19257.09369761734</v>
      </c>
      <c r="N136" s="141">
        <v>24000</v>
      </c>
      <c r="O136" s="132">
        <f t="shared" si="45"/>
        <v>1777.7777777777776</v>
      </c>
      <c r="P136" s="139">
        <f t="shared" si="46"/>
        <v>22222.222222222223</v>
      </c>
      <c r="Q136" s="133">
        <f t="shared" si="47"/>
        <v>0.26624592131240249</v>
      </c>
      <c r="R136" s="194">
        <f t="shared" si="48"/>
        <v>3.75592608168686</v>
      </c>
      <c r="S136" s="244">
        <v>26000</v>
      </c>
      <c r="T136" s="133">
        <f>+Tabla555727953[[#This Row],[COSTO]]/Tabla555727953[[#This Row],[Incremento 13%]]</f>
        <v>0.22756061650632692</v>
      </c>
    </row>
    <row r="137" spans="2:20" hidden="1" x14ac:dyDescent="0.25">
      <c r="B137" s="130" t="str">
        <f>+POSTRES!B82</f>
        <v>TORTA CUATRO LECHES  12 A 20  PERSONAS</v>
      </c>
      <c r="C137" s="130"/>
      <c r="D137" s="131">
        <f>+POSTRES!K85</f>
        <v>126597.58266281175</v>
      </c>
      <c r="E137" s="132"/>
      <c r="F137" s="132">
        <f t="shared" ref="F137:F148" si="49">+E137/1.08*0.08</f>
        <v>0</v>
      </c>
      <c r="G137" s="131">
        <f>+Tabla555727953[[#This Row],[VENTA]]-Tabla555727953[[#This Row],[ICO 8%]]</f>
        <v>0</v>
      </c>
      <c r="H137" s="133" t="e">
        <f>+Tabla555727953[[#This Row],[COSTO]]/Tabla555727953[[#This Row],[BASE]]</f>
        <v>#DIV/0!</v>
      </c>
      <c r="I137" s="134">
        <f>+Tabla555727953[[#This Row],[BASE]]/Tabla555727953[[#This Row],[COSTO]]</f>
        <v>0</v>
      </c>
      <c r="J137" s="135" t="e">
        <f>+VLOOKUP(Tabla555727953[[#This Row],[POSTRES]],#REF!,2,0)</f>
        <v>#REF!</v>
      </c>
      <c r="K137" s="136">
        <f t="shared" ref="K137:K148" si="50">+D137/(100-67)*100</f>
        <v>383629.03837215679</v>
      </c>
      <c r="L137" s="131">
        <f t="shared" ref="L137:L148" si="51">+K137/1.08*0.08</f>
        <v>28416.965805344946</v>
      </c>
      <c r="M137" s="137">
        <f>+Tabla555727953[[#This Row],[PRECIO SUGERIDO]]+Tabla555727953[[#This Row],[ICO2]]</f>
        <v>412046.00417750172</v>
      </c>
      <c r="N137" s="141"/>
      <c r="O137" s="132">
        <f t="shared" ref="O137:O148" si="52">+N137/1.08*0.08</f>
        <v>0</v>
      </c>
      <c r="P137" s="139">
        <f t="shared" ref="P137:P148" si="53">+N137-O137</f>
        <v>0</v>
      </c>
      <c r="Q137" s="133" t="e">
        <f t="shared" si="47"/>
        <v>#DIV/0!</v>
      </c>
      <c r="R137" s="194">
        <f t="shared" ref="R137:R148" si="54">+P137/D137</f>
        <v>0</v>
      </c>
      <c r="S137" s="70">
        <f>+Tabla555727953[[#This Row],[VENTA]]*13%+Tabla555727953[[#This Row],[VENTA]]</f>
        <v>0</v>
      </c>
      <c r="T137" s="133" t="e">
        <f>+Tabla555727953[[#This Row],[COSTO]]/Tabla555727953[[#This Row],[Incremento 13%]]</f>
        <v>#DIV/0!</v>
      </c>
    </row>
    <row r="138" spans="2:20" hidden="1" x14ac:dyDescent="0.25">
      <c r="B138" s="130" t="str">
        <f>+POSTRES!B106</f>
        <v>TORTA CUATRO LECHES  2   PERSONAS</v>
      </c>
      <c r="C138" s="130"/>
      <c r="D138" s="131" t="e">
        <f>+POSTRES!K109</f>
        <v>#N/A</v>
      </c>
      <c r="E138" s="132"/>
      <c r="F138" s="132">
        <f t="shared" si="49"/>
        <v>0</v>
      </c>
      <c r="G138" s="131">
        <f>+Tabla555727953[[#This Row],[VENTA]]-Tabla555727953[[#This Row],[ICO 8%]]</f>
        <v>0</v>
      </c>
      <c r="H138" s="133" t="e">
        <f>+Tabla555727953[[#This Row],[COSTO]]/Tabla555727953[[#This Row],[BASE]]</f>
        <v>#N/A</v>
      </c>
      <c r="I138" s="134" t="e">
        <f>+Tabla555727953[[#This Row],[BASE]]/Tabla555727953[[#This Row],[COSTO]]</f>
        <v>#N/A</v>
      </c>
      <c r="J138" s="135" t="e">
        <f>+VLOOKUP(Tabla555727953[[#This Row],[POSTRES]],#REF!,2,0)</f>
        <v>#REF!</v>
      </c>
      <c r="K138" s="136" t="e">
        <f t="shared" si="50"/>
        <v>#N/A</v>
      </c>
      <c r="L138" s="131" t="e">
        <f t="shared" si="51"/>
        <v>#N/A</v>
      </c>
      <c r="M138" s="137" t="e">
        <f>+Tabla555727953[[#This Row],[PRECIO SUGERIDO]]+Tabla555727953[[#This Row],[ICO2]]</f>
        <v>#N/A</v>
      </c>
      <c r="N138" s="141"/>
      <c r="O138" s="132">
        <f t="shared" si="52"/>
        <v>0</v>
      </c>
      <c r="P138" s="139">
        <f t="shared" si="53"/>
        <v>0</v>
      </c>
      <c r="Q138" s="133" t="e">
        <f t="shared" si="47"/>
        <v>#N/A</v>
      </c>
      <c r="R138" s="194" t="e">
        <f t="shared" si="54"/>
        <v>#N/A</v>
      </c>
      <c r="S138" s="70">
        <f>+Tabla555727953[[#This Row],[VENTA]]*13%+Tabla555727953[[#This Row],[VENTA]]</f>
        <v>0</v>
      </c>
      <c r="T138" s="133" t="e">
        <f>+Tabla555727953[[#This Row],[COSTO]]/Tabla555727953[[#This Row],[Incremento 13%]]</f>
        <v>#N/A</v>
      </c>
    </row>
    <row r="139" spans="2:20" hidden="1" x14ac:dyDescent="0.25">
      <c r="B139" s="130" t="str">
        <f>+POSTRES!B130</f>
        <v xml:space="preserve"> TORTA CUATRO LECHES  4 A 6  PERSONAS</v>
      </c>
      <c r="C139" s="130"/>
      <c r="D139" s="131" t="e">
        <f>+POSTRES!K133</f>
        <v>#N/A</v>
      </c>
      <c r="E139" s="132"/>
      <c r="F139" s="132">
        <f t="shared" si="49"/>
        <v>0</v>
      </c>
      <c r="G139" s="131">
        <f>+Tabla555727953[[#This Row],[VENTA]]-Tabla555727953[[#This Row],[ICO 8%]]</f>
        <v>0</v>
      </c>
      <c r="H139" s="133" t="e">
        <f>+Tabla555727953[[#This Row],[COSTO]]/Tabla555727953[[#This Row],[BASE]]</f>
        <v>#N/A</v>
      </c>
      <c r="I139" s="134" t="e">
        <f>+Tabla555727953[[#This Row],[BASE]]/Tabla555727953[[#This Row],[COSTO]]</f>
        <v>#N/A</v>
      </c>
      <c r="J139" s="135" t="e">
        <f>+VLOOKUP(Tabla555727953[[#This Row],[POSTRES]],#REF!,2,0)</f>
        <v>#REF!</v>
      </c>
      <c r="K139" s="136" t="e">
        <f t="shared" si="50"/>
        <v>#N/A</v>
      </c>
      <c r="L139" s="131" t="e">
        <f t="shared" si="51"/>
        <v>#N/A</v>
      </c>
      <c r="M139" s="137" t="e">
        <f>+Tabla555727953[[#This Row],[PRECIO SUGERIDO]]+Tabla555727953[[#This Row],[ICO2]]</f>
        <v>#N/A</v>
      </c>
      <c r="N139" s="141"/>
      <c r="O139" s="132">
        <f t="shared" si="52"/>
        <v>0</v>
      </c>
      <c r="P139" s="139">
        <f t="shared" si="53"/>
        <v>0</v>
      </c>
      <c r="Q139" s="133" t="e">
        <f t="shared" si="47"/>
        <v>#N/A</v>
      </c>
      <c r="R139" s="194" t="e">
        <f t="shared" si="54"/>
        <v>#N/A</v>
      </c>
      <c r="S139" s="70">
        <f>+Tabla555727953[[#This Row],[VENTA]]*13%+Tabla555727953[[#This Row],[VENTA]]</f>
        <v>0</v>
      </c>
      <c r="T139" s="133" t="e">
        <f>+Tabla555727953[[#This Row],[COSTO]]/Tabla555727953[[#This Row],[Incremento 13%]]</f>
        <v>#N/A</v>
      </c>
    </row>
    <row r="140" spans="2:20" hidden="1" x14ac:dyDescent="0.25">
      <c r="B140" s="130" t="str">
        <f>+POSTRES!B153</f>
        <v>TORTA GENOVESA CUATRO LECHES  6 A 12 PERSONAS</v>
      </c>
      <c r="C140" s="130"/>
      <c r="D140" s="131" t="e">
        <f>+POSTRES!K156</f>
        <v>#N/A</v>
      </c>
      <c r="E140" s="132">
        <f>+POSTRES!K157</f>
        <v>0</v>
      </c>
      <c r="F140" s="132">
        <f t="shared" si="49"/>
        <v>0</v>
      </c>
      <c r="G140" s="131">
        <f>+Tabla555727953[[#This Row],[VENTA]]-Tabla555727953[[#This Row],[ICO 8%]]</f>
        <v>0</v>
      </c>
      <c r="H140" s="133" t="e">
        <f>+Tabla555727953[[#This Row],[COSTO]]/Tabla555727953[[#This Row],[BASE]]</f>
        <v>#N/A</v>
      </c>
      <c r="I140" s="134" t="e">
        <f>+Tabla555727953[[#This Row],[BASE]]/Tabla555727953[[#This Row],[COSTO]]</f>
        <v>#N/A</v>
      </c>
      <c r="J140" s="135" t="e">
        <f>+VLOOKUP(Tabla555727953[[#This Row],[POSTRES]],#REF!,2,0)</f>
        <v>#REF!</v>
      </c>
      <c r="K140" s="136" t="e">
        <f t="shared" si="50"/>
        <v>#N/A</v>
      </c>
      <c r="L140" s="131" t="e">
        <f t="shared" si="51"/>
        <v>#N/A</v>
      </c>
      <c r="M140" s="137" t="e">
        <f>+Tabla555727953[[#This Row],[PRECIO SUGERIDO]]+Tabla555727953[[#This Row],[ICO2]]</f>
        <v>#N/A</v>
      </c>
      <c r="N140" s="141"/>
      <c r="O140" s="132">
        <f t="shared" si="52"/>
        <v>0</v>
      </c>
      <c r="P140" s="139">
        <f t="shared" si="53"/>
        <v>0</v>
      </c>
      <c r="Q140" s="133" t="e">
        <f t="shared" si="47"/>
        <v>#N/A</v>
      </c>
      <c r="R140" s="194" t="e">
        <f t="shared" si="54"/>
        <v>#N/A</v>
      </c>
      <c r="S140" s="70">
        <f>+Tabla555727953[[#This Row],[VENTA]]*13%+Tabla555727953[[#This Row],[VENTA]]</f>
        <v>0</v>
      </c>
      <c r="T140" s="133" t="e">
        <f>+Tabla555727953[[#This Row],[COSTO]]/Tabla555727953[[#This Row],[Incremento 13%]]</f>
        <v>#N/A</v>
      </c>
    </row>
    <row r="141" spans="2:20" hidden="1" x14ac:dyDescent="0.25">
      <c r="B141" s="130" t="str">
        <f>+POSTRES!B177</f>
        <v>TORTA DE BROWNIE MELCOCHUDA 12 A 20 PERSONAS</v>
      </c>
      <c r="C141" s="130"/>
      <c r="D141" s="131" t="e">
        <f>+POSTRES!K180</f>
        <v>#N/A</v>
      </c>
      <c r="E141" s="132">
        <f>+ENTRADAS!I156</f>
        <v>0</v>
      </c>
      <c r="F141" s="132">
        <f t="shared" si="49"/>
        <v>0</v>
      </c>
      <c r="G141" s="131">
        <f>+Tabla555727953[[#This Row],[VENTA]]-Tabla555727953[[#This Row],[ICO 8%]]</f>
        <v>0</v>
      </c>
      <c r="H141" s="133" t="e">
        <f>+Tabla555727953[[#This Row],[COSTO]]/Tabla555727953[[#This Row],[BASE]]</f>
        <v>#N/A</v>
      </c>
      <c r="I141" s="134" t="e">
        <f>+Tabla555727953[[#This Row],[BASE]]/Tabla555727953[[#This Row],[COSTO]]</f>
        <v>#N/A</v>
      </c>
      <c r="J141" s="135" t="e">
        <f>+VLOOKUP(Tabla555727953[[#This Row],[POSTRES]],#REF!,2,0)</f>
        <v>#REF!</v>
      </c>
      <c r="K141" s="136" t="e">
        <f t="shared" si="50"/>
        <v>#N/A</v>
      </c>
      <c r="L141" s="131" t="e">
        <f t="shared" si="51"/>
        <v>#N/A</v>
      </c>
      <c r="M141" s="137" t="e">
        <f>+Tabla555727953[[#This Row],[PRECIO SUGERIDO]]+Tabla555727953[[#This Row],[ICO2]]</f>
        <v>#N/A</v>
      </c>
      <c r="N141" s="141"/>
      <c r="O141" s="132">
        <f t="shared" si="52"/>
        <v>0</v>
      </c>
      <c r="P141" s="139">
        <f t="shared" si="53"/>
        <v>0</v>
      </c>
      <c r="Q141" s="133" t="e">
        <f t="shared" si="47"/>
        <v>#N/A</v>
      </c>
      <c r="R141" s="194" t="e">
        <f t="shared" si="54"/>
        <v>#N/A</v>
      </c>
      <c r="S141" s="70">
        <f>+Tabla555727953[[#This Row],[VENTA]]*13%+Tabla555727953[[#This Row],[VENTA]]</f>
        <v>0</v>
      </c>
      <c r="T141" s="133" t="e">
        <f>+Tabla555727953[[#This Row],[COSTO]]/Tabla555727953[[#This Row],[Incremento 13%]]</f>
        <v>#N/A</v>
      </c>
    </row>
    <row r="142" spans="2:20" hidden="1" x14ac:dyDescent="0.25">
      <c r="B142" s="130" t="str">
        <f>+POSTRES!B198</f>
        <v>TORTA DE BROWNIE MELCOCHUDA 6 A 12 PERSONAS</v>
      </c>
      <c r="C142" s="130"/>
      <c r="D142" s="131" t="e">
        <f>+POSTRES!K201</f>
        <v>#N/A</v>
      </c>
      <c r="E142" s="132">
        <f>+ENTRADAS!I156</f>
        <v>0</v>
      </c>
      <c r="F142" s="132">
        <f t="shared" si="49"/>
        <v>0</v>
      </c>
      <c r="G142" s="131">
        <f>+Tabla555727953[[#This Row],[VENTA]]-Tabla555727953[[#This Row],[ICO 8%]]</f>
        <v>0</v>
      </c>
      <c r="H142" s="133" t="e">
        <f>+Tabla555727953[[#This Row],[COSTO]]/Tabla555727953[[#This Row],[BASE]]</f>
        <v>#N/A</v>
      </c>
      <c r="I142" s="134" t="e">
        <f>+Tabla555727953[[#This Row],[BASE]]/Tabla555727953[[#This Row],[COSTO]]</f>
        <v>#N/A</v>
      </c>
      <c r="J142" s="135" t="e">
        <f>+VLOOKUP(Tabla555727953[[#This Row],[POSTRES]],#REF!,2,0)</f>
        <v>#REF!</v>
      </c>
      <c r="K142" s="136" t="e">
        <f t="shared" si="50"/>
        <v>#N/A</v>
      </c>
      <c r="L142" s="131" t="e">
        <f t="shared" si="51"/>
        <v>#N/A</v>
      </c>
      <c r="M142" s="137" t="e">
        <f>+Tabla555727953[[#This Row],[PRECIO SUGERIDO]]+Tabla555727953[[#This Row],[ICO2]]</f>
        <v>#N/A</v>
      </c>
      <c r="N142" s="141"/>
      <c r="O142" s="132">
        <f t="shared" si="52"/>
        <v>0</v>
      </c>
      <c r="P142" s="139">
        <f t="shared" si="53"/>
        <v>0</v>
      </c>
      <c r="Q142" s="133" t="e">
        <f t="shared" si="47"/>
        <v>#N/A</v>
      </c>
      <c r="R142" s="194" t="e">
        <f t="shared" si="54"/>
        <v>#N/A</v>
      </c>
      <c r="S142" s="70">
        <f>+Tabla555727953[[#This Row],[VENTA]]*13%+Tabla555727953[[#This Row],[VENTA]]</f>
        <v>0</v>
      </c>
      <c r="T142" s="133" t="e">
        <f>+Tabla555727953[[#This Row],[COSTO]]/Tabla555727953[[#This Row],[Incremento 13%]]</f>
        <v>#N/A</v>
      </c>
    </row>
    <row r="143" spans="2:20" hidden="1" x14ac:dyDescent="0.25">
      <c r="B143" s="130" t="str">
        <f>+POSTRES!B220</f>
        <v>TORTA DE BROWNIE MELCOCHUDA 4 A 6 PERSONAS</v>
      </c>
      <c r="C143" s="130"/>
      <c r="D143" s="131" t="e">
        <f>+POSTRES!K223</f>
        <v>#N/A</v>
      </c>
      <c r="E143" s="132" t="e">
        <f>+ENTRADAS!#REF!</f>
        <v>#REF!</v>
      </c>
      <c r="F143" s="132" t="e">
        <f t="shared" si="49"/>
        <v>#REF!</v>
      </c>
      <c r="G143" s="131" t="e">
        <f>+Tabla555727953[[#This Row],[VENTA]]-Tabla555727953[[#This Row],[ICO 8%]]</f>
        <v>#REF!</v>
      </c>
      <c r="H143" s="133" t="e">
        <f>+Tabla555727953[[#This Row],[COSTO]]/Tabla555727953[[#This Row],[BASE]]</f>
        <v>#N/A</v>
      </c>
      <c r="I143" s="134" t="e">
        <f>+Tabla555727953[[#This Row],[BASE]]/Tabla555727953[[#This Row],[COSTO]]</f>
        <v>#REF!</v>
      </c>
      <c r="J143" s="135" t="e">
        <f>+VLOOKUP(Tabla555727953[[#This Row],[POSTRES]],#REF!,2,0)</f>
        <v>#REF!</v>
      </c>
      <c r="K143" s="136" t="e">
        <f t="shared" si="50"/>
        <v>#N/A</v>
      </c>
      <c r="L143" s="131" t="e">
        <f t="shared" si="51"/>
        <v>#N/A</v>
      </c>
      <c r="M143" s="137" t="e">
        <f>+Tabla555727953[[#This Row],[PRECIO SUGERIDO]]+Tabla555727953[[#This Row],[ICO2]]</f>
        <v>#N/A</v>
      </c>
      <c r="N143" s="141"/>
      <c r="O143" s="132">
        <f t="shared" si="52"/>
        <v>0</v>
      </c>
      <c r="P143" s="139">
        <f t="shared" si="53"/>
        <v>0</v>
      </c>
      <c r="Q143" s="133" t="e">
        <f t="shared" si="47"/>
        <v>#N/A</v>
      </c>
      <c r="R143" s="194" t="e">
        <f t="shared" si="54"/>
        <v>#N/A</v>
      </c>
      <c r="S143" s="70" t="e">
        <f>+Tabla555727953[[#This Row],[VENTA]]*13%+Tabla555727953[[#This Row],[VENTA]]</f>
        <v>#REF!</v>
      </c>
      <c r="T143" s="133" t="e">
        <f>+Tabla555727953[[#This Row],[COSTO]]/Tabla555727953[[#This Row],[Incremento 13%]]</f>
        <v>#N/A</v>
      </c>
    </row>
    <row r="144" spans="2:20" hidden="1" x14ac:dyDescent="0.25">
      <c r="B144" s="130" t="str">
        <f>+POSTRES!B240</f>
        <v>TORTA DE BROWNIE MELCOCHUDA 2 PERSONAS</v>
      </c>
      <c r="C144" s="130"/>
      <c r="D144" s="131" t="e">
        <f>+POSTRES!K243</f>
        <v>#N/A</v>
      </c>
      <c r="E144" s="132" t="e">
        <f>+ENTRADAS!#REF!</f>
        <v>#REF!</v>
      </c>
      <c r="F144" s="132" t="e">
        <f t="shared" si="49"/>
        <v>#REF!</v>
      </c>
      <c r="G144" s="131" t="e">
        <f>+Tabla555727953[[#This Row],[VENTA]]-Tabla555727953[[#This Row],[ICO 8%]]</f>
        <v>#REF!</v>
      </c>
      <c r="H144" s="133" t="e">
        <f>+Tabla555727953[[#This Row],[COSTO]]/Tabla555727953[[#This Row],[BASE]]</f>
        <v>#N/A</v>
      </c>
      <c r="I144" s="134" t="e">
        <f>+Tabla555727953[[#This Row],[BASE]]/Tabla555727953[[#This Row],[COSTO]]</f>
        <v>#REF!</v>
      </c>
      <c r="J144" s="135" t="e">
        <f>+VLOOKUP(Tabla555727953[[#This Row],[POSTRES]],#REF!,2,0)</f>
        <v>#REF!</v>
      </c>
      <c r="K144" s="136" t="e">
        <f t="shared" si="50"/>
        <v>#N/A</v>
      </c>
      <c r="L144" s="131" t="e">
        <f t="shared" si="51"/>
        <v>#N/A</v>
      </c>
      <c r="M144" s="137" t="e">
        <f>+Tabla555727953[[#This Row],[PRECIO SUGERIDO]]+Tabla555727953[[#This Row],[ICO2]]</f>
        <v>#N/A</v>
      </c>
      <c r="N144" s="141"/>
      <c r="O144" s="132">
        <f t="shared" si="52"/>
        <v>0</v>
      </c>
      <c r="P144" s="139">
        <f t="shared" si="53"/>
        <v>0</v>
      </c>
      <c r="Q144" s="133" t="e">
        <f t="shared" si="47"/>
        <v>#N/A</v>
      </c>
      <c r="R144" s="194" t="e">
        <f t="shared" si="54"/>
        <v>#N/A</v>
      </c>
      <c r="S144" s="70" t="e">
        <f>+Tabla555727953[[#This Row],[VENTA]]*13%+Tabla555727953[[#This Row],[VENTA]]</f>
        <v>#REF!</v>
      </c>
      <c r="T144" s="133" t="e">
        <f>+Tabla555727953[[#This Row],[COSTO]]/Tabla555727953[[#This Row],[Incremento 13%]]</f>
        <v>#N/A</v>
      </c>
    </row>
    <row r="145" spans="1:20" hidden="1" x14ac:dyDescent="0.25">
      <c r="B145" s="130" t="str">
        <f>+POSTRES!B260</f>
        <v xml:space="preserve"> TORTA YOGUR Y FRAMBUESA 12 A 20  PERSONAS</v>
      </c>
      <c r="C145" s="130"/>
      <c r="D145" s="131" t="e">
        <f>+POSTRES!K263</f>
        <v>#N/A</v>
      </c>
      <c r="E145" s="132" t="e">
        <f>+ENTRADAS!#REF!</f>
        <v>#REF!</v>
      </c>
      <c r="F145" s="132" t="e">
        <f t="shared" si="49"/>
        <v>#REF!</v>
      </c>
      <c r="G145" s="131" t="e">
        <f>+Tabla555727953[[#This Row],[VENTA]]-Tabla555727953[[#This Row],[ICO 8%]]</f>
        <v>#REF!</v>
      </c>
      <c r="H145" s="133" t="e">
        <f>+Tabla555727953[[#This Row],[COSTO]]/Tabla555727953[[#This Row],[BASE]]</f>
        <v>#N/A</v>
      </c>
      <c r="I145" s="134" t="e">
        <f>+Tabla555727953[[#This Row],[BASE]]/Tabla555727953[[#This Row],[COSTO]]</f>
        <v>#REF!</v>
      </c>
      <c r="J145" s="135" t="e">
        <f>+VLOOKUP(Tabla555727953[[#This Row],[POSTRES]],#REF!,2,0)</f>
        <v>#REF!</v>
      </c>
      <c r="K145" s="136" t="e">
        <f t="shared" si="50"/>
        <v>#N/A</v>
      </c>
      <c r="L145" s="131" t="e">
        <f t="shared" si="51"/>
        <v>#N/A</v>
      </c>
      <c r="M145" s="137" t="e">
        <f>+Tabla555727953[[#This Row],[PRECIO SUGERIDO]]+Tabla555727953[[#This Row],[ICO2]]</f>
        <v>#N/A</v>
      </c>
      <c r="N145" s="141"/>
      <c r="O145" s="132">
        <f t="shared" si="52"/>
        <v>0</v>
      </c>
      <c r="P145" s="139">
        <f t="shared" si="53"/>
        <v>0</v>
      </c>
      <c r="Q145" s="133" t="e">
        <f t="shared" si="47"/>
        <v>#N/A</v>
      </c>
      <c r="R145" s="194" t="e">
        <f t="shared" si="54"/>
        <v>#N/A</v>
      </c>
      <c r="S145" s="70" t="e">
        <f>+Tabla555727953[[#This Row],[VENTA]]*13%+Tabla555727953[[#This Row],[VENTA]]</f>
        <v>#REF!</v>
      </c>
      <c r="T145" s="133" t="e">
        <f>+Tabla555727953[[#This Row],[COSTO]]/Tabla555727953[[#This Row],[Incremento 13%]]</f>
        <v>#N/A</v>
      </c>
    </row>
    <row r="146" spans="1:20" hidden="1" x14ac:dyDescent="0.25">
      <c r="B146" s="130" t="str">
        <f>+POSTRES!B280</f>
        <v xml:space="preserve"> TORTA YOGUR Y FRAMBUESA 6 A 12 PERSONAS</v>
      </c>
      <c r="C146" s="130"/>
      <c r="D146" s="131" t="e">
        <f>+POSTRES!K283</f>
        <v>#N/A</v>
      </c>
      <c r="E146" s="132" t="e">
        <f>+ENTRADAS!#REF!</f>
        <v>#REF!</v>
      </c>
      <c r="F146" s="132" t="e">
        <f t="shared" si="49"/>
        <v>#REF!</v>
      </c>
      <c r="G146" s="131" t="e">
        <f>+Tabla555727953[[#This Row],[VENTA]]-Tabla555727953[[#This Row],[ICO 8%]]</f>
        <v>#REF!</v>
      </c>
      <c r="H146" s="133" t="e">
        <f>+Tabla555727953[[#This Row],[COSTO]]/Tabla555727953[[#This Row],[BASE]]</f>
        <v>#N/A</v>
      </c>
      <c r="I146" s="134" t="e">
        <f>+Tabla555727953[[#This Row],[BASE]]/Tabla555727953[[#This Row],[COSTO]]</f>
        <v>#REF!</v>
      </c>
      <c r="J146" s="135" t="e">
        <f>+VLOOKUP(Tabla555727953[[#This Row],[POSTRES]],#REF!,2,0)</f>
        <v>#REF!</v>
      </c>
      <c r="K146" s="136" t="e">
        <f t="shared" si="50"/>
        <v>#N/A</v>
      </c>
      <c r="L146" s="131" t="e">
        <f t="shared" si="51"/>
        <v>#N/A</v>
      </c>
      <c r="M146" s="137" t="e">
        <f>+Tabla555727953[[#This Row],[PRECIO SUGERIDO]]+Tabla555727953[[#This Row],[ICO2]]</f>
        <v>#N/A</v>
      </c>
      <c r="N146" s="141"/>
      <c r="O146" s="132">
        <f t="shared" si="52"/>
        <v>0</v>
      </c>
      <c r="P146" s="139">
        <f t="shared" si="53"/>
        <v>0</v>
      </c>
      <c r="Q146" s="133" t="e">
        <f t="shared" si="47"/>
        <v>#N/A</v>
      </c>
      <c r="R146" s="194" t="e">
        <f t="shared" si="54"/>
        <v>#N/A</v>
      </c>
      <c r="S146" s="70" t="e">
        <f>+Tabla555727953[[#This Row],[VENTA]]*13%+Tabla555727953[[#This Row],[VENTA]]</f>
        <v>#REF!</v>
      </c>
      <c r="T146" s="133" t="e">
        <f>+Tabla555727953[[#This Row],[COSTO]]/Tabla555727953[[#This Row],[Incremento 13%]]</f>
        <v>#N/A</v>
      </c>
    </row>
    <row r="147" spans="1:20" hidden="1" x14ac:dyDescent="0.25">
      <c r="B147" s="130" t="str">
        <f>+POSTRES!B301</f>
        <v>TORTA YOGUR Y FRAMBUESA 4 A 6  PERSONAS</v>
      </c>
      <c r="C147" s="130"/>
      <c r="D147" s="131" t="e">
        <f>+POSTRES!K304</f>
        <v>#N/A</v>
      </c>
      <c r="E147" s="132" t="e">
        <f>+ENTRADAS!#REF!</f>
        <v>#REF!</v>
      </c>
      <c r="F147" s="132" t="e">
        <f t="shared" si="49"/>
        <v>#REF!</v>
      </c>
      <c r="G147" s="131" t="e">
        <f>+Tabla555727953[[#This Row],[VENTA]]-Tabla555727953[[#This Row],[ICO 8%]]</f>
        <v>#REF!</v>
      </c>
      <c r="H147" s="133" t="e">
        <f>+Tabla555727953[[#This Row],[COSTO]]/Tabla555727953[[#This Row],[BASE]]</f>
        <v>#N/A</v>
      </c>
      <c r="I147" s="134" t="e">
        <f>+Tabla555727953[[#This Row],[BASE]]/Tabla555727953[[#This Row],[COSTO]]</f>
        <v>#REF!</v>
      </c>
      <c r="J147" s="135" t="e">
        <f>+VLOOKUP(Tabla555727953[[#This Row],[POSTRES]],#REF!,2,0)</f>
        <v>#REF!</v>
      </c>
      <c r="K147" s="136" t="e">
        <f t="shared" si="50"/>
        <v>#N/A</v>
      </c>
      <c r="L147" s="131" t="e">
        <f t="shared" si="51"/>
        <v>#N/A</v>
      </c>
      <c r="M147" s="137" t="e">
        <f>+Tabla555727953[[#This Row],[PRECIO SUGERIDO]]+Tabla555727953[[#This Row],[ICO2]]</f>
        <v>#N/A</v>
      </c>
      <c r="N147" s="141"/>
      <c r="O147" s="132">
        <f t="shared" si="52"/>
        <v>0</v>
      </c>
      <c r="P147" s="139">
        <f t="shared" si="53"/>
        <v>0</v>
      </c>
      <c r="Q147" s="133" t="e">
        <f t="shared" si="47"/>
        <v>#N/A</v>
      </c>
      <c r="R147" s="194" t="e">
        <f t="shared" si="54"/>
        <v>#N/A</v>
      </c>
      <c r="S147" s="70" t="e">
        <f>+Tabla555727953[[#This Row],[VENTA]]*13%+Tabla555727953[[#This Row],[VENTA]]</f>
        <v>#REF!</v>
      </c>
      <c r="T147" s="133" t="e">
        <f>+Tabla555727953[[#This Row],[COSTO]]/Tabla555727953[[#This Row],[Incremento 13%]]</f>
        <v>#N/A</v>
      </c>
    </row>
    <row r="148" spans="1:20" ht="13.8" hidden="1" thickBot="1" x14ac:dyDescent="0.3">
      <c r="B148" s="130" t="str">
        <f>+POSTRES!B322</f>
        <v xml:space="preserve"> TORTA YOGUR Y FRAMBUESA 2  PERSONAS</v>
      </c>
      <c r="C148" s="130"/>
      <c r="D148" s="131" t="e">
        <f>+POSTRES!K325</f>
        <v>#N/A</v>
      </c>
      <c r="E148" s="132" t="e">
        <f>+ENTRADAS!#REF!</f>
        <v>#REF!</v>
      </c>
      <c r="F148" s="132" t="e">
        <f t="shared" si="49"/>
        <v>#REF!</v>
      </c>
      <c r="G148" s="131" t="e">
        <f>+Tabla555727953[[#This Row],[VENTA]]-Tabla555727953[[#This Row],[ICO 8%]]</f>
        <v>#REF!</v>
      </c>
      <c r="H148" s="133" t="e">
        <f>+Tabla555727953[[#This Row],[COSTO]]/Tabla555727953[[#This Row],[BASE]]</f>
        <v>#N/A</v>
      </c>
      <c r="I148" s="134" t="e">
        <f>+Tabla555727953[[#This Row],[BASE]]/Tabla555727953[[#This Row],[COSTO]]</f>
        <v>#REF!</v>
      </c>
      <c r="J148" s="135" t="e">
        <f>+VLOOKUP(Tabla555727953[[#This Row],[POSTRES]],#REF!,2,0)</f>
        <v>#REF!</v>
      </c>
      <c r="K148" s="136" t="e">
        <f t="shared" si="50"/>
        <v>#N/A</v>
      </c>
      <c r="L148" s="131" t="e">
        <f t="shared" si="51"/>
        <v>#N/A</v>
      </c>
      <c r="M148" s="137" t="e">
        <f>+Tabla555727953[[#This Row],[PRECIO SUGERIDO]]+Tabla555727953[[#This Row],[ICO2]]</f>
        <v>#N/A</v>
      </c>
      <c r="N148" s="141"/>
      <c r="O148" s="132">
        <f t="shared" si="52"/>
        <v>0</v>
      </c>
      <c r="P148" s="139">
        <f t="shared" si="53"/>
        <v>0</v>
      </c>
      <c r="Q148" s="133" t="e">
        <f t="shared" si="47"/>
        <v>#N/A</v>
      </c>
      <c r="R148" s="194" t="e">
        <f t="shared" si="54"/>
        <v>#N/A</v>
      </c>
      <c r="S148" s="70" t="e">
        <f>+Tabla555727953[[#This Row],[VENTA]]*13%+Tabla555727953[[#This Row],[VENTA]]</f>
        <v>#REF!</v>
      </c>
      <c r="T148" s="133" t="e">
        <f>+Tabla555727953[[#This Row],[COSTO]]/Tabla555727953[[#This Row],[Incremento 13%]]</f>
        <v>#N/A</v>
      </c>
    </row>
    <row r="149" spans="1:20" ht="13.8" thickBot="1" x14ac:dyDescent="0.3">
      <c r="B149" s="153" t="s">
        <v>35</v>
      </c>
      <c r="C149" s="181"/>
      <c r="D149" s="155"/>
      <c r="E149" s="156"/>
      <c r="F149" s="156"/>
      <c r="G149" s="155"/>
      <c r="H149" s="156"/>
      <c r="I149" s="201">
        <f>SUBTOTAL(101,Tabla555727953[RENTABILIDAD])</f>
        <v>4.9254380133164988</v>
      </c>
      <c r="J149" s="156" t="e">
        <f>SUBTOTAL(109,Tabla555727953[ROTACION])</f>
        <v>#REF!</v>
      </c>
      <c r="K149" s="159"/>
      <c r="L149" s="155"/>
      <c r="M149" s="156"/>
      <c r="N149" s="160"/>
      <c r="O149" s="156"/>
      <c r="P149" s="155"/>
      <c r="Q149" s="161"/>
      <c r="R149" s="198">
        <f>SUBTOTAL(103,Tabla555727953[RATION])</f>
        <v>6</v>
      </c>
      <c r="S149" s="232"/>
      <c r="T149" s="275"/>
    </row>
    <row r="152" spans="1:20" x14ac:dyDescent="0.25">
      <c r="E152" s="117" t="s">
        <v>25</v>
      </c>
      <c r="F152" s="114"/>
      <c r="G152" s="118"/>
      <c r="H152" s="114"/>
      <c r="I152" s="114"/>
      <c r="K152" s="396" t="s">
        <v>29</v>
      </c>
      <c r="L152" s="396"/>
      <c r="M152" s="396"/>
      <c r="N152" s="395" t="s">
        <v>1090</v>
      </c>
      <c r="O152" s="395"/>
      <c r="P152" s="395"/>
      <c r="Q152" s="395"/>
    </row>
    <row r="153" spans="1:20" x14ac:dyDescent="0.25">
      <c r="B153" s="183" t="s">
        <v>332</v>
      </c>
      <c r="C153" s="184" t="s">
        <v>316</v>
      </c>
      <c r="D153" s="185" t="s">
        <v>7</v>
      </c>
      <c r="E153" s="186" t="s">
        <v>20</v>
      </c>
      <c r="F153" s="187" t="s">
        <v>33</v>
      </c>
      <c r="G153" s="185" t="s">
        <v>26</v>
      </c>
      <c r="H153" s="188" t="s">
        <v>21</v>
      </c>
      <c r="I153" s="189" t="s">
        <v>22</v>
      </c>
      <c r="J153" s="189" t="s">
        <v>23</v>
      </c>
      <c r="K153" s="189" t="s">
        <v>27</v>
      </c>
      <c r="L153" s="185" t="s">
        <v>32</v>
      </c>
      <c r="M153" s="189" t="s">
        <v>28</v>
      </c>
      <c r="N153" s="190" t="s">
        <v>30</v>
      </c>
      <c r="O153" s="185" t="s">
        <v>34</v>
      </c>
      <c r="P153" s="185" t="s">
        <v>25</v>
      </c>
      <c r="Q153" s="191" t="s">
        <v>31</v>
      </c>
      <c r="R153" s="192" t="s">
        <v>24</v>
      </c>
      <c r="S153" s="234" t="s">
        <v>1262</v>
      </c>
      <c r="T153" s="276" t="s">
        <v>1263</v>
      </c>
    </row>
    <row r="154" spans="1:20" hidden="1" x14ac:dyDescent="0.25">
      <c r="A154" s="113">
        <v>1</v>
      </c>
      <c r="B154" s="130" t="str">
        <f>+BRUNCH!B286</f>
        <v>AMERICANO</v>
      </c>
      <c r="C154" s="130"/>
      <c r="D154" s="131">
        <f>+BRUNCH!K289</f>
        <v>664.29</v>
      </c>
      <c r="E154" s="132">
        <f>+BRUNCH!K290</f>
        <v>6500</v>
      </c>
      <c r="F154" s="132">
        <f t="shared" ref="F154:F179" si="55">+E154/1.08*0.08</f>
        <v>481.48148148148147</v>
      </c>
      <c r="G154" s="131">
        <f>+Tabla555727951[[#This Row],[VENTA]]-Tabla555727951[[#This Row],[ICO 8%]]</f>
        <v>6018.5185185185182</v>
      </c>
      <c r="H154" s="133">
        <f>+Tabla555727951[[#This Row],[COSTO]]/Tabla555727951[[#This Row],[BASE]]</f>
        <v>0.11037433846153846</v>
      </c>
      <c r="I154" s="134">
        <f>+Tabla555727951[[#This Row],[BASE]]/Tabla555727951[[#This Row],[COSTO]]</f>
        <v>9.0600769521120572</v>
      </c>
      <c r="J154" s="135" t="e">
        <f>+VLOOKUP(Tabla555727951[[#This Row],[BRUCH]],#REF!,2,0)</f>
        <v>#REF!</v>
      </c>
      <c r="K154" s="136">
        <f t="shared" ref="K154:K179" si="56">+D154/(100-67)*100</f>
        <v>2013</v>
      </c>
      <c r="L154" s="131">
        <f t="shared" ref="L154:L179" si="57">+K154/1.08*0.08</f>
        <v>149.11111111111109</v>
      </c>
      <c r="M154" s="137">
        <f>+Tabla555727951[[#This Row],[PRECIO SUGERIDO]]+Tabla555727951[[#This Row],[ICO2]]</f>
        <v>2162.1111111111113</v>
      </c>
      <c r="N154" s="141"/>
      <c r="O154" s="132">
        <f t="shared" ref="O154:O179" si="58">+N154/1.08*0.08</f>
        <v>0</v>
      </c>
      <c r="P154" s="139">
        <f t="shared" ref="P154:P179" si="59">+N154-O154</f>
        <v>0</v>
      </c>
      <c r="Q154" s="133" t="e">
        <f t="shared" ref="Q154:Q179" si="60">+D154/P154</f>
        <v>#DIV/0!</v>
      </c>
      <c r="R154" s="194">
        <f t="shared" ref="R154:R179" si="61">+P154/D154</f>
        <v>0</v>
      </c>
      <c r="S154" s="70">
        <f>+Tabla555727951[[#This Row],[VENTA]]*13%+Tabla555727951[[#This Row],[VENTA]]</f>
        <v>7345</v>
      </c>
      <c r="T154" s="270">
        <f>+Tabla555727951[[#This Row],[COSTO]]/Tabla555727951[[#This Row],[Incremento 13%]]</f>
        <v>9.0441116405718169E-2</v>
      </c>
    </row>
    <row r="155" spans="1:20" hidden="1" x14ac:dyDescent="0.25">
      <c r="A155" s="113">
        <v>2</v>
      </c>
      <c r="B155" s="130" t="str">
        <f>+BRUNCH!B309</f>
        <v>EXPRESO</v>
      </c>
      <c r="C155" s="130"/>
      <c r="D155" s="131">
        <f>+BRUNCH!K312</f>
        <v>664.29</v>
      </c>
      <c r="E155" s="132">
        <f>+BRUNCH!K313</f>
        <v>7500</v>
      </c>
      <c r="F155" s="132">
        <f t="shared" si="55"/>
        <v>555.55555555555554</v>
      </c>
      <c r="G155" s="131">
        <f>+Tabla555727951[[#This Row],[VENTA]]-Tabla555727951[[#This Row],[ICO 8%]]</f>
        <v>6944.4444444444443</v>
      </c>
      <c r="H155" s="133">
        <f>+Tabla555727951[[#This Row],[COSTO]]/Tabla555727951[[#This Row],[BASE]]</f>
        <v>9.5657759999999994E-2</v>
      </c>
      <c r="I155" s="134">
        <f>+Tabla555727951[[#This Row],[BASE]]/Tabla555727951[[#This Row],[COSTO]]</f>
        <v>10.453934944744681</v>
      </c>
      <c r="J155" s="135" t="e">
        <f>+VLOOKUP(Tabla555727951[[#This Row],[BRUCH]],#REF!,2,0)</f>
        <v>#REF!</v>
      </c>
      <c r="K155" s="136">
        <f t="shared" si="56"/>
        <v>2013</v>
      </c>
      <c r="L155" s="131">
        <f t="shared" si="57"/>
        <v>149.11111111111109</v>
      </c>
      <c r="M155" s="137">
        <f>+Tabla555727951[[#This Row],[PRECIO SUGERIDO]]+Tabla555727951[[#This Row],[ICO2]]</f>
        <v>2162.1111111111113</v>
      </c>
      <c r="N155" s="141"/>
      <c r="O155" s="132">
        <f t="shared" si="58"/>
        <v>0</v>
      </c>
      <c r="P155" s="139">
        <f t="shared" si="59"/>
        <v>0</v>
      </c>
      <c r="Q155" s="133" t="e">
        <f t="shared" si="60"/>
        <v>#DIV/0!</v>
      </c>
      <c r="R155" s="194">
        <f t="shared" si="61"/>
        <v>0</v>
      </c>
      <c r="S155" s="70">
        <f>+Tabla555727951[[#This Row],[VENTA]]*13%+Tabla555727951[[#This Row],[VENTA]]</f>
        <v>8475</v>
      </c>
      <c r="T155" s="270">
        <f>+Tabla555727951[[#This Row],[COSTO]]/Tabla555727951[[#This Row],[Incremento 13%]]</f>
        <v>7.838230088495575E-2</v>
      </c>
    </row>
    <row r="156" spans="1:20" hidden="1" x14ac:dyDescent="0.25">
      <c r="A156" s="113">
        <v>3</v>
      </c>
      <c r="B156" s="130" t="str">
        <f>+BRUNCH!B345</f>
        <v>AROMATICA HIERBABUENA</v>
      </c>
      <c r="C156" s="130"/>
      <c r="D156" s="131">
        <f>+BRUNCH!K348</f>
        <v>499.99999279999997</v>
      </c>
      <c r="E156" s="132">
        <f>+BRUNCH!K349</f>
        <v>9000</v>
      </c>
      <c r="F156" s="132">
        <f t="shared" si="55"/>
        <v>666.66666666666663</v>
      </c>
      <c r="G156" s="131">
        <f>+Tabla555727951[[#This Row],[VENTA]]-Tabla555727951[[#This Row],[ICO 8%]]</f>
        <v>8333.3333333333339</v>
      </c>
      <c r="H156" s="133">
        <f>+Tabla555727951[[#This Row],[COSTO]]/Tabla555727951[[#This Row],[BASE]]</f>
        <v>5.9999999135999994E-2</v>
      </c>
      <c r="I156" s="134">
        <f>+Tabla555727951[[#This Row],[BASE]]/Tabla555727951[[#This Row],[COSTO]]</f>
        <v>16.666666906666673</v>
      </c>
      <c r="J156" s="135" t="e">
        <f>+VLOOKUP(Tabla555727951[[#This Row],[BRUCH]],#REF!,2,0)</f>
        <v>#REF!</v>
      </c>
      <c r="K156" s="136">
        <f t="shared" si="56"/>
        <v>1515.1514933333333</v>
      </c>
      <c r="L156" s="131">
        <f t="shared" si="57"/>
        <v>112.23344395061727</v>
      </c>
      <c r="M156" s="137">
        <f>+Tabla555727951[[#This Row],[PRECIO SUGERIDO]]+Tabla555727951[[#This Row],[ICO2]]</f>
        <v>1627.3849372839506</v>
      </c>
      <c r="N156" s="141"/>
      <c r="O156" s="132">
        <f t="shared" si="58"/>
        <v>0</v>
      </c>
      <c r="P156" s="139">
        <f t="shared" si="59"/>
        <v>0</v>
      </c>
      <c r="Q156" s="133" t="e">
        <f t="shared" si="60"/>
        <v>#DIV/0!</v>
      </c>
      <c r="R156" s="194">
        <f t="shared" si="61"/>
        <v>0</v>
      </c>
      <c r="S156" s="70">
        <f>+Tabla555727951[[#This Row],[VENTA]]*13%+Tabla555727951[[#This Row],[VENTA]]</f>
        <v>10170</v>
      </c>
      <c r="T156" s="270">
        <f>+Tabla555727951[[#This Row],[COSTO]]/Tabla555727951[[#This Row],[Incremento 13%]]</f>
        <v>4.9164207748279252E-2</v>
      </c>
    </row>
    <row r="157" spans="1:20" hidden="1" x14ac:dyDescent="0.25">
      <c r="A157" s="113">
        <v>4</v>
      </c>
      <c r="B157" s="130" t="str">
        <f>+BRUNCH!B233</f>
        <v>GRATINADO DE SETAS</v>
      </c>
      <c r="C157" s="130" t="s">
        <v>553</v>
      </c>
      <c r="D157" s="131">
        <f>+BRUNCH!K236</f>
        <v>10153.211988040001</v>
      </c>
      <c r="E157" s="132">
        <f>+BRUNCH!K237</f>
        <v>37000</v>
      </c>
      <c r="F157" s="132">
        <f t="shared" si="55"/>
        <v>2740.7407407407404</v>
      </c>
      <c r="G157" s="131">
        <f>+Tabla555727951[[#This Row],[VENTA]]-Tabla555727951[[#This Row],[ICO 8%]]</f>
        <v>34259.259259259263</v>
      </c>
      <c r="H157" s="133">
        <f>+Tabla555727951[[#This Row],[COSTO]]/Tabla555727951[[#This Row],[BASE]]</f>
        <v>0.29636402559684322</v>
      </c>
      <c r="I157" s="134">
        <f>+Tabla555727951[[#This Row],[BASE]]/Tabla555727951[[#This Row],[COSTO]]</f>
        <v>3.3742286972452695</v>
      </c>
      <c r="J157" s="135" t="e">
        <f>+VLOOKUP(Tabla555727951[[#This Row],[BRUCH]],#REF!,2,0)</f>
        <v>#REF!</v>
      </c>
      <c r="K157" s="136">
        <f t="shared" si="56"/>
        <v>30767.309054666668</v>
      </c>
      <c r="L157" s="131">
        <f t="shared" si="57"/>
        <v>2279.0599299753085</v>
      </c>
      <c r="M157" s="137">
        <f>+Tabla555727951[[#This Row],[PRECIO SUGERIDO]]+Tabla555727951[[#This Row],[ICO2]]</f>
        <v>33046.368984641973</v>
      </c>
      <c r="N157" s="141"/>
      <c r="O157" s="132">
        <f t="shared" si="58"/>
        <v>0</v>
      </c>
      <c r="P157" s="139">
        <f t="shared" si="59"/>
        <v>0</v>
      </c>
      <c r="Q157" s="133" t="e">
        <f t="shared" si="60"/>
        <v>#DIV/0!</v>
      </c>
      <c r="R157" s="194">
        <f t="shared" si="61"/>
        <v>0</v>
      </c>
      <c r="S157" s="70">
        <f>+Tabla555727951[[#This Row],[VENTA]]*13%+Tabla555727951[[#This Row],[VENTA]]</f>
        <v>41810</v>
      </c>
      <c r="T157" s="270">
        <f>+Tabla555727951[[#This Row],[COSTO]]/Tabla555727951[[#This Row],[Incremento 13%]]</f>
        <v>0.2428417122229132</v>
      </c>
    </row>
    <row r="158" spans="1:20" hidden="1" x14ac:dyDescent="0.25">
      <c r="A158" s="113">
        <v>5</v>
      </c>
      <c r="B158" s="130" t="str">
        <f>+BRUNCH!B297</f>
        <v xml:space="preserve">CAPUCCINO </v>
      </c>
      <c r="C158" s="130"/>
      <c r="D158" s="131">
        <f>+BRUNCH!K300</f>
        <v>3446.8283363579999</v>
      </c>
      <c r="E158" s="132">
        <f>+BRUNCH!K301</f>
        <v>12000</v>
      </c>
      <c r="F158" s="132">
        <f t="shared" si="55"/>
        <v>888.8888888888888</v>
      </c>
      <c r="G158" s="131">
        <f>+Tabla555727951[[#This Row],[VENTA]]-Tabla555727951[[#This Row],[ICO 8%]]</f>
        <v>11111.111111111111</v>
      </c>
      <c r="H158" s="133">
        <f>+Tabla555727951[[#This Row],[COSTO]]/Tabla555727951[[#This Row],[BASE]]</f>
        <v>0.31021455027222</v>
      </c>
      <c r="I158" s="134">
        <f>+Tabla555727951[[#This Row],[BASE]]/Tabla555727951[[#This Row],[COSTO]]</f>
        <v>3.223575422630816</v>
      </c>
      <c r="J158" s="135" t="e">
        <f>+VLOOKUP(Tabla555727951[[#This Row],[BRUCH]],#REF!,2,0)</f>
        <v>#REF!</v>
      </c>
      <c r="K158" s="136">
        <f t="shared" si="56"/>
        <v>10444.934352599999</v>
      </c>
      <c r="L158" s="131">
        <f t="shared" si="57"/>
        <v>773.69884093333326</v>
      </c>
      <c r="M158" s="137">
        <f>+Tabla555727951[[#This Row],[PRECIO SUGERIDO]]+Tabla555727951[[#This Row],[ICO2]]</f>
        <v>11218.633193533333</v>
      </c>
      <c r="N158" s="141"/>
      <c r="O158" s="132">
        <f t="shared" si="58"/>
        <v>0</v>
      </c>
      <c r="P158" s="139">
        <f t="shared" si="59"/>
        <v>0</v>
      </c>
      <c r="Q158" s="133" t="e">
        <f t="shared" si="60"/>
        <v>#DIV/0!</v>
      </c>
      <c r="R158" s="194">
        <f t="shared" si="61"/>
        <v>0</v>
      </c>
      <c r="S158" s="70">
        <f>+Tabla555727951[[#This Row],[VENTA]]*13%+Tabla555727951[[#This Row],[VENTA]]</f>
        <v>13560</v>
      </c>
      <c r="T158" s="270">
        <f>+Tabla555727951[[#This Row],[COSTO]]/Tabla555727951[[#This Row],[Incremento 13%]]</f>
        <v>0.2541908802623894</v>
      </c>
    </row>
    <row r="159" spans="1:20" x14ac:dyDescent="0.25">
      <c r="A159" s="113">
        <v>6</v>
      </c>
      <c r="B159" s="130" t="str">
        <f>+BRUNCH!B81</f>
        <v>WAFLE PAN DE YUCA Y HUEVO POCHE</v>
      </c>
      <c r="C159" s="130" t="s">
        <v>503</v>
      </c>
      <c r="D159" s="131">
        <f>+BRUNCH!K84</f>
        <v>11987.598856932196</v>
      </c>
      <c r="E159" s="132">
        <f>+BRUNCH!K85</f>
        <v>29000</v>
      </c>
      <c r="F159" s="132">
        <f t="shared" si="55"/>
        <v>2148.1481481481483</v>
      </c>
      <c r="G159" s="131">
        <v>29000</v>
      </c>
      <c r="H159" s="133">
        <f>+Tabla555727951[[#This Row],[COSTO]]/Tabla555727951[[#This Row],[BASE]]</f>
        <v>0.41336547782524813</v>
      </c>
      <c r="I159" s="134">
        <f>+Tabla555727951[[#This Row],[BASE]]/Tabla555727951[[#This Row],[COSTO]]</f>
        <v>2.4191667026987527</v>
      </c>
      <c r="J159" s="135" t="e">
        <f>+VLOOKUP(Tabla555727951[[#This Row],[BRUCH]],#REF!,2,0)</f>
        <v>#REF!</v>
      </c>
      <c r="K159" s="136">
        <f t="shared" si="56"/>
        <v>36326.057142218779</v>
      </c>
      <c r="L159" s="131">
        <f t="shared" si="57"/>
        <v>2690.8190475717611</v>
      </c>
      <c r="M159" s="137">
        <f>+Tabla555727951[[#This Row],[PRECIO SUGERIDO]]+Tabla555727951[[#This Row],[ICO2]]</f>
        <v>39016.876189790542</v>
      </c>
      <c r="N159" s="141">
        <v>43000</v>
      </c>
      <c r="O159" s="132">
        <f t="shared" si="58"/>
        <v>3185.1851851851848</v>
      </c>
      <c r="P159" s="139">
        <f t="shared" si="59"/>
        <v>39814.814814814818</v>
      </c>
      <c r="Q159" s="133">
        <f t="shared" si="60"/>
        <v>0.30108387826713423</v>
      </c>
      <c r="R159" s="194">
        <f t="shared" si="61"/>
        <v>3.3213335956592074</v>
      </c>
      <c r="S159" s="70">
        <f>+Tabla555727951[[#This Row],[VENTA]]*13%+Tabla555727951[[#This Row],[VENTA]]</f>
        <v>32770</v>
      </c>
      <c r="T159" s="270">
        <f>+Tabla555727951[[#This Row],[COSTO]]/Tabla555727951[[#This Row],[Incremento 13%]]</f>
        <v>0.36581015736747624</v>
      </c>
    </row>
    <row r="160" spans="1:20" x14ac:dyDescent="0.25">
      <c r="A160" s="113">
        <v>7</v>
      </c>
      <c r="B160" s="130" t="str">
        <f>+BRUNCH!B6</f>
        <v>SANDUCHE DE CHICHARRON</v>
      </c>
      <c r="C160" s="130" t="s">
        <v>509</v>
      </c>
      <c r="D160" s="131">
        <f>+BRUNCH!K9</f>
        <v>11157.727454963251</v>
      </c>
      <c r="E160" s="132">
        <f>+BRUNCH!K10</f>
        <v>31000</v>
      </c>
      <c r="F160" s="132">
        <f t="shared" si="55"/>
        <v>2296.2962962962961</v>
      </c>
      <c r="G160" s="131">
        <v>31000</v>
      </c>
      <c r="H160" s="133">
        <f>+Tabla555727951[[#This Row],[COSTO]]/Tabla555727951[[#This Row],[BASE]]</f>
        <v>0.35992669209558875</v>
      </c>
      <c r="I160" s="134">
        <f>+Tabla555727951[[#This Row],[BASE]]/Tabla555727951[[#This Row],[COSTO]]</f>
        <v>2.7783435403963361</v>
      </c>
      <c r="J160" s="135" t="e">
        <f>+VLOOKUP(Tabla555727951[[#This Row],[BRUCH]],#REF!,2,0)</f>
        <v>#REF!</v>
      </c>
      <c r="K160" s="136">
        <f t="shared" si="56"/>
        <v>33811.295318070464</v>
      </c>
      <c r="L160" s="131">
        <f t="shared" si="57"/>
        <v>2504.5403939311454</v>
      </c>
      <c r="M160" s="137">
        <f>+Tabla555727951[[#This Row],[PRECIO SUGERIDO]]+Tabla555727951[[#This Row],[ICO2]]</f>
        <v>36315.835712001608</v>
      </c>
      <c r="N160" s="141">
        <v>40000</v>
      </c>
      <c r="O160" s="132">
        <f t="shared" si="58"/>
        <v>2962.962962962963</v>
      </c>
      <c r="P160" s="139">
        <f t="shared" si="59"/>
        <v>37037.037037037036</v>
      </c>
      <c r="Q160" s="133">
        <f t="shared" si="60"/>
        <v>0.30125864128400781</v>
      </c>
      <c r="R160" s="194">
        <f t="shared" si="61"/>
        <v>3.3194068582990872</v>
      </c>
      <c r="S160" s="70">
        <f>+Tabla555727951[[#This Row],[VENTA]]*13%+Tabla555727951[[#This Row],[VENTA]]</f>
        <v>35030</v>
      </c>
      <c r="T160" s="270">
        <f>+Tabla555727951[[#This Row],[COSTO]]/Tabla555727951[[#This Row],[Incremento 13%]]</f>
        <v>0.31851919654476879</v>
      </c>
    </row>
    <row r="161" spans="1:20" hidden="1" x14ac:dyDescent="0.25">
      <c r="A161" s="113">
        <v>8</v>
      </c>
      <c r="B161" s="130" t="str">
        <f>+BRUNCH!B251</f>
        <v>CHOCOLATE</v>
      </c>
      <c r="C161" s="130"/>
      <c r="D161" s="131">
        <f>+BRUNCH!K254</f>
        <v>5405.8915346699987</v>
      </c>
      <c r="E161" s="132">
        <f>+BRUNCH!K255</f>
        <v>12000</v>
      </c>
      <c r="F161" s="132">
        <f t="shared" si="55"/>
        <v>888.8888888888888</v>
      </c>
      <c r="G161" s="131">
        <f>+Tabla555727951[[#This Row],[VENTA]]-Tabla555727951[[#This Row],[ICO 8%]]</f>
        <v>11111.111111111111</v>
      </c>
      <c r="H161" s="133">
        <f>+Tabla555727951[[#This Row],[COSTO]]/Tabla555727951[[#This Row],[BASE]]</f>
        <v>0.48653023812029988</v>
      </c>
      <c r="I161" s="134">
        <f>+Tabla555727951[[#This Row],[BASE]]/Tabla555727951[[#This Row],[COSTO]]</f>
        <v>2.0553707080231653</v>
      </c>
      <c r="J161" s="135" t="e">
        <f>+VLOOKUP(Tabla555727951[[#This Row],[BRUCH]],#REF!,2,0)</f>
        <v>#REF!</v>
      </c>
      <c r="K161" s="136">
        <f t="shared" si="56"/>
        <v>16381.489498999998</v>
      </c>
      <c r="L161" s="131">
        <f t="shared" si="57"/>
        <v>1213.4436665925923</v>
      </c>
      <c r="M161" s="137">
        <f>+Tabla555727951[[#This Row],[PRECIO SUGERIDO]]+Tabla555727951[[#This Row],[ICO2]]</f>
        <v>17594.933165592589</v>
      </c>
      <c r="N161" s="141"/>
      <c r="O161" s="132">
        <f t="shared" si="58"/>
        <v>0</v>
      </c>
      <c r="P161" s="139">
        <f t="shared" si="59"/>
        <v>0</v>
      </c>
      <c r="Q161" s="133" t="e">
        <f t="shared" si="60"/>
        <v>#DIV/0!</v>
      </c>
      <c r="R161" s="194">
        <f t="shared" si="61"/>
        <v>0</v>
      </c>
      <c r="S161" s="70">
        <f>+Tabla555727951[[#This Row],[VENTA]]*13%+Tabla555727951[[#This Row],[VENTA]]</f>
        <v>13560</v>
      </c>
      <c r="T161" s="270">
        <f>+Tabla555727951[[#This Row],[COSTO]]/Tabla555727951[[#This Row],[Incremento 13%]]</f>
        <v>0.39866456745353973</v>
      </c>
    </row>
    <row r="162" spans="1:20" hidden="1" x14ac:dyDescent="0.25">
      <c r="A162" s="113">
        <v>9</v>
      </c>
      <c r="B162" s="130" t="str">
        <f>+BRUNCH!B369</f>
        <v>MIMOSAS DE MARACUYA Y COCO</v>
      </c>
      <c r="C162" s="130"/>
      <c r="D162" s="131">
        <f>+BRUNCH!K372</f>
        <v>5957.5202482510003</v>
      </c>
      <c r="E162" s="132">
        <f>+BRUNCH!K373</f>
        <v>25000</v>
      </c>
      <c r="F162" s="132">
        <f t="shared" si="55"/>
        <v>1851.8518518518517</v>
      </c>
      <c r="G162" s="131">
        <f>+Tabla555727951[[#This Row],[VENTA]]-Tabla555727951[[#This Row],[ICO 8%]]</f>
        <v>23148.14814814815</v>
      </c>
      <c r="H162" s="133">
        <f>+Tabla555727951[[#This Row],[COSTO]]/Tabla555727951[[#This Row],[BASE]]</f>
        <v>0.25736487472444319</v>
      </c>
      <c r="I162" s="134">
        <f>+Tabla555727951[[#This Row],[BASE]]/Tabla555727951[[#This Row],[COSTO]]</f>
        <v>3.8855341121071216</v>
      </c>
      <c r="J162" s="135" t="e">
        <f>+VLOOKUP(Tabla555727951[[#This Row],[BRUCH]],#REF!,2,0)</f>
        <v>#REF!</v>
      </c>
      <c r="K162" s="136">
        <f t="shared" si="56"/>
        <v>18053.091661366667</v>
      </c>
      <c r="L162" s="131">
        <f t="shared" si="57"/>
        <v>1337.2660489901234</v>
      </c>
      <c r="M162" s="137">
        <f>+Tabla555727951[[#This Row],[PRECIO SUGERIDO]]+Tabla555727951[[#This Row],[ICO2]]</f>
        <v>19390.357710356791</v>
      </c>
      <c r="N162" s="141"/>
      <c r="O162" s="132">
        <f t="shared" si="58"/>
        <v>0</v>
      </c>
      <c r="P162" s="139">
        <f t="shared" si="59"/>
        <v>0</v>
      </c>
      <c r="Q162" s="133" t="e">
        <f t="shared" si="60"/>
        <v>#DIV/0!</v>
      </c>
      <c r="R162" s="194">
        <f t="shared" si="61"/>
        <v>0</v>
      </c>
      <c r="S162" s="70">
        <f>+Tabla555727951[[#This Row],[VENTA]]*13%+Tabla555727951[[#This Row],[VENTA]]</f>
        <v>28250</v>
      </c>
      <c r="T162" s="270">
        <f>+Tabla555727951[[#This Row],[COSTO]]/Tabla555727951[[#This Row],[Incremento 13%]]</f>
        <v>0.21088567250446019</v>
      </c>
    </row>
    <row r="163" spans="1:20" hidden="1" x14ac:dyDescent="0.25">
      <c r="A163" s="113">
        <v>10</v>
      </c>
      <c r="B163" s="130" t="str">
        <f>+BRUNCH!B109</f>
        <v>TOSTADAS FRANCESAS</v>
      </c>
      <c r="C163" s="130" t="s">
        <v>507</v>
      </c>
      <c r="D163" s="131">
        <f>+BRUNCH!K112</f>
        <v>8679.8874389744997</v>
      </c>
      <c r="E163" s="132">
        <f>+BRUNCH!K113</f>
        <v>28000</v>
      </c>
      <c r="F163" s="132">
        <f t="shared" si="55"/>
        <v>2074.0740740740739</v>
      </c>
      <c r="G163" s="131">
        <f>+Tabla555727951[[#This Row],[VENTA]]-Tabla555727951[[#This Row],[ICO 8%]]</f>
        <v>25925.925925925927</v>
      </c>
      <c r="H163" s="133">
        <f>+Tabla555727951[[#This Row],[COSTO]]/Tabla555727951[[#This Row],[BASE]]</f>
        <v>0.33479565836044495</v>
      </c>
      <c r="I163" s="134">
        <f>+Tabla555727951[[#This Row],[BASE]]/Tabla555727951[[#This Row],[COSTO]]</f>
        <v>2.9868965592241588</v>
      </c>
      <c r="J163" s="135" t="e">
        <f>+VLOOKUP(Tabla555727951[[#This Row],[BRUCH]],#REF!,2,0)</f>
        <v>#REF!</v>
      </c>
      <c r="K163" s="136">
        <f t="shared" si="56"/>
        <v>26302.689209013635</v>
      </c>
      <c r="L163" s="131">
        <f t="shared" si="57"/>
        <v>1948.3473488158247</v>
      </c>
      <c r="M163" s="137">
        <f>+Tabla555727951[[#This Row],[PRECIO SUGERIDO]]+Tabla555727951[[#This Row],[ICO2]]</f>
        <v>28251.036557829459</v>
      </c>
      <c r="N163" s="141"/>
      <c r="O163" s="132">
        <f t="shared" si="58"/>
        <v>0</v>
      </c>
      <c r="P163" s="139">
        <f t="shared" si="59"/>
        <v>0</v>
      </c>
      <c r="Q163" s="133" t="e">
        <f t="shared" si="60"/>
        <v>#DIV/0!</v>
      </c>
      <c r="R163" s="194">
        <f t="shared" si="61"/>
        <v>0</v>
      </c>
      <c r="S163" s="70">
        <f>+Tabla555727951[[#This Row],[VENTA]]*13%+Tabla555727951[[#This Row],[VENTA]]</f>
        <v>31640</v>
      </c>
      <c r="T163" s="270">
        <f>+Tabla555727951[[#This Row],[COSTO]]/Tabla555727951[[#This Row],[Incremento 13%]]</f>
        <v>0.27433272563130529</v>
      </c>
    </row>
    <row r="164" spans="1:20" x14ac:dyDescent="0.25">
      <c r="A164" s="113">
        <v>11</v>
      </c>
      <c r="B164" s="130" t="str">
        <f>+BRUNCH!B46</f>
        <v>MONTADITO DE COSTILLA AL CABALLO</v>
      </c>
      <c r="C164" s="130" t="s">
        <v>501</v>
      </c>
      <c r="D164" s="131">
        <f>+BRUNCH!K49</f>
        <v>11280.689641764482</v>
      </c>
      <c r="E164" s="132">
        <f>+BRUNCH!K50</f>
        <v>34000</v>
      </c>
      <c r="F164" s="132">
        <f t="shared" si="55"/>
        <v>2518.5185185185182</v>
      </c>
      <c r="G164" s="131">
        <f>+Tabla555727951[[#This Row],[VENTA]]-Tabla555727951[[#This Row],[ICO 8%]]</f>
        <v>31481.481481481482</v>
      </c>
      <c r="H164" s="133">
        <f>+Tabla555727951[[#This Row],[COSTO]]/Tabla555727951[[#This Row],[BASE]]</f>
        <v>0.35832778862075415</v>
      </c>
      <c r="I164" s="134">
        <f>+Tabla555727951[[#This Row],[BASE]]/Tabla555727951[[#This Row],[COSTO]]</f>
        <v>2.7907408572723811</v>
      </c>
      <c r="J164" s="135" t="e">
        <f>+VLOOKUP(Tabla555727951[[#This Row],[BRUCH]],#REF!,2,0)</f>
        <v>#REF!</v>
      </c>
      <c r="K164" s="136">
        <f t="shared" si="56"/>
        <v>34183.908005346915</v>
      </c>
      <c r="L164" s="131">
        <f t="shared" si="57"/>
        <v>2532.1413337294011</v>
      </c>
      <c r="M164" s="137">
        <f>+Tabla555727951[[#This Row],[PRECIO SUGERIDO]]+Tabla555727951[[#This Row],[ICO2]]</f>
        <v>36716.049339076315</v>
      </c>
      <c r="N164" s="141">
        <v>39000</v>
      </c>
      <c r="O164" s="132">
        <f t="shared" si="58"/>
        <v>2888.8888888888887</v>
      </c>
      <c r="P164" s="139">
        <f t="shared" si="59"/>
        <v>36111.111111111109</v>
      </c>
      <c r="Q164" s="133">
        <f t="shared" si="60"/>
        <v>0.31238832854117027</v>
      </c>
      <c r="R164" s="194">
        <f t="shared" si="61"/>
        <v>3.2011439245183193</v>
      </c>
      <c r="S164" s="70">
        <f>+Tabla555727951[[#This Row],[VENTA]]*13%+Tabla555727951[[#This Row],[VENTA]]</f>
        <v>38420</v>
      </c>
      <c r="T164" s="270">
        <f>+Tabla555727951[[#This Row],[COSTO]]/Tabla555727951[[#This Row],[Incremento 13%]]</f>
        <v>0.29361503492359403</v>
      </c>
    </row>
    <row r="165" spans="1:20" x14ac:dyDescent="0.25">
      <c r="A165" s="113">
        <v>12</v>
      </c>
      <c r="B165" s="130" t="str">
        <f>+BRUNCH!B63</f>
        <v>CACEROLA DE HUEVOS ESTRELLADOS</v>
      </c>
      <c r="C165" s="130" t="s">
        <v>502</v>
      </c>
      <c r="D165" s="131">
        <f>+BRUNCH!K66</f>
        <v>11867.697946324502</v>
      </c>
      <c r="E165" s="132">
        <f>+BRUNCH!K67</f>
        <v>32000</v>
      </c>
      <c r="F165" s="132">
        <f t="shared" si="55"/>
        <v>2370.3703703703704</v>
      </c>
      <c r="G165" s="131">
        <f>+Tabla555727951[[#This Row],[VENTA]]-Tabla555727951[[#This Row],[ICO 8%]]</f>
        <v>29629.629629629628</v>
      </c>
      <c r="H165" s="133">
        <f>+Tabla555727951[[#This Row],[COSTO]]/Tabla555727951[[#This Row],[BASE]]</f>
        <v>0.40053480568845201</v>
      </c>
      <c r="I165" s="134">
        <f>+Tabla555727951[[#This Row],[BASE]]/Tabla555727951[[#This Row],[COSTO]]</f>
        <v>2.4966619274975819</v>
      </c>
      <c r="J165" s="135" t="e">
        <f>+VLOOKUP(Tabla555727951[[#This Row],[BRUCH]],#REF!,2,0)</f>
        <v>#REF!</v>
      </c>
      <c r="K165" s="136">
        <f t="shared" si="56"/>
        <v>35962.721049468186</v>
      </c>
      <c r="L165" s="131">
        <f t="shared" si="57"/>
        <v>2663.9052629235689</v>
      </c>
      <c r="M165" s="137">
        <f>+Tabla555727951[[#This Row],[PRECIO SUGERIDO]]+Tabla555727951[[#This Row],[ICO2]]</f>
        <v>38626.626312391752</v>
      </c>
      <c r="N165" s="141">
        <v>42000</v>
      </c>
      <c r="O165" s="132">
        <f t="shared" si="58"/>
        <v>3111.1111111111109</v>
      </c>
      <c r="P165" s="139">
        <f t="shared" si="59"/>
        <v>38888.888888888891</v>
      </c>
      <c r="Q165" s="133">
        <f t="shared" si="60"/>
        <v>0.30516937576263004</v>
      </c>
      <c r="R165" s="194">
        <f t="shared" si="61"/>
        <v>3.2768687798405769</v>
      </c>
      <c r="S165" s="70">
        <f>+Tabla555727951[[#This Row],[VENTA]]*13%+Tabla555727951[[#This Row],[VENTA]]</f>
        <v>36160</v>
      </c>
      <c r="T165" s="270">
        <f>+Tabla555727951[[#This Row],[COSTO]]/Tabla555727951[[#This Row],[Incremento 13%]]</f>
        <v>0.32819961134746967</v>
      </c>
    </row>
    <row r="166" spans="1:20" hidden="1" x14ac:dyDescent="0.25">
      <c r="A166" s="113">
        <v>13</v>
      </c>
      <c r="B166" s="130" t="str">
        <f>+BRUNCH!B126</f>
        <v>NAPOLEON DE PANCAKES</v>
      </c>
      <c r="C166" s="130" t="s">
        <v>504</v>
      </c>
      <c r="D166" s="131">
        <f>+BRUNCH!K129</f>
        <v>4346.1502209299997</v>
      </c>
      <c r="E166" s="132">
        <f>+BRUNCH!K130</f>
        <v>29000</v>
      </c>
      <c r="F166" s="132">
        <f t="shared" si="55"/>
        <v>2148.1481481481483</v>
      </c>
      <c r="G166" s="131">
        <f>+Tabla555727951[[#This Row],[VENTA]]-Tabla555727951[[#This Row],[ICO 8%]]</f>
        <v>26851.85185185185</v>
      </c>
      <c r="H166" s="133">
        <f>+Tabla555727951[[#This Row],[COSTO]]/Tabla555727951[[#This Row],[BASE]]</f>
        <v>0.16185662891739311</v>
      </c>
      <c r="I166" s="134">
        <f>+Tabla555727951[[#This Row],[BASE]]/Tabla555727951[[#This Row],[COSTO]]</f>
        <v>6.1783073494652534</v>
      </c>
      <c r="J166" s="135" t="e">
        <f>+VLOOKUP(Tabla555727951[[#This Row],[BRUCH]],#REF!,2,0)</f>
        <v>#REF!</v>
      </c>
      <c r="K166" s="136">
        <f t="shared" si="56"/>
        <v>13170.152184636361</v>
      </c>
      <c r="L166" s="131">
        <f t="shared" si="57"/>
        <v>975.56682849158233</v>
      </c>
      <c r="M166" s="137">
        <f>+Tabla555727951[[#This Row],[PRECIO SUGERIDO]]+Tabla555727951[[#This Row],[ICO2]]</f>
        <v>14145.719013127944</v>
      </c>
      <c r="N166" s="141"/>
      <c r="O166" s="132">
        <f t="shared" si="58"/>
        <v>0</v>
      </c>
      <c r="P166" s="139">
        <f t="shared" si="59"/>
        <v>0</v>
      </c>
      <c r="Q166" s="133" t="e">
        <f t="shared" si="60"/>
        <v>#DIV/0!</v>
      </c>
      <c r="R166" s="194">
        <f t="shared" si="61"/>
        <v>0</v>
      </c>
      <c r="S166" s="70">
        <f>+Tabla555727951[[#This Row],[VENTA]]*13%+Tabla555727951[[#This Row],[VENTA]]</f>
        <v>32770</v>
      </c>
      <c r="T166" s="270">
        <f>+Tabla555727951[[#This Row],[COSTO]]/Tabla555727951[[#This Row],[Incremento 13%]]</f>
        <v>0.13262588406866035</v>
      </c>
    </row>
    <row r="167" spans="1:20" hidden="1" x14ac:dyDescent="0.25">
      <c r="A167" s="113">
        <v>14</v>
      </c>
      <c r="B167" s="130" t="str">
        <f>+BRUNCH!B156</f>
        <v>TOSTADA DE HUEVO Y TOCINETA</v>
      </c>
      <c r="C167" s="130" t="s">
        <v>508</v>
      </c>
      <c r="D167" s="131">
        <f>+BRUNCH!K159</f>
        <v>7902.4687649355001</v>
      </c>
      <c r="E167" s="132">
        <f>+BRUNCH!K160</f>
        <v>29000</v>
      </c>
      <c r="F167" s="132">
        <f t="shared" si="55"/>
        <v>2148.1481481481483</v>
      </c>
      <c r="G167" s="131">
        <f>+Tabla555727951[[#This Row],[VENTA]]-Tabla555727951[[#This Row],[ICO 8%]]</f>
        <v>26851.85185185185</v>
      </c>
      <c r="H167" s="133">
        <f>+Tabla555727951[[#This Row],[COSTO]]/Tabla555727951[[#This Row],[BASE]]</f>
        <v>0.29429883676311519</v>
      </c>
      <c r="I167" s="134">
        <f>+Tabla555727951[[#This Row],[BASE]]/Tabla555727951[[#This Row],[COSTO]]</f>
        <v>3.397906736562851</v>
      </c>
      <c r="J167" s="135" t="e">
        <f>+VLOOKUP(Tabla555727951[[#This Row],[BRUCH]],#REF!,2,0)</f>
        <v>#REF!</v>
      </c>
      <c r="K167" s="136">
        <f t="shared" si="56"/>
        <v>23946.87504525909</v>
      </c>
      <c r="L167" s="131">
        <f t="shared" si="57"/>
        <v>1773.8425959451176</v>
      </c>
      <c r="M167" s="137">
        <f>+Tabla555727951[[#This Row],[PRECIO SUGERIDO]]+Tabla555727951[[#This Row],[ICO2]]</f>
        <v>25720.717641204206</v>
      </c>
      <c r="N167" s="141"/>
      <c r="O167" s="132">
        <f t="shared" si="58"/>
        <v>0</v>
      </c>
      <c r="P167" s="139">
        <f t="shared" si="59"/>
        <v>0</v>
      </c>
      <c r="Q167" s="133" t="e">
        <f t="shared" si="60"/>
        <v>#DIV/0!</v>
      </c>
      <c r="R167" s="194">
        <f t="shared" si="61"/>
        <v>0</v>
      </c>
      <c r="S167" s="70">
        <f>+Tabla555727951[[#This Row],[VENTA]]*13%+Tabla555727951[[#This Row],[VENTA]]</f>
        <v>32770</v>
      </c>
      <c r="T167" s="270">
        <f>+Tabla555727951[[#This Row],[COSTO]]/Tabla555727951[[#This Row],[Incremento 13%]]</f>
        <v>0.24114948931753127</v>
      </c>
    </row>
    <row r="168" spans="1:20" hidden="1" x14ac:dyDescent="0.25">
      <c r="A168" s="113">
        <v>15</v>
      </c>
      <c r="B168" s="130" t="str">
        <f>+BRUNCH!B189</f>
        <v>AREPA MALANGA</v>
      </c>
      <c r="C168" s="130" t="s">
        <v>511</v>
      </c>
      <c r="D168" s="131">
        <f>+BRUNCH!K192</f>
        <v>8196.3294677879985</v>
      </c>
      <c r="E168" s="132">
        <f>+BRUNCH!K193</f>
        <v>31000</v>
      </c>
      <c r="F168" s="132">
        <f t="shared" si="55"/>
        <v>2296.2962962962961</v>
      </c>
      <c r="G168" s="131">
        <f>+Tabla555727951[[#This Row],[VENTA]]-Tabla555727951[[#This Row],[ICO 8%]]</f>
        <v>28703.703703703704</v>
      </c>
      <c r="H168" s="133">
        <f>+Tabla555727951[[#This Row],[COSTO]]/Tabla555727951[[#This Row],[BASE]]</f>
        <v>0.28554954274874317</v>
      </c>
      <c r="I168" s="134">
        <f>+Tabla555727951[[#This Row],[BASE]]/Tabla555727951[[#This Row],[COSTO]]</f>
        <v>3.5020192656372289</v>
      </c>
      <c r="J168" s="135" t="e">
        <f>+VLOOKUP(Tabla555727951[[#This Row],[BRUCH]],#REF!,2,0)</f>
        <v>#REF!</v>
      </c>
      <c r="K168" s="136">
        <f t="shared" si="56"/>
        <v>24837.362023599995</v>
      </c>
      <c r="L168" s="131">
        <f t="shared" si="57"/>
        <v>1839.8045943407403</v>
      </c>
      <c r="M168" s="137">
        <f>+Tabla555727951[[#This Row],[PRECIO SUGERIDO]]+Tabla555727951[[#This Row],[ICO2]]</f>
        <v>26677.166617940737</v>
      </c>
      <c r="N168" s="141"/>
      <c r="O168" s="132">
        <f t="shared" si="58"/>
        <v>0</v>
      </c>
      <c r="P168" s="139">
        <f t="shared" si="59"/>
        <v>0</v>
      </c>
      <c r="Q168" s="133" t="e">
        <f t="shared" si="60"/>
        <v>#DIV/0!</v>
      </c>
      <c r="R168" s="194">
        <f t="shared" si="61"/>
        <v>0</v>
      </c>
      <c r="S168" s="70">
        <f>+Tabla555727951[[#This Row],[VENTA]]*13%+Tabla555727951[[#This Row],[VENTA]]</f>
        <v>35030</v>
      </c>
      <c r="T168" s="270">
        <f>+Tabla555727951[[#This Row],[COSTO]]/Tabla555727951[[#This Row],[Incremento 13%]]</f>
        <v>0.23398028740473875</v>
      </c>
    </row>
    <row r="169" spans="1:20" hidden="1" x14ac:dyDescent="0.25">
      <c r="A169" s="113">
        <v>16</v>
      </c>
      <c r="B169" s="130" t="str">
        <f>+BRUNCH!B262</f>
        <v>MIMOSAS</v>
      </c>
      <c r="C169" s="130" t="s">
        <v>554</v>
      </c>
      <c r="D169" s="131">
        <f>+BRUNCH!K265</f>
        <v>5311.386897421</v>
      </c>
      <c r="E169" s="132">
        <f>+BRUNCH!K266</f>
        <v>23000</v>
      </c>
      <c r="F169" s="132">
        <f t="shared" si="55"/>
        <v>1703.7037037037037</v>
      </c>
      <c r="G169" s="131">
        <f>+Tabla555727951[[#This Row],[VENTA]]-Tabla555727951[[#This Row],[ICO 8%]]</f>
        <v>21296.296296296296</v>
      </c>
      <c r="H169" s="133">
        <f>+Tabla555727951[[#This Row],[COSTO]]/Tabla555727951[[#This Row],[BASE]]</f>
        <v>0.24940425431368174</v>
      </c>
      <c r="I169" s="134">
        <f>+Tabla555727951[[#This Row],[BASE]]/Tabla555727951[[#This Row],[COSTO]]</f>
        <v>4.0095546996655314</v>
      </c>
      <c r="J169" s="135" t="e">
        <f>+VLOOKUP(Tabla555727951[[#This Row],[BRUCH]],#REF!,2,0)</f>
        <v>#REF!</v>
      </c>
      <c r="K169" s="136">
        <f t="shared" si="56"/>
        <v>16095.111810366667</v>
      </c>
      <c r="L169" s="131">
        <f t="shared" si="57"/>
        <v>1192.2305044716047</v>
      </c>
      <c r="M169" s="137">
        <f>+Tabla555727951[[#This Row],[PRECIO SUGERIDO]]+Tabla555727951[[#This Row],[ICO2]]</f>
        <v>17287.342314838272</v>
      </c>
      <c r="N169" s="141"/>
      <c r="O169" s="132">
        <f t="shared" si="58"/>
        <v>0</v>
      </c>
      <c r="P169" s="139">
        <f t="shared" si="59"/>
        <v>0</v>
      </c>
      <c r="Q169" s="133" t="e">
        <f t="shared" si="60"/>
        <v>#DIV/0!</v>
      </c>
      <c r="R169" s="194">
        <f t="shared" si="61"/>
        <v>0</v>
      </c>
      <c r="S169" s="70">
        <f>+Tabla555727951[[#This Row],[VENTA]]*13%+Tabla555727951[[#This Row],[VENTA]]</f>
        <v>25990</v>
      </c>
      <c r="T169" s="270">
        <f>+Tabla555727951[[#This Row],[COSTO]]/Tabla555727951[[#This Row],[Incremento 13%]]</f>
        <v>0.20436271248253174</v>
      </c>
    </row>
    <row r="170" spans="1:20" x14ac:dyDescent="0.25">
      <c r="A170" s="113">
        <v>17</v>
      </c>
      <c r="B170" s="130" t="str">
        <f>+BRUNCH!B321</f>
        <v>CAPUCCINO CON BAILEYS</v>
      </c>
      <c r="C170" s="130"/>
      <c r="D170" s="131">
        <f>+BRUNCH!K324</f>
        <v>6819.7377113580005</v>
      </c>
      <c r="E170" s="132">
        <f>+BRUNCH!K325</f>
        <v>21000</v>
      </c>
      <c r="F170" s="132">
        <f t="shared" si="55"/>
        <v>1555.5555555555554</v>
      </c>
      <c r="G170" s="131">
        <f>+Tabla555727951[[#This Row],[VENTA]]-Tabla555727951[[#This Row],[ICO 8%]]</f>
        <v>19444.444444444445</v>
      </c>
      <c r="H170" s="133">
        <f>+Tabla555727951[[#This Row],[COSTO]]/Tabla555727951[[#This Row],[BASE]]</f>
        <v>0.35072936801269716</v>
      </c>
      <c r="I170" s="134">
        <f>+Tabla555727951[[#This Row],[BASE]]/Tabla555727951[[#This Row],[COSTO]]</f>
        <v>2.8512012143898877</v>
      </c>
      <c r="J170" s="135" t="e">
        <f>+VLOOKUP(Tabla555727951[[#This Row],[BRUCH]],#REF!,2,0)</f>
        <v>#REF!</v>
      </c>
      <c r="K170" s="136">
        <f t="shared" si="56"/>
        <v>20665.871852600001</v>
      </c>
      <c r="L170" s="131">
        <f t="shared" si="57"/>
        <v>1530.8053224148148</v>
      </c>
      <c r="M170" s="137">
        <f>+Tabla555727951[[#This Row],[PRECIO SUGERIDO]]+Tabla555727951[[#This Row],[ICO2]]</f>
        <v>22196.677175014815</v>
      </c>
      <c r="N170" s="141">
        <v>25000</v>
      </c>
      <c r="O170" s="132">
        <f t="shared" si="58"/>
        <v>1851.8518518518517</v>
      </c>
      <c r="P170" s="139">
        <f t="shared" si="59"/>
        <v>23148.14814814815</v>
      </c>
      <c r="Q170" s="133">
        <f t="shared" si="60"/>
        <v>0.29461266913066558</v>
      </c>
      <c r="R170" s="194">
        <f t="shared" si="61"/>
        <v>3.3942871599879618</v>
      </c>
      <c r="S170" s="70">
        <f>+Tabla555727951[[#This Row],[VENTA]]*13%+Tabla555727951[[#This Row],[VENTA]]</f>
        <v>23730</v>
      </c>
      <c r="T170" s="270">
        <f>+Tabla555727951[[#This Row],[COSTO]]/Tabla555727951[[#This Row],[Incremento 13%]]</f>
        <v>0.28738886267838182</v>
      </c>
    </row>
    <row r="171" spans="1:20" x14ac:dyDescent="0.25">
      <c r="A171" s="113">
        <v>18</v>
      </c>
      <c r="B171" s="130" t="str">
        <f>+BRUNCH!B25</f>
        <v>SANDUCHE DE ROAST BEEF</v>
      </c>
      <c r="C171" s="130" t="s">
        <v>510</v>
      </c>
      <c r="D171" s="131">
        <f>+BRUNCH!K28</f>
        <v>13227.717188511528</v>
      </c>
      <c r="E171" s="132">
        <f>+BRUNCH!K29</f>
        <v>33000</v>
      </c>
      <c r="F171" s="132">
        <f t="shared" si="55"/>
        <v>2444.4444444444443</v>
      </c>
      <c r="G171" s="131">
        <f>+Tabla555727951[[#This Row],[VENTA]]-Tabla555727951[[#This Row],[ICO 8%]]</f>
        <v>30555.555555555555</v>
      </c>
      <c r="H171" s="133">
        <f>+Tabla555727951[[#This Row],[COSTO]]/Tabla555727951[[#This Row],[BASE]]</f>
        <v>0.43290710798765003</v>
      </c>
      <c r="I171" s="134">
        <f>+Tabla555727951[[#This Row],[BASE]]/Tabla555727951[[#This Row],[COSTO]]</f>
        <v>2.3099643816163167</v>
      </c>
      <c r="J171" s="135" t="e">
        <f>+VLOOKUP(Tabla555727951[[#This Row],[BRUCH]],#REF!,2,0)</f>
        <v>#REF!</v>
      </c>
      <c r="K171" s="136">
        <f t="shared" si="56"/>
        <v>40083.991480337958</v>
      </c>
      <c r="L171" s="131">
        <f t="shared" si="57"/>
        <v>2969.1845540991076</v>
      </c>
      <c r="M171" s="137">
        <f>+Tabla555727951[[#This Row],[PRECIO SUGERIDO]]+Tabla555727951[[#This Row],[ICO2]]</f>
        <v>43053.176034437063</v>
      </c>
      <c r="N171" s="141">
        <v>46000</v>
      </c>
      <c r="O171" s="132">
        <f t="shared" si="58"/>
        <v>3407.4074074074074</v>
      </c>
      <c r="P171" s="139">
        <f t="shared" si="59"/>
        <v>42592.592592592591</v>
      </c>
      <c r="Q171" s="133">
        <f t="shared" si="60"/>
        <v>0.31056379486070546</v>
      </c>
      <c r="R171" s="194">
        <f t="shared" si="61"/>
        <v>3.2199503501318354</v>
      </c>
      <c r="S171" s="70">
        <f>+Tabla555727951[[#This Row],[VENTA]]*13%+Tabla555727951[[#This Row],[VENTA]]</f>
        <v>37290</v>
      </c>
      <c r="T171" s="270">
        <f>+Tabla555727951[[#This Row],[COSTO]]/Tabla555727951[[#This Row],[Incremento 13%]]</f>
        <v>0.35472558832157491</v>
      </c>
    </row>
    <row r="172" spans="1:20" x14ac:dyDescent="0.25">
      <c r="A172" s="113">
        <v>19</v>
      </c>
      <c r="B172" s="130" t="str">
        <f>+BRUNCH!B171</f>
        <v>MONTADITO DE POSTA</v>
      </c>
      <c r="C172" s="130" t="s">
        <v>505</v>
      </c>
      <c r="D172" s="131">
        <f>+BRUNCH!K174</f>
        <v>11795.39456970525</v>
      </c>
      <c r="E172" s="132">
        <f>+BRUNCH!K175</f>
        <v>32000</v>
      </c>
      <c r="F172" s="132">
        <f t="shared" si="55"/>
        <v>2370.3703703703704</v>
      </c>
      <c r="G172" s="131">
        <f>+Tabla555727951[[#This Row],[VENTA]]-Tabla555727951[[#This Row],[ICO 8%]]</f>
        <v>29629.629629629628</v>
      </c>
      <c r="H172" s="133">
        <f>+Tabla555727951[[#This Row],[COSTO]]/Tabla555727951[[#This Row],[BASE]]</f>
        <v>0.39809456672755222</v>
      </c>
      <c r="I172" s="134">
        <f>+Tabla555727951[[#This Row],[BASE]]/Tabla555727951[[#This Row],[COSTO]]</f>
        <v>2.5119659587928505</v>
      </c>
      <c r="J172" s="135" t="e">
        <f>+VLOOKUP(Tabla555727951[[#This Row],[BRUCH]],#REF!,2,0)</f>
        <v>#REF!</v>
      </c>
      <c r="K172" s="136">
        <f t="shared" si="56"/>
        <v>35743.619908197725</v>
      </c>
      <c r="L172" s="131">
        <f t="shared" si="57"/>
        <v>2647.6755487553869</v>
      </c>
      <c r="M172" s="137">
        <f>+Tabla555727951[[#This Row],[PRECIO SUGERIDO]]+Tabla555727951[[#This Row],[ICO2]]</f>
        <v>38391.295456953114</v>
      </c>
      <c r="N172" s="141">
        <v>41000</v>
      </c>
      <c r="O172" s="132">
        <f t="shared" si="58"/>
        <v>3037.037037037037</v>
      </c>
      <c r="P172" s="139">
        <f t="shared" si="59"/>
        <v>37962.962962962964</v>
      </c>
      <c r="Q172" s="133">
        <f t="shared" si="60"/>
        <v>0.31070795451906513</v>
      </c>
      <c r="R172" s="194">
        <f t="shared" si="61"/>
        <v>3.2184563847033396</v>
      </c>
      <c r="S172" s="70">
        <f>+Tabla555727951[[#This Row],[VENTA]]*13%+Tabla555727951[[#This Row],[VENTA]]</f>
        <v>36160</v>
      </c>
      <c r="T172" s="270">
        <f>+Tabla555727951[[#This Row],[COSTO]]/Tabla555727951[[#This Row],[Incremento 13%]]</f>
        <v>0.32620007106485754</v>
      </c>
    </row>
    <row r="173" spans="1:20" hidden="1" x14ac:dyDescent="0.25">
      <c r="A173" s="113">
        <v>20</v>
      </c>
      <c r="B173" s="130" t="str">
        <f>+BRUNCH!B206</f>
        <v>PANCAKE SALADO Y SALSA DE QUESO</v>
      </c>
      <c r="C173" s="130" t="s">
        <v>552</v>
      </c>
      <c r="D173" s="131">
        <f>+BRUNCH!K209</f>
        <v>6119.2795477905001</v>
      </c>
      <c r="E173" s="132">
        <f>+BRUNCH!K210</f>
        <v>32000</v>
      </c>
      <c r="F173" s="132">
        <f t="shared" si="55"/>
        <v>2370.3703703703704</v>
      </c>
      <c r="G173" s="131">
        <f>+Tabla555727951[[#This Row],[VENTA]]-Tabla555727951[[#This Row],[ICO 8%]]</f>
        <v>29629.629629629628</v>
      </c>
      <c r="H173" s="133">
        <f>+Tabla555727951[[#This Row],[COSTO]]/Tabla555727951[[#This Row],[BASE]]</f>
        <v>0.2065256847379294</v>
      </c>
      <c r="I173" s="134">
        <f>+Tabla555727951[[#This Row],[BASE]]/Tabla555727951[[#This Row],[COSTO]]</f>
        <v>4.8420127562775024</v>
      </c>
      <c r="J173" s="135" t="e">
        <f>+VLOOKUP(Tabla555727951[[#This Row],[BRUCH]],#REF!,2,0)</f>
        <v>#REF!</v>
      </c>
      <c r="K173" s="136">
        <f t="shared" si="56"/>
        <v>18543.27135694091</v>
      </c>
      <c r="L173" s="131">
        <f t="shared" si="57"/>
        <v>1373.5756560696971</v>
      </c>
      <c r="M173" s="137">
        <f>+Tabla555727951[[#This Row],[PRECIO SUGERIDO]]+Tabla555727951[[#This Row],[ICO2]]</f>
        <v>19916.847013010607</v>
      </c>
      <c r="N173" s="141"/>
      <c r="O173" s="132">
        <f t="shared" si="58"/>
        <v>0</v>
      </c>
      <c r="P173" s="139">
        <f t="shared" si="59"/>
        <v>0</v>
      </c>
      <c r="Q173" s="133" t="e">
        <f t="shared" si="60"/>
        <v>#DIV/0!</v>
      </c>
      <c r="R173" s="194">
        <f t="shared" si="61"/>
        <v>0</v>
      </c>
      <c r="S173" s="70">
        <f>+Tabla555727951[[#This Row],[VENTA]]*13%+Tabla555727951[[#This Row],[VENTA]]</f>
        <v>36160</v>
      </c>
      <c r="T173" s="270">
        <f>+Tabla555727951[[#This Row],[COSTO]]/Tabla555727951[[#This Row],[Incremento 13%]]</f>
        <v>0.16922786360040101</v>
      </c>
    </row>
    <row r="174" spans="1:20" hidden="1" x14ac:dyDescent="0.25">
      <c r="A174" s="113">
        <v>21</v>
      </c>
      <c r="B174" s="130" t="str">
        <f>+BRUNCH!B221</f>
        <v xml:space="preserve">PANCAKE SALADO Y MIEL DE MAPLE </v>
      </c>
      <c r="C174" s="130" t="s">
        <v>552</v>
      </c>
      <c r="D174" s="131">
        <f>+BRUNCH!K224</f>
        <v>5646.6737578860002</v>
      </c>
      <c r="E174" s="132">
        <f>+BRUNCH!K225</f>
        <v>32000</v>
      </c>
      <c r="F174" s="132">
        <f t="shared" si="55"/>
        <v>2370.3703703703704</v>
      </c>
      <c r="G174" s="131">
        <f>+Tabla555727951[[#This Row],[VENTA]]-Tabla555727951[[#This Row],[ICO 8%]]</f>
        <v>29629.629629629628</v>
      </c>
      <c r="H174" s="133">
        <f>+Tabla555727951[[#This Row],[COSTO]]/Tabla555727951[[#This Row],[BASE]]</f>
        <v>0.19057523932865253</v>
      </c>
      <c r="I174" s="134">
        <f>+Tabla555727951[[#This Row],[BASE]]/Tabla555727951[[#This Row],[COSTO]]</f>
        <v>5.2472713849015351</v>
      </c>
      <c r="J174" s="135" t="e">
        <f>+VLOOKUP(Tabla555727951[[#This Row],[BRUCH]],#REF!,2,0)</f>
        <v>#REF!</v>
      </c>
      <c r="K174" s="136">
        <f t="shared" si="56"/>
        <v>17111.132599654549</v>
      </c>
      <c r="L174" s="131">
        <f t="shared" si="57"/>
        <v>1267.4913036781147</v>
      </c>
      <c r="M174" s="137">
        <f>+Tabla555727951[[#This Row],[PRECIO SUGERIDO]]+Tabla555727951[[#This Row],[ICO2]]</f>
        <v>18378.623903332664</v>
      </c>
      <c r="N174" s="141"/>
      <c r="O174" s="132">
        <f t="shared" si="58"/>
        <v>0</v>
      </c>
      <c r="P174" s="139">
        <f t="shared" si="59"/>
        <v>0</v>
      </c>
      <c r="Q174" s="133" t="e">
        <f t="shared" si="60"/>
        <v>#DIV/0!</v>
      </c>
      <c r="R174" s="194">
        <f t="shared" si="61"/>
        <v>0</v>
      </c>
      <c r="S174" s="70">
        <f>+Tabla555727951[[#This Row],[VENTA]]*13%+Tabla555727951[[#This Row],[VENTA]]</f>
        <v>36160</v>
      </c>
      <c r="T174" s="270">
        <f>+Tabla555727951[[#This Row],[COSTO]]/Tabla555727951[[#This Row],[Incremento 13%]]</f>
        <v>0.15615801321587389</v>
      </c>
    </row>
    <row r="175" spans="1:20" hidden="1" x14ac:dyDescent="0.25">
      <c r="A175" s="113">
        <v>22</v>
      </c>
      <c r="B175" s="130" t="str">
        <f>+BRUNCH!B273</f>
        <v>MIMOSAS COROZO Y COCO</v>
      </c>
      <c r="C175" s="130" t="s">
        <v>554</v>
      </c>
      <c r="D175" s="131">
        <f>+BRUNCH!K276</f>
        <v>6151.6343548109999</v>
      </c>
      <c r="E175" s="132">
        <f>+BRUNCH!K277</f>
        <v>25000</v>
      </c>
      <c r="F175" s="132">
        <f t="shared" si="55"/>
        <v>1851.8518518518517</v>
      </c>
      <c r="G175" s="131">
        <f>+Tabla555727951[[#This Row],[VENTA]]-Tabla555727951[[#This Row],[ICO 8%]]</f>
        <v>23148.14814814815</v>
      </c>
      <c r="H175" s="133">
        <f>+Tabla555727951[[#This Row],[COSTO]]/Tabla555727951[[#This Row],[BASE]]</f>
        <v>0.26575060412783519</v>
      </c>
      <c r="I175" s="134">
        <f>+Tabla555727951[[#This Row],[BASE]]/Tabla555727951[[#This Row],[COSTO]]</f>
        <v>3.7629265351320353</v>
      </c>
      <c r="J175" s="135" t="e">
        <f>+VLOOKUP(Tabla555727951[[#This Row],[BRUCH]],#REF!,2,0)</f>
        <v>#REF!</v>
      </c>
      <c r="K175" s="136">
        <f t="shared" si="56"/>
        <v>18641.316226700001</v>
      </c>
      <c r="L175" s="131">
        <f t="shared" si="57"/>
        <v>1380.8382390148149</v>
      </c>
      <c r="M175" s="137">
        <f>+Tabla555727951[[#This Row],[PRECIO SUGERIDO]]+Tabla555727951[[#This Row],[ICO2]]</f>
        <v>20022.154465714815</v>
      </c>
      <c r="N175" s="141"/>
      <c r="O175" s="132">
        <f t="shared" si="58"/>
        <v>0</v>
      </c>
      <c r="P175" s="139">
        <f t="shared" si="59"/>
        <v>0</v>
      </c>
      <c r="Q175" s="133" t="e">
        <f t="shared" si="60"/>
        <v>#DIV/0!</v>
      </c>
      <c r="R175" s="194">
        <f t="shared" si="61"/>
        <v>0</v>
      </c>
      <c r="S175" s="70">
        <f>+Tabla555727951[[#This Row],[VENTA]]*13%+Tabla555727951[[#This Row],[VENTA]]</f>
        <v>28250</v>
      </c>
      <c r="T175" s="270">
        <f>+Tabla555727951[[#This Row],[COSTO]]/Tabla555727951[[#This Row],[Incremento 13%]]</f>
        <v>0.21775696831189381</v>
      </c>
    </row>
    <row r="176" spans="1:20" hidden="1" x14ac:dyDescent="0.25">
      <c r="A176" s="113">
        <v>23</v>
      </c>
      <c r="B176" s="130" t="str">
        <f>+BRUNCH!B97</f>
        <v>BOWL DE CEREAL</v>
      </c>
      <c r="C176" s="130" t="s">
        <v>506</v>
      </c>
      <c r="D176" s="131">
        <f>+BRUNCH!K100</f>
        <v>3987.5667768090002</v>
      </c>
      <c r="E176" s="132">
        <f>+BRUNCH!K101</f>
        <v>27000</v>
      </c>
      <c r="F176" s="132">
        <f t="shared" si="55"/>
        <v>2000</v>
      </c>
      <c r="G176" s="131">
        <f>+Tabla555727951[[#This Row],[VENTA]]-Tabla555727951[[#This Row],[ICO 8%]]</f>
        <v>25000</v>
      </c>
      <c r="H176" s="133">
        <f>+Tabla555727951[[#This Row],[COSTO]]/Tabla555727951[[#This Row],[BASE]]</f>
        <v>0.15950267107236002</v>
      </c>
      <c r="I176" s="134">
        <f>+Tabla555727951[[#This Row],[BASE]]/Tabla555727951[[#This Row],[COSTO]]</f>
        <v>6.2694874842963593</v>
      </c>
      <c r="J176" s="135" t="e">
        <f>+VLOOKUP(Tabla555727951[[#This Row],[BRUCH]],#REF!,2,0)</f>
        <v>#REF!</v>
      </c>
      <c r="K176" s="136">
        <f t="shared" si="56"/>
        <v>12083.5356873</v>
      </c>
      <c r="L176" s="131">
        <f t="shared" si="57"/>
        <v>895.0767175777778</v>
      </c>
      <c r="M176" s="137">
        <f>+Tabla555727951[[#This Row],[PRECIO SUGERIDO]]+Tabla555727951[[#This Row],[ICO2]]</f>
        <v>12978.612404877778</v>
      </c>
      <c r="N176" s="141"/>
      <c r="O176" s="132">
        <f t="shared" si="58"/>
        <v>0</v>
      </c>
      <c r="P176" s="139">
        <f t="shared" si="59"/>
        <v>0</v>
      </c>
      <c r="Q176" s="133" t="e">
        <f t="shared" si="60"/>
        <v>#DIV/0!</v>
      </c>
      <c r="R176" s="194">
        <f t="shared" si="61"/>
        <v>0</v>
      </c>
      <c r="S176" s="70">
        <f>+Tabla555727951[[#This Row],[VENTA]]*13%+Tabla555727951[[#This Row],[VENTA]]</f>
        <v>30510</v>
      </c>
      <c r="T176" s="270">
        <f>+Tabla555727951[[#This Row],[COSTO]]/Tabla555727951[[#This Row],[Incremento 13%]]</f>
        <v>0.13069704283215339</v>
      </c>
    </row>
    <row r="177" spans="1:20" hidden="1" x14ac:dyDescent="0.25">
      <c r="A177" s="113">
        <v>24</v>
      </c>
      <c r="B177" s="130" t="str">
        <f>+BRUNCH!B333</f>
        <v>MILO CALIENTE</v>
      </c>
      <c r="C177" s="130"/>
      <c r="D177" s="131">
        <f>+BRUNCH!K336</f>
        <v>4400.2923165299999</v>
      </c>
      <c r="E177" s="132">
        <f>+BRUNCH!K337</f>
        <v>10000</v>
      </c>
      <c r="F177" s="132">
        <f t="shared" si="55"/>
        <v>740.74074074074076</v>
      </c>
      <c r="G177" s="131">
        <f>+Tabla555727951[[#This Row],[VENTA]]-Tabla555727951[[#This Row],[ICO 8%]]</f>
        <v>9259.2592592592591</v>
      </c>
      <c r="H177" s="133">
        <f>+Tabla555727951[[#This Row],[COSTO]]/Tabla555727951[[#This Row],[BASE]]</f>
        <v>0.47523157018523998</v>
      </c>
      <c r="I177" s="134">
        <f>+Tabla555727951[[#This Row],[BASE]]/Tabla555727951[[#This Row],[COSTO]]</f>
        <v>2.1042373081616002</v>
      </c>
      <c r="J177" s="135" t="e">
        <f>+VLOOKUP(Tabla555727951[[#This Row],[BRUCH]],#REF!,2,0)</f>
        <v>#REF!</v>
      </c>
      <c r="K177" s="136">
        <f t="shared" si="56"/>
        <v>13334.219141</v>
      </c>
      <c r="L177" s="131">
        <f t="shared" si="57"/>
        <v>987.71993637037031</v>
      </c>
      <c r="M177" s="137">
        <f>+Tabla555727951[[#This Row],[PRECIO SUGERIDO]]+Tabla555727951[[#This Row],[ICO2]]</f>
        <v>14321.939077370371</v>
      </c>
      <c r="N177" s="141"/>
      <c r="O177" s="132">
        <f t="shared" si="58"/>
        <v>0</v>
      </c>
      <c r="P177" s="139">
        <f t="shared" si="59"/>
        <v>0</v>
      </c>
      <c r="Q177" s="133" t="e">
        <f t="shared" si="60"/>
        <v>#DIV/0!</v>
      </c>
      <c r="R177" s="194">
        <f t="shared" si="61"/>
        <v>0</v>
      </c>
      <c r="S177" s="70">
        <f>+Tabla555727951[[#This Row],[VENTA]]*13%+Tabla555727951[[#This Row],[VENTA]]</f>
        <v>11300</v>
      </c>
      <c r="T177" s="270">
        <f>+Tabla555727951[[#This Row],[COSTO]]/Tabla555727951[[#This Row],[Incremento 13%]]</f>
        <v>0.38940639969292035</v>
      </c>
    </row>
    <row r="178" spans="1:20" hidden="1" x14ac:dyDescent="0.25">
      <c r="A178" s="113">
        <v>25</v>
      </c>
      <c r="B178" s="130" t="str">
        <f>+BRUNCH!B356</f>
        <v>MILO FRIO</v>
      </c>
      <c r="C178" s="200" t="s">
        <v>560</v>
      </c>
      <c r="D178" s="131">
        <f>+BRUNCH!K359</f>
        <v>4400.2923165299999</v>
      </c>
      <c r="E178" s="132">
        <f>+BRUNCH!K360</f>
        <v>10000</v>
      </c>
      <c r="F178" s="132">
        <f t="shared" si="55"/>
        <v>740.74074074074076</v>
      </c>
      <c r="G178" s="131">
        <f>+Tabla555727951[[#This Row],[VENTA]]-Tabla555727951[[#This Row],[ICO 8%]]</f>
        <v>9259.2592592592591</v>
      </c>
      <c r="H178" s="133">
        <f>+Tabla555727951[[#This Row],[COSTO]]/Tabla555727951[[#This Row],[BASE]]</f>
        <v>0.47523157018523998</v>
      </c>
      <c r="I178" s="134">
        <f>+Tabla555727951[[#This Row],[BASE]]/Tabla555727951[[#This Row],[COSTO]]</f>
        <v>2.1042373081616002</v>
      </c>
      <c r="J178" s="135" t="e">
        <f>+VLOOKUP(Tabla555727951[[#This Row],[BRUCH]],#REF!,2,0)</f>
        <v>#REF!</v>
      </c>
      <c r="K178" s="136">
        <f t="shared" si="56"/>
        <v>13334.219141</v>
      </c>
      <c r="L178" s="131">
        <f t="shared" si="57"/>
        <v>987.71993637037031</v>
      </c>
      <c r="M178" s="137">
        <f>+Tabla555727951[[#This Row],[PRECIO SUGERIDO]]+Tabla555727951[[#This Row],[ICO2]]</f>
        <v>14321.939077370371</v>
      </c>
      <c r="N178" s="141"/>
      <c r="O178" s="132">
        <f t="shared" si="58"/>
        <v>0</v>
      </c>
      <c r="P178" s="139">
        <f t="shared" si="59"/>
        <v>0</v>
      </c>
      <c r="Q178" s="133" t="e">
        <f t="shared" si="60"/>
        <v>#DIV/0!</v>
      </c>
      <c r="R178" s="194">
        <f t="shared" si="61"/>
        <v>0</v>
      </c>
      <c r="S178" s="70">
        <f>+Tabla555727951[[#This Row],[VENTA]]*13%+Tabla555727951[[#This Row],[VENTA]]</f>
        <v>11300</v>
      </c>
      <c r="T178" s="270">
        <f>+Tabla555727951[[#This Row],[COSTO]]/Tabla555727951[[#This Row],[Incremento 13%]]</f>
        <v>0.38940639969292035</v>
      </c>
    </row>
    <row r="179" spans="1:20" hidden="1" x14ac:dyDescent="0.25">
      <c r="A179" s="113">
        <v>26</v>
      </c>
      <c r="B179" s="130" t="str">
        <f>+BRUNCH!B333</f>
        <v>MILO CALIENTE</v>
      </c>
      <c r="C179" s="143"/>
      <c r="D179" s="144">
        <f>+BRUNCH!K336</f>
        <v>4400.2923165299999</v>
      </c>
      <c r="E179" s="145">
        <f>+BRUNCH!K337</f>
        <v>10000</v>
      </c>
      <c r="F179" s="145">
        <f t="shared" si="55"/>
        <v>740.74074074074076</v>
      </c>
      <c r="G179" s="144">
        <f>+Tabla555727951[[#This Row],[VENTA]]-Tabla555727951[[#This Row],[ICO 8%]]</f>
        <v>9259.2592592592591</v>
      </c>
      <c r="H179" s="146">
        <f>+Tabla555727951[[#This Row],[COSTO]]/Tabla555727951[[#This Row],[BASE]]</f>
        <v>0.47523157018523998</v>
      </c>
      <c r="I179" s="147">
        <f>+Tabla555727951[[#This Row],[BASE]]/Tabla555727951[[#This Row],[COSTO]]</f>
        <v>2.1042373081616002</v>
      </c>
      <c r="J179" s="135" t="e">
        <f>+VLOOKUP(Tabla555727951[[#This Row],[BRUCH]],#REF!,2,0)</f>
        <v>#REF!</v>
      </c>
      <c r="K179" s="149">
        <f t="shared" si="56"/>
        <v>13334.219141</v>
      </c>
      <c r="L179" s="144">
        <f t="shared" si="57"/>
        <v>987.71993637037031</v>
      </c>
      <c r="M179" s="150">
        <f>+Tabla555727951[[#This Row],[PRECIO SUGERIDO]]+Tabla555727951[[#This Row],[ICO2]]</f>
        <v>14321.939077370371</v>
      </c>
      <c r="N179" s="141"/>
      <c r="O179" s="145">
        <f t="shared" si="58"/>
        <v>0</v>
      </c>
      <c r="P179" s="151">
        <f t="shared" si="59"/>
        <v>0</v>
      </c>
      <c r="Q179" s="146" t="e">
        <f t="shared" si="60"/>
        <v>#DIV/0!</v>
      </c>
      <c r="R179" s="196">
        <f t="shared" si="61"/>
        <v>0</v>
      </c>
      <c r="S179" s="70">
        <f>+Tabla555727951[[#This Row],[VENTA]]*13%+Tabla555727951[[#This Row],[VENTA]]</f>
        <v>11300</v>
      </c>
      <c r="T179" s="270">
        <f>+Tabla555727951[[#This Row],[COSTO]]/Tabla555727951[[#This Row],[Incremento 13%]]</f>
        <v>0.38940639969292035</v>
      </c>
    </row>
    <row r="180" spans="1:20" x14ac:dyDescent="0.25">
      <c r="A180" s="113">
        <v>27</v>
      </c>
      <c r="B180" s="130" t="str">
        <f>+BRUNCH!B385</f>
        <v xml:space="preserve">HUEVOS GRATINADOS </v>
      </c>
      <c r="C180" s="130" t="s">
        <v>916</v>
      </c>
      <c r="D180" s="131">
        <f>+BRUNCH!K388</f>
        <v>10848.378710334002</v>
      </c>
      <c r="E180" s="132">
        <f>+BRUNCH!K389</f>
        <v>28000</v>
      </c>
      <c r="F180" s="132">
        <f>+E180/1.08*0.08</f>
        <v>2074.0740740740739</v>
      </c>
      <c r="G180" s="131">
        <f>+Tabla555727951[[#This Row],[VENTA]]-Tabla555727951[[#This Row],[ICO 8%]]</f>
        <v>25925.925925925927</v>
      </c>
      <c r="H180" s="133">
        <f>+Tabla555727951[[#This Row],[COSTO]]/Tabla555727951[[#This Row],[BASE]]</f>
        <v>0.41843746454145436</v>
      </c>
      <c r="I180" s="134">
        <f>+Tabla555727951[[#This Row],[BASE]]/Tabla555727951[[#This Row],[COSTO]]</f>
        <v>2.3898433690583905</v>
      </c>
      <c r="J180" s="135" t="e">
        <f>+VLOOKUP(Tabla555727951[[#This Row],[BRUCH]],#REF!,2,0)</f>
        <v>#REF!</v>
      </c>
      <c r="K180" s="136">
        <f>+D180/(100-67)*100</f>
        <v>32873.874879800009</v>
      </c>
      <c r="L180" s="131">
        <f>+K180/1.08*0.08</f>
        <v>2435.1018429481487</v>
      </c>
      <c r="M180" s="137">
        <f>+Tabla555727951[[#This Row],[PRECIO SUGERIDO]]+Tabla555727951[[#This Row],[ICO2]]</f>
        <v>35308.976722748157</v>
      </c>
      <c r="N180" s="141">
        <v>38500</v>
      </c>
      <c r="O180" s="132">
        <f>+N180/1.08*0.08</f>
        <v>2851.8518518518517</v>
      </c>
      <c r="P180" s="139">
        <f>+N180-O180</f>
        <v>35648.148148148146</v>
      </c>
      <c r="Q180" s="133">
        <f>+D180/P180</f>
        <v>0.30431815603014867</v>
      </c>
      <c r="R180" s="194">
        <f>+P180/D180</f>
        <v>3.2860346324552863</v>
      </c>
      <c r="S180" s="70">
        <f>+Tabla555727951[[#This Row],[VENTA]]*13%+Tabla555727951[[#This Row],[VENTA]]</f>
        <v>31640</v>
      </c>
      <c r="T180" s="270">
        <f>+Tabla555727951[[#This Row],[COSTO]]/Tabla555727951[[#This Row],[Incremento 13%]]</f>
        <v>0.34286911221030347</v>
      </c>
    </row>
    <row r="181" spans="1:20" x14ac:dyDescent="0.25">
      <c r="A181" s="113">
        <v>28</v>
      </c>
      <c r="B181" s="130" t="str">
        <f>+BRUNCH!B407</f>
        <v xml:space="preserve">BENEDICTINO ARREBATADO </v>
      </c>
      <c r="C181" s="130" t="s">
        <v>913</v>
      </c>
      <c r="D181" s="131">
        <f>+BRUNCH!K410</f>
        <v>9682.5555345640005</v>
      </c>
      <c r="E181" s="132">
        <f>+BRUNCH!K411</f>
        <v>28000</v>
      </c>
      <c r="F181" s="132">
        <f t="shared" ref="F181:F184" si="62">+E181/1.08*0.08</f>
        <v>2074.0740740740739</v>
      </c>
      <c r="G181" s="131">
        <f>+Tabla555727951[[#This Row],[VENTA]]-Tabla555727951[[#This Row],[ICO 8%]]</f>
        <v>25925.925925925927</v>
      </c>
      <c r="H181" s="133">
        <f>+Tabla555727951[[#This Row],[COSTO]]/Tabla555727951[[#This Row],[BASE]]</f>
        <v>0.3734699991903257</v>
      </c>
      <c r="I181" s="134">
        <f>+Tabla555727951[[#This Row],[BASE]]/Tabla555727951[[#This Row],[COSTO]]</f>
        <v>2.6775912447264218</v>
      </c>
      <c r="J181" s="135" t="e">
        <f>+VLOOKUP(Tabla555727951[[#This Row],[BRUCH]],#REF!,2,0)</f>
        <v>#REF!</v>
      </c>
      <c r="K181" s="136">
        <f t="shared" ref="K181:K184" si="63">+D181/(100-67)*100</f>
        <v>29341.077377466667</v>
      </c>
      <c r="L181" s="131">
        <f t="shared" ref="L181:L184" si="64">+K181/1.08*0.08</f>
        <v>2173.4131390716047</v>
      </c>
      <c r="M181" s="137">
        <f>+Tabla555727951[[#This Row],[PRECIO SUGERIDO]]+Tabla555727951[[#This Row],[ICO2]]</f>
        <v>31514.490516538273</v>
      </c>
      <c r="N181" s="141">
        <v>34500</v>
      </c>
      <c r="O181" s="132">
        <f t="shared" ref="O181:O184" si="65">+N181/1.08*0.08</f>
        <v>2555.5555555555552</v>
      </c>
      <c r="P181" s="139">
        <f t="shared" ref="P181:P184" si="66">+N181-O181</f>
        <v>31944.444444444445</v>
      </c>
      <c r="Q181" s="133">
        <f t="shared" ref="Q181:Q184" si="67">+D181/P181</f>
        <v>0.30310608629939478</v>
      </c>
      <c r="R181" s="194">
        <f t="shared" ref="R181:R184" si="68">+P181/D181</f>
        <v>3.2991749265379124</v>
      </c>
      <c r="S181" s="70">
        <f>+Tabla555727951[[#This Row],[VENTA]]*13%+Tabla555727951[[#This Row],[VENTA]]</f>
        <v>31640</v>
      </c>
      <c r="T181" s="270">
        <f>+Tabla555727951[[#This Row],[COSTO]]/Tabla555727951[[#This Row],[Incremento 13%]]</f>
        <v>0.30602261487243998</v>
      </c>
    </row>
    <row r="182" spans="1:20" hidden="1" x14ac:dyDescent="0.25">
      <c r="A182" s="113">
        <v>29</v>
      </c>
      <c r="B182" s="130" t="str">
        <f>+BRUNCH!B423</f>
        <v>SANDUCHE DE HUEVO</v>
      </c>
      <c r="C182" s="130" t="s">
        <v>912</v>
      </c>
      <c r="D182" s="131">
        <f>+BRUNCH!K426</f>
        <v>7783.910257552001</v>
      </c>
      <c r="E182" s="132">
        <f>+BRUNCH!K411</f>
        <v>28000</v>
      </c>
      <c r="F182" s="132">
        <f t="shared" si="62"/>
        <v>2074.0740740740739</v>
      </c>
      <c r="G182" s="131">
        <f>+Tabla555727951[[#This Row],[VENTA]]-Tabla555727951[[#This Row],[ICO 8%]]</f>
        <v>25925.925925925927</v>
      </c>
      <c r="H182" s="133">
        <f>+Tabla555727951[[#This Row],[COSTO]]/Tabla555727951[[#This Row],[BASE]]</f>
        <v>0.30023653850557719</v>
      </c>
      <c r="I182" s="134">
        <f>+Tabla555727951[[#This Row],[BASE]]/Tabla555727951[[#This Row],[COSTO]]</f>
        <v>3.3307071983226453</v>
      </c>
      <c r="J182" s="135" t="e">
        <f>+VLOOKUP(Tabla555727951[[#This Row],[BRUCH]],#REF!,2,0)</f>
        <v>#REF!</v>
      </c>
      <c r="K182" s="136">
        <f t="shared" si="63"/>
        <v>23587.60684106667</v>
      </c>
      <c r="L182" s="131">
        <f t="shared" si="64"/>
        <v>1747.2301363753088</v>
      </c>
      <c r="M182" s="137">
        <f>+Tabla555727951[[#This Row],[PRECIO SUGERIDO]]+Tabla555727951[[#This Row],[ICO2]]</f>
        <v>25334.836977441981</v>
      </c>
      <c r="N182" s="141"/>
      <c r="O182" s="132">
        <f t="shared" si="65"/>
        <v>0</v>
      </c>
      <c r="P182" s="139">
        <f t="shared" si="66"/>
        <v>0</v>
      </c>
      <c r="Q182" s="133" t="e">
        <f t="shared" si="67"/>
        <v>#DIV/0!</v>
      </c>
      <c r="R182" s="194">
        <f t="shared" si="68"/>
        <v>0</v>
      </c>
      <c r="S182" s="70">
        <f>+Tabla555727951[[#This Row],[VENTA]]*13%+Tabla555727951[[#This Row],[VENTA]]</f>
        <v>31640</v>
      </c>
      <c r="T182" s="270">
        <f>+Tabla555727951[[#This Row],[COSTO]]/Tabla555727951[[#This Row],[Incremento 13%]]</f>
        <v>0.24601486275448803</v>
      </c>
    </row>
    <row r="183" spans="1:20" x14ac:dyDescent="0.25">
      <c r="A183" s="113">
        <v>30</v>
      </c>
      <c r="B183" s="130" t="str">
        <f>+BRUNCH!B438</f>
        <v>BURRATA MALANGA</v>
      </c>
      <c r="C183" s="130" t="s">
        <v>914</v>
      </c>
      <c r="D183" s="131">
        <f>+BRUNCH!K441</f>
        <v>15694.835742707</v>
      </c>
      <c r="E183" s="132">
        <f>+BRUNCH!K442</f>
        <v>37000</v>
      </c>
      <c r="F183" s="132">
        <f t="shared" si="62"/>
        <v>2740.7407407407404</v>
      </c>
      <c r="G183" s="131">
        <f>+Tabla555727951[[#This Row],[VENTA]]-Tabla555727951[[#This Row],[ICO 8%]]</f>
        <v>34259.259259259263</v>
      </c>
      <c r="H183" s="133">
        <f>+Tabla555727951[[#This Row],[COSTO]]/Tabla555727951[[#This Row],[BASE]]</f>
        <v>0.45811952978712323</v>
      </c>
      <c r="I183" s="134">
        <f>+Tabla555727951[[#This Row],[BASE]]/Tabla555727951[[#This Row],[COSTO]]</f>
        <v>2.182836432370991</v>
      </c>
      <c r="J183" s="135" t="e">
        <f>+VLOOKUP(Tabla555727951[[#This Row],[BRUCH]],#REF!,2,0)</f>
        <v>#REF!</v>
      </c>
      <c r="K183" s="136">
        <f t="shared" si="63"/>
        <v>47560.108311233336</v>
      </c>
      <c r="L183" s="131">
        <f t="shared" si="64"/>
        <v>3522.9709860172838</v>
      </c>
      <c r="M183" s="137">
        <f>+Tabla555727951[[#This Row],[PRECIO SUGERIDO]]+Tabla555727951[[#This Row],[ICO2]]</f>
        <v>51083.079297250617</v>
      </c>
      <c r="N183" s="141">
        <v>54000</v>
      </c>
      <c r="O183" s="132">
        <f t="shared" si="65"/>
        <v>4000</v>
      </c>
      <c r="P183" s="139">
        <f t="shared" si="66"/>
        <v>50000</v>
      </c>
      <c r="Q183" s="133">
        <f t="shared" si="67"/>
        <v>0.31389671485414</v>
      </c>
      <c r="R183" s="194">
        <f t="shared" si="68"/>
        <v>3.1857612796765813</v>
      </c>
      <c r="S183" s="70">
        <f>+Tabla555727951[[#This Row],[VENTA]]*13%+Tabla555727951[[#This Row],[VENTA]]</f>
        <v>41810</v>
      </c>
      <c r="T183" s="270">
        <f>+Tabla555727951[[#This Row],[COSTO]]/Tabla555727951[[#This Row],[Incremento 13%]]</f>
        <v>0.3753847343388424</v>
      </c>
    </row>
    <row r="184" spans="1:20" ht="13.8" thickBot="1" x14ac:dyDescent="0.3">
      <c r="A184" s="113">
        <v>31</v>
      </c>
      <c r="B184" s="130" t="str">
        <f>+BRUNCH!B454</f>
        <v>CORAL MALANGA</v>
      </c>
      <c r="C184" s="130" t="s">
        <v>915</v>
      </c>
      <c r="D184" s="131">
        <f>+BRUNCH!K457</f>
        <v>10064.795246253001</v>
      </c>
      <c r="E184" s="132">
        <f>+BRUNCH!K458</f>
        <v>27000</v>
      </c>
      <c r="F184" s="132">
        <f t="shared" si="62"/>
        <v>2000</v>
      </c>
      <c r="G184" s="131">
        <f>+Tabla555727951[[#This Row],[VENTA]]-Tabla555727951[[#This Row],[ICO 8%]]</f>
        <v>25000</v>
      </c>
      <c r="H184" s="133">
        <f>+Tabla555727951[[#This Row],[COSTO]]/Tabla555727951[[#This Row],[BASE]]</f>
        <v>0.40259180985012005</v>
      </c>
      <c r="I184" s="134">
        <f>+Tabla555727951[[#This Row],[BASE]]/Tabla555727951[[#This Row],[COSTO]]</f>
        <v>2.4839054733187136</v>
      </c>
      <c r="J184" s="135" t="e">
        <f>+VLOOKUP(Tabla555727951[[#This Row],[BRUCH]],#REF!,2,0)</f>
        <v>#REF!</v>
      </c>
      <c r="K184" s="136">
        <f t="shared" si="63"/>
        <v>30499.3795341</v>
      </c>
      <c r="L184" s="131">
        <f t="shared" si="64"/>
        <v>2259.213298822222</v>
      </c>
      <c r="M184" s="137">
        <f>+Tabla555727951[[#This Row],[PRECIO SUGERIDO]]+Tabla555727951[[#This Row],[ICO2]]</f>
        <v>32758.592832922222</v>
      </c>
      <c r="N184" s="141">
        <v>36000</v>
      </c>
      <c r="O184" s="132">
        <f t="shared" si="65"/>
        <v>2666.6666666666665</v>
      </c>
      <c r="P184" s="139">
        <f t="shared" si="66"/>
        <v>33333.333333333336</v>
      </c>
      <c r="Q184" s="133">
        <f t="shared" si="67"/>
        <v>0.30194385738759</v>
      </c>
      <c r="R184" s="194">
        <f t="shared" si="68"/>
        <v>3.3118739644249517</v>
      </c>
      <c r="S184" s="70">
        <f>+Tabla555727951[[#This Row],[VENTA]]*13%+Tabla555727951[[#This Row],[VENTA]]</f>
        <v>30510</v>
      </c>
      <c r="T184" s="270">
        <f>+Tabla555727951[[#This Row],[COSTO]]/Tabla555727951[[#This Row],[Incremento 13%]]</f>
        <v>0.32988512770412981</v>
      </c>
    </row>
    <row r="185" spans="1:20" ht="13.8" thickBot="1" x14ac:dyDescent="0.3">
      <c r="B185" s="153" t="s">
        <v>35</v>
      </c>
      <c r="C185" s="181"/>
      <c r="D185" s="155"/>
      <c r="E185" s="156"/>
      <c r="F185" s="156"/>
      <c r="G185" s="155"/>
      <c r="H185" s="158">
        <f>SUBTOTAL(101,Tabla555727951[%])</f>
        <v>0.3969549645751787</v>
      </c>
      <c r="I185" s="156"/>
      <c r="J185" s="156" t="e">
        <f>SUBTOTAL(109,Tabla555727951[ROTACION])</f>
        <v>#REF!</v>
      </c>
      <c r="K185" s="159"/>
      <c r="L185" s="155"/>
      <c r="M185" s="156"/>
      <c r="N185" s="160"/>
      <c r="O185" s="156"/>
      <c r="P185" s="155"/>
      <c r="Q185" s="161"/>
      <c r="R185" s="198">
        <f>SUBTOTAL(103,Tabla555727951[RATION])</f>
        <v>11</v>
      </c>
      <c r="S185" s="232"/>
      <c r="T185" s="274"/>
    </row>
    <row r="187" spans="1:20" s="242" customFormat="1" x14ac:dyDescent="0.25">
      <c r="A187" s="241"/>
      <c r="C187" s="243"/>
      <c r="D187" s="244"/>
      <c r="E187" s="245"/>
      <c r="G187" s="243"/>
      <c r="I187" s="246"/>
      <c r="K187" s="244"/>
      <c r="M187" s="244"/>
      <c r="N187" s="244"/>
      <c r="O187" s="244"/>
      <c r="P187" s="247"/>
      <c r="Q187" s="247"/>
      <c r="R187" s="248"/>
      <c r="S187" s="244"/>
      <c r="T187" s="277"/>
    </row>
    <row r="188" spans="1:20" x14ac:dyDescent="0.25">
      <c r="E188" s="117" t="s">
        <v>25</v>
      </c>
      <c r="F188" s="114"/>
      <c r="G188" s="118"/>
      <c r="H188" s="114"/>
      <c r="I188" s="114"/>
      <c r="J188" s="70"/>
      <c r="K188" s="396" t="s">
        <v>29</v>
      </c>
      <c r="L188" s="396"/>
      <c r="M188" s="396"/>
      <c r="N188" s="395" t="s">
        <v>1090</v>
      </c>
      <c r="O188" s="395"/>
      <c r="P188" s="395"/>
      <c r="Q188" s="395"/>
    </row>
    <row r="189" spans="1:20" x14ac:dyDescent="0.25">
      <c r="B189" s="183" t="s">
        <v>583</v>
      </c>
      <c r="C189" s="184" t="s">
        <v>316</v>
      </c>
      <c r="D189" s="185" t="s">
        <v>7</v>
      </c>
      <c r="E189" s="186" t="s">
        <v>20</v>
      </c>
      <c r="F189" s="187" t="s">
        <v>33</v>
      </c>
      <c r="G189" s="185" t="s">
        <v>26</v>
      </c>
      <c r="H189" s="188" t="s">
        <v>21</v>
      </c>
      <c r="I189" s="189" t="s">
        <v>22</v>
      </c>
      <c r="J189" s="189" t="s">
        <v>23</v>
      </c>
      <c r="K189" s="189" t="s">
        <v>27</v>
      </c>
      <c r="L189" s="185" t="s">
        <v>32</v>
      </c>
      <c r="M189" s="189" t="s">
        <v>28</v>
      </c>
      <c r="N189" s="190" t="s">
        <v>30</v>
      </c>
      <c r="O189" s="185" t="s">
        <v>34</v>
      </c>
      <c r="P189" s="185" t="s">
        <v>25</v>
      </c>
      <c r="Q189" s="191" t="s">
        <v>31</v>
      </c>
      <c r="R189" s="192" t="s">
        <v>24</v>
      </c>
      <c r="S189" s="234" t="s">
        <v>1262</v>
      </c>
      <c r="T189" s="276" t="s">
        <v>1263</v>
      </c>
    </row>
    <row r="190" spans="1:20" x14ac:dyDescent="0.25">
      <c r="A190" s="113">
        <v>1</v>
      </c>
      <c r="B190" s="130" t="str">
        <f>+'COCTELES TRADICIONALES'!B7</f>
        <v xml:space="preserve">MARGARITA DE MANGO BICHE </v>
      </c>
      <c r="C190" s="130" t="s">
        <v>525</v>
      </c>
      <c r="D190" s="131">
        <f>+'COCTELES TRADICIONALES'!K10</f>
        <v>12091.659923821499</v>
      </c>
      <c r="E190" s="132">
        <f>+'COCTELES TRADICIONALES'!K11</f>
        <v>43500</v>
      </c>
      <c r="F190" s="132">
        <f t="shared" ref="F190:F199" si="69">+E190/1.08*0.08</f>
        <v>3222.2222222222222</v>
      </c>
      <c r="G190" s="131">
        <f>+Tabla55572795152[[#This Row],[VENTA]]-Tabla55572795152[[#This Row],[ICO 8%]]</f>
        <v>40277.777777777781</v>
      </c>
      <c r="H190" s="133">
        <f>+Tabla55572795152[[#This Row],[COSTO]]/Tabla55572795152[[#This Row],[BASE]]</f>
        <v>0.30020672914315444</v>
      </c>
      <c r="I190" s="134">
        <f>+Tabla55572795152[[#This Row],[BASE]]/Tabla55572795152[[#This Row],[COSTO]]</f>
        <v>3.3310379246134327</v>
      </c>
      <c r="J190" s="135" t="e">
        <f>+VLOOKUP(Tabla55572795152[[#This Row],[COCTELES TRADICIONALES]],#REF!,2,0)</f>
        <v>#REF!</v>
      </c>
      <c r="K190" s="136">
        <f t="shared" ref="K190:K200" si="70">+D190/(100-75)*100</f>
        <v>48366.639695285994</v>
      </c>
      <c r="L190" s="131">
        <f t="shared" ref="L190:L200" si="71">+K190/1.08*0.08</f>
        <v>3582.7140515026658</v>
      </c>
      <c r="M190" s="137">
        <f>+Tabla55572795152[[#This Row],[PRECIO SUGERIDO]]+Tabla55572795152[[#This Row],[ICO2]]</f>
        <v>51949.353746788664</v>
      </c>
      <c r="N190" s="310">
        <v>41500</v>
      </c>
      <c r="O190" s="132">
        <f t="shared" ref="O190:O200" si="72">+N190/1.08*0.08</f>
        <v>3074.0740740740744</v>
      </c>
      <c r="P190" s="131">
        <f t="shared" ref="P190:P200" si="73">+N190-O190</f>
        <v>38425.925925925927</v>
      </c>
      <c r="Q190" s="133">
        <f t="shared" ref="Q190:Q200" si="74">+D190/P190</f>
        <v>0.31467452331872814</v>
      </c>
      <c r="R190" s="194">
        <f t="shared" ref="R190:R200" si="75">+P190/D190</f>
        <v>3.1778867556656882</v>
      </c>
      <c r="S190" s="62">
        <v>47000</v>
      </c>
      <c r="T190" s="272">
        <f>+Tabla55572795152[[#This Row],[COSTO]]/Tabla55572795152[[#This Row],[Incremento 13%]]</f>
        <v>0.25726936008130846</v>
      </c>
    </row>
    <row r="191" spans="1:20" x14ac:dyDescent="0.25">
      <c r="A191" s="113">
        <v>2</v>
      </c>
      <c r="B191" s="130" t="str">
        <f>+'COCTELES TRADICIONALES'!B17</f>
        <v>MARGARITA TRADICIONAL</v>
      </c>
      <c r="C191" s="130" t="s">
        <v>523</v>
      </c>
      <c r="D191" s="131">
        <f>+'COCTELES TRADICIONALES'!K20</f>
        <v>10529.80463689</v>
      </c>
      <c r="E191" s="132">
        <f>+'COCTELES TRADICIONALES'!K21</f>
        <v>41500</v>
      </c>
      <c r="F191" s="132">
        <f t="shared" si="69"/>
        <v>3074.0740740740744</v>
      </c>
      <c r="G191" s="131">
        <f>+Tabla55572795152[[#This Row],[VENTA]]-Tabla55572795152[[#This Row],[ICO 8%]]</f>
        <v>38425.925925925927</v>
      </c>
      <c r="H191" s="133">
        <f>+Tabla55572795152[[#This Row],[COSTO]]/Tabla55572795152[[#This Row],[BASE]]</f>
        <v>0.27402865079135419</v>
      </c>
      <c r="I191" s="134">
        <f>+Tabla55572795152[[#This Row],[BASE]]/Tabla55572795152[[#This Row],[COSTO]]</f>
        <v>3.6492534525574167</v>
      </c>
      <c r="J191" s="135" t="e">
        <f>+VLOOKUP(Tabla55572795152[[#This Row],[COCTELES TRADICIONALES]],#REF!,2,0)</f>
        <v>#REF!</v>
      </c>
      <c r="K191" s="136">
        <f t="shared" si="70"/>
        <v>42119.218547559998</v>
      </c>
      <c r="L191" s="131">
        <f t="shared" si="71"/>
        <v>3119.9421146340737</v>
      </c>
      <c r="M191" s="137">
        <f>+Tabla55572795152[[#This Row],[PRECIO SUGERIDO]]+Tabla55572795152[[#This Row],[ICO2]]</f>
        <v>45239.160662194074</v>
      </c>
      <c r="N191" s="310">
        <v>41500</v>
      </c>
      <c r="O191" s="132">
        <f t="shared" si="72"/>
        <v>3074.0740740740744</v>
      </c>
      <c r="P191" s="131">
        <f t="shared" si="73"/>
        <v>38425.925925925927</v>
      </c>
      <c r="Q191" s="133">
        <f t="shared" si="74"/>
        <v>0.27402865079135419</v>
      </c>
      <c r="R191" s="194">
        <f t="shared" si="75"/>
        <v>3.6492534525574167</v>
      </c>
      <c r="S191" s="62">
        <v>43000</v>
      </c>
      <c r="T191" s="272">
        <f>+Tabla55572795152[[#This Row],[COSTO]]/Tabla55572795152[[#This Row],[Incremento 13%]]</f>
        <v>0.24487917760209302</v>
      </c>
    </row>
    <row r="192" spans="1:20" x14ac:dyDescent="0.25">
      <c r="A192" s="113">
        <v>3</v>
      </c>
      <c r="B192" s="130" t="str">
        <f>+'COCTELES TRADICIONALES'!B52</f>
        <v>MOJITO CUBANO</v>
      </c>
      <c r="C192" s="130" t="s">
        <v>521</v>
      </c>
      <c r="D192" s="131">
        <f>+'COCTELES TRADICIONALES'!K55</f>
        <v>7059.7390776549992</v>
      </c>
      <c r="E192" s="132">
        <f>+'COCTELES TRADICIONALES'!K56</f>
        <v>38500</v>
      </c>
      <c r="F192" s="132">
        <f t="shared" si="69"/>
        <v>2851.8518518518517</v>
      </c>
      <c r="G192" s="131">
        <f>+Tabla55572795152[[#This Row],[VENTA]]-Tabla55572795152[[#This Row],[ICO 8%]]</f>
        <v>35648.148148148146</v>
      </c>
      <c r="H192" s="133">
        <f>+Tabla55572795152[[#This Row],[COSTO]]/Tabla55572795152[[#This Row],[BASE]]</f>
        <v>0.19803943386668571</v>
      </c>
      <c r="I192" s="134">
        <f>+Tabla55572795152[[#This Row],[BASE]]/Tabla55572795152[[#This Row],[COSTO]]</f>
        <v>5.0494993874460903</v>
      </c>
      <c r="J192" s="135" t="e">
        <f>+VLOOKUP(Tabla55572795152[[#This Row],[COCTELES TRADICIONALES]],#REF!,2,0)</f>
        <v>#REF!</v>
      </c>
      <c r="K192" s="136">
        <f t="shared" si="70"/>
        <v>28238.956310619993</v>
      </c>
      <c r="L192" s="131">
        <f t="shared" si="71"/>
        <v>2091.7745415274067</v>
      </c>
      <c r="M192" s="137">
        <f>+Tabla55572795152[[#This Row],[PRECIO SUGERIDO]]+Tabla55572795152[[#This Row],[ICO2]]</f>
        <v>30330.730852147401</v>
      </c>
      <c r="N192" s="310">
        <v>38500</v>
      </c>
      <c r="O192" s="132">
        <f t="shared" si="72"/>
        <v>2851.8518518518517</v>
      </c>
      <c r="P192" s="131">
        <f t="shared" si="73"/>
        <v>35648.148148148146</v>
      </c>
      <c r="Q192" s="133">
        <f t="shared" si="74"/>
        <v>0.19803943386668571</v>
      </c>
      <c r="R192" s="194">
        <f t="shared" si="75"/>
        <v>5.0494993874460903</v>
      </c>
      <c r="S192" s="62">
        <v>40000</v>
      </c>
      <c r="T192" s="272">
        <f>+Tabla55572795152[[#This Row],[COSTO]]/Tabla55572795152[[#This Row],[Incremento 13%]]</f>
        <v>0.17649347694137499</v>
      </c>
    </row>
    <row r="193" spans="1:20" x14ac:dyDescent="0.25">
      <c r="A193" s="113">
        <v>4</v>
      </c>
      <c r="B193" s="130" t="str">
        <f>+'COCTELES TRADICIONALES'!B28</f>
        <v>MOSCOW MULE</v>
      </c>
      <c r="C193" s="130" t="s">
        <v>520</v>
      </c>
      <c r="D193" s="131">
        <f>+'COCTELES TRADICIONALES'!K31</f>
        <v>8787.4828783169996</v>
      </c>
      <c r="E193" s="132">
        <f>+'COCTELES TRADICIONALES'!K32</f>
        <v>40500</v>
      </c>
      <c r="F193" s="132">
        <f t="shared" si="69"/>
        <v>3000</v>
      </c>
      <c r="G193" s="131">
        <f>+Tabla55572795152[[#This Row],[VENTA]]-Tabla55572795152[[#This Row],[ICO 8%]]</f>
        <v>37500</v>
      </c>
      <c r="H193" s="133">
        <f>+Tabla55572795152[[#This Row],[COSTO]]/Tabla55572795152[[#This Row],[BASE]]</f>
        <v>0.23433287675511999</v>
      </c>
      <c r="I193" s="134">
        <f>+Tabla55572795152[[#This Row],[BASE]]/Tabla55572795152[[#This Row],[COSTO]]</f>
        <v>4.2674336347818969</v>
      </c>
      <c r="J193" s="135" t="e">
        <f>+VLOOKUP(Tabla55572795152[[#This Row],[COCTELES TRADICIONALES]],#REF!,2,0)</f>
        <v>#REF!</v>
      </c>
      <c r="K193" s="136">
        <f t="shared" si="70"/>
        <v>35149.931513267999</v>
      </c>
      <c r="L193" s="131">
        <f t="shared" si="71"/>
        <v>2603.6986306124445</v>
      </c>
      <c r="M193" s="137">
        <f>+Tabla55572795152[[#This Row],[PRECIO SUGERIDO]]+Tabla55572795152[[#This Row],[ICO2]]</f>
        <v>37753.630143880444</v>
      </c>
      <c r="N193" s="310">
        <v>40500</v>
      </c>
      <c r="O193" s="132">
        <f t="shared" si="72"/>
        <v>3000</v>
      </c>
      <c r="P193" s="131">
        <f t="shared" si="73"/>
        <v>37500</v>
      </c>
      <c r="Q193" s="133">
        <f t="shared" si="74"/>
        <v>0.23433287675511999</v>
      </c>
      <c r="R193" s="194">
        <f t="shared" si="75"/>
        <v>4.2674336347818969</v>
      </c>
      <c r="S193" s="62">
        <v>43000</v>
      </c>
      <c r="T193" s="272">
        <f>+Tabla55572795152[[#This Row],[COSTO]]/Tabla55572795152[[#This Row],[Incremento 13%]]</f>
        <v>0.20436006693760464</v>
      </c>
    </row>
    <row r="194" spans="1:20" x14ac:dyDescent="0.25">
      <c r="A194" s="113">
        <v>5</v>
      </c>
      <c r="B194" s="130" t="str">
        <f>+'COCTELES TRADICIONALES'!B64</f>
        <v>COROZO MULE</v>
      </c>
      <c r="C194" s="130" t="s">
        <v>524</v>
      </c>
      <c r="D194" s="131">
        <f>+'COCTELES TRADICIONALES'!K67</f>
        <v>11591.026035220499</v>
      </c>
      <c r="E194" s="132">
        <f>+'COCTELES TRADICIONALES'!K68</f>
        <v>43500</v>
      </c>
      <c r="F194" s="132">
        <f t="shared" si="69"/>
        <v>3222.2222222222222</v>
      </c>
      <c r="G194" s="131">
        <f>+Tabla55572795152[[#This Row],[VENTA]]-Tabla55572795152[[#This Row],[ICO 8%]]</f>
        <v>40277.777777777781</v>
      </c>
      <c r="H194" s="133">
        <f>+Tabla55572795152[[#This Row],[COSTO]]/Tabla55572795152[[#This Row],[BASE]]</f>
        <v>0.28777719811581925</v>
      </c>
      <c r="I194" s="134">
        <f>+Tabla55572795152[[#This Row],[BASE]]/Tabla55572795152[[#This Row],[COSTO]]</f>
        <v>3.474910474309151</v>
      </c>
      <c r="J194" s="135" t="e">
        <f>+VLOOKUP(Tabla55572795152[[#This Row],[COCTELES TRADICIONALES]],#REF!,2,0)</f>
        <v>#REF!</v>
      </c>
      <c r="K194" s="136">
        <f t="shared" si="70"/>
        <v>46364.104140881995</v>
      </c>
      <c r="L194" s="131">
        <f t="shared" si="71"/>
        <v>3434.3780845097772</v>
      </c>
      <c r="M194" s="137">
        <f>+Tabla55572795152[[#This Row],[PRECIO SUGERIDO]]+Tabla55572795152[[#This Row],[ICO2]]</f>
        <v>49798.482225391774</v>
      </c>
      <c r="N194" s="310">
        <v>43500</v>
      </c>
      <c r="O194" s="132">
        <f t="shared" si="72"/>
        <v>3222.2222222222222</v>
      </c>
      <c r="P194" s="131">
        <f t="shared" si="73"/>
        <v>40277.777777777781</v>
      </c>
      <c r="Q194" s="133">
        <f t="shared" si="74"/>
        <v>0.28777719811581925</v>
      </c>
      <c r="R194" s="194">
        <f t="shared" si="75"/>
        <v>3.474910474309151</v>
      </c>
      <c r="S194" s="62">
        <v>49000</v>
      </c>
      <c r="T194" s="272">
        <f>+Tabla55572795152[[#This Row],[COSTO]]/Tabla55572795152[[#This Row],[Incremento 13%]]</f>
        <v>0.23655155173919384</v>
      </c>
    </row>
    <row r="195" spans="1:20" x14ac:dyDescent="0.25">
      <c r="A195" s="113">
        <v>6</v>
      </c>
      <c r="B195" s="130" t="str">
        <f>+'COCTELES TRADICIONALES'!B40</f>
        <v>MOJITO COCO</v>
      </c>
      <c r="C195" s="130" t="s">
        <v>522</v>
      </c>
      <c r="D195" s="131">
        <f>+'COCTELES TRADICIONALES'!K43</f>
        <v>9329.1290772239972</v>
      </c>
      <c r="E195" s="132">
        <f>+'COCTELES TRADICIONALES'!K44</f>
        <v>38500</v>
      </c>
      <c r="F195" s="132">
        <f t="shared" si="69"/>
        <v>2851.8518518518517</v>
      </c>
      <c r="G195" s="131">
        <f>+Tabla55572795152[[#This Row],[VENTA]]-Tabla55572795152[[#This Row],[ICO 8%]]</f>
        <v>35648.148148148146</v>
      </c>
      <c r="H195" s="133">
        <f>+Tabla55572795152[[#This Row],[COSTO]]/Tabla55572795152[[#This Row],[BASE]]</f>
        <v>0.26170024424420563</v>
      </c>
      <c r="I195" s="134">
        <f>+Tabla55572795152[[#This Row],[BASE]]/Tabla55572795152[[#This Row],[COSTO]]</f>
        <v>3.8211657115109521</v>
      </c>
      <c r="J195" s="135" t="e">
        <f>+VLOOKUP(Tabla55572795152[[#This Row],[COCTELES TRADICIONALES]],#REF!,2,0)</f>
        <v>#REF!</v>
      </c>
      <c r="K195" s="136">
        <f t="shared" si="70"/>
        <v>37316.516308895989</v>
      </c>
      <c r="L195" s="131">
        <f t="shared" si="71"/>
        <v>2764.1863932515548</v>
      </c>
      <c r="M195" s="137">
        <f>+Tabla55572795152[[#This Row],[PRECIO SUGERIDO]]+Tabla55572795152[[#This Row],[ICO2]]</f>
        <v>40080.702702147544</v>
      </c>
      <c r="N195" s="310">
        <v>38500</v>
      </c>
      <c r="O195" s="132">
        <f t="shared" si="72"/>
        <v>2851.8518518518517</v>
      </c>
      <c r="P195" s="131">
        <f t="shared" si="73"/>
        <v>35648.148148148146</v>
      </c>
      <c r="Q195" s="133">
        <f t="shared" si="74"/>
        <v>0.26170024424420563</v>
      </c>
      <c r="R195" s="194">
        <f t="shared" si="75"/>
        <v>3.8211657115109521</v>
      </c>
      <c r="S195" s="62">
        <v>43000</v>
      </c>
      <c r="T195" s="272">
        <f>+Tabla55572795152[[#This Row],[COSTO]]/Tabla55572795152[[#This Row],[Incremento 13%]]</f>
        <v>0.21695649016799995</v>
      </c>
    </row>
    <row r="196" spans="1:20" x14ac:dyDescent="0.25">
      <c r="A196" s="113">
        <v>7</v>
      </c>
      <c r="B196" s="130" t="str">
        <f>+'COCTELES TRADICIONALES'!B76</f>
        <v>OLD FASHIONED</v>
      </c>
      <c r="C196" s="130"/>
      <c r="D196" s="131">
        <f>+'COCTELES TRADICIONALES'!K79</f>
        <v>14359.194280815998</v>
      </c>
      <c r="E196" s="132">
        <f>+'COCTELES TRADICIONALES'!K80</f>
        <v>41500</v>
      </c>
      <c r="F196" s="132">
        <f t="shared" si="69"/>
        <v>3074.0740740740744</v>
      </c>
      <c r="G196" s="131">
        <f>+Tabla55572795152[[#This Row],[VENTA]]-Tabla55572795152[[#This Row],[ICO 8%]]</f>
        <v>38425.925925925927</v>
      </c>
      <c r="H196" s="133">
        <f>+Tabla55572795152[[#This Row],[COSTO]]/Tabla55572795152[[#This Row],[BASE]]</f>
        <v>0.37368505598268137</v>
      </c>
      <c r="I196" s="134">
        <f>+Tabla55572795152[[#This Row],[BASE]]/Tabla55572795152[[#This Row],[COSTO]]</f>
        <v>2.6760502834941984</v>
      </c>
      <c r="J196" s="135" t="e">
        <f>+VLOOKUP(Tabla55572795152[[#This Row],[COCTELES TRADICIONALES]],#REF!,2,0)</f>
        <v>#REF!</v>
      </c>
      <c r="K196" s="136">
        <f t="shared" si="70"/>
        <v>57436.777123263993</v>
      </c>
      <c r="L196" s="131">
        <f t="shared" si="71"/>
        <v>4254.5760832047399</v>
      </c>
      <c r="M196" s="137">
        <f>+Tabla55572795152[[#This Row],[PRECIO SUGERIDO]]+Tabla55572795152[[#This Row],[ICO2]]</f>
        <v>61691.353206468732</v>
      </c>
      <c r="N196" s="310">
        <v>41500</v>
      </c>
      <c r="O196" s="132">
        <f t="shared" si="72"/>
        <v>3074.0740740740744</v>
      </c>
      <c r="P196" s="131">
        <f t="shared" si="73"/>
        <v>38425.925925925927</v>
      </c>
      <c r="Q196" s="133">
        <f t="shared" si="74"/>
        <v>0.37368505598268137</v>
      </c>
      <c r="R196" s="194">
        <f t="shared" si="75"/>
        <v>2.6760502834941984</v>
      </c>
      <c r="S196" s="62">
        <v>47000</v>
      </c>
      <c r="T196" s="272">
        <f>+Tabla55572795152[[#This Row],[COSTO]]/Tabla55572795152[[#This Row],[Incremento 13%]]</f>
        <v>0.30551477193225529</v>
      </c>
    </row>
    <row r="197" spans="1:20" x14ac:dyDescent="0.25">
      <c r="A197" s="113">
        <v>8</v>
      </c>
      <c r="B197" s="130" t="s">
        <v>579</v>
      </c>
      <c r="C197" s="130"/>
      <c r="D197" s="131">
        <f>+'COCTELES TRADICIONALES'!K114</f>
        <v>16257.746727485999</v>
      </c>
      <c r="E197" s="132">
        <f>+'COCTELES TRADICIONALES'!K115</f>
        <v>48500</v>
      </c>
      <c r="F197" s="132">
        <f t="shared" si="69"/>
        <v>3592.5925925925922</v>
      </c>
      <c r="G197" s="131">
        <f>+Tabla55572795152[[#This Row],[VENTA]]-Tabla55572795152[[#This Row],[ICO 8%]]</f>
        <v>44907.407407407409</v>
      </c>
      <c r="H197" s="133">
        <f>+Tabla55572795152[[#This Row],[COSTO]]/Tabla55572795152[[#This Row],[BASE]]</f>
        <v>0.3620281745502037</v>
      </c>
      <c r="I197" s="134">
        <f>+Tabla55572795152[[#This Row],[BASE]]/Tabla55572795152[[#This Row],[COSTO]]</f>
        <v>2.7622159552704275</v>
      </c>
      <c r="J197" s="135" t="e">
        <f>+VLOOKUP(Tabla55572795152[[#This Row],[COCTELES TRADICIONALES]],#REF!,2,0)</f>
        <v>#REF!</v>
      </c>
      <c r="K197" s="136">
        <f t="shared" si="70"/>
        <v>65030.986909943997</v>
      </c>
      <c r="L197" s="131">
        <f t="shared" si="71"/>
        <v>4817.1101414773329</v>
      </c>
      <c r="M197" s="137">
        <f>+Tabla55572795152[[#This Row],[PRECIO SUGERIDO]]+Tabla55572795152[[#This Row],[ICO2]]</f>
        <v>69848.097051421326</v>
      </c>
      <c r="N197" s="310">
        <v>48500</v>
      </c>
      <c r="O197" s="132">
        <f t="shared" si="72"/>
        <v>3592.5925925925922</v>
      </c>
      <c r="P197" s="131">
        <f t="shared" si="73"/>
        <v>44907.407407407409</v>
      </c>
      <c r="Q197" s="133">
        <f t="shared" si="74"/>
        <v>0.3620281745502037</v>
      </c>
      <c r="R197" s="194">
        <f t="shared" si="75"/>
        <v>2.7622159552704275</v>
      </c>
      <c r="S197" s="62">
        <v>55000</v>
      </c>
      <c r="T197" s="272">
        <f>+Tabla55572795152[[#This Row],[COSTO]]/Tabla55572795152[[#This Row],[Incremento 13%]]</f>
        <v>0.29559539504519999</v>
      </c>
    </row>
    <row r="198" spans="1:20" x14ac:dyDescent="0.25">
      <c r="A198" s="113">
        <v>9</v>
      </c>
      <c r="B198" s="130" t="str">
        <f>+'COCTELES TRADICIONALES'!B88</f>
        <v xml:space="preserve">PALOMA </v>
      </c>
      <c r="C198" s="130"/>
      <c r="D198" s="131">
        <f>+'COCTELES TRADICIONALES'!K91</f>
        <v>11630.648251915001</v>
      </c>
      <c r="E198" s="132">
        <f>+'COCTELES TRADICIONALES'!K92</f>
        <v>45500</v>
      </c>
      <c r="F198" s="132">
        <f t="shared" si="69"/>
        <v>3370.3703703703704</v>
      </c>
      <c r="G198" s="131">
        <f>+Tabla55572795152[[#This Row],[VENTA]]-Tabla55572795152[[#This Row],[ICO 8%]]</f>
        <v>42129.629629629628</v>
      </c>
      <c r="H198" s="133">
        <f>+Tabla55572795152[[#This Row],[COSTO]]/Tabla55572795152[[#This Row],[BASE]]</f>
        <v>0.27606813433116928</v>
      </c>
      <c r="I198" s="134">
        <f>+Tabla55572795152[[#This Row],[BASE]]/Tabla55572795152[[#This Row],[COSTO]]</f>
        <v>3.6222941935066197</v>
      </c>
      <c r="J198" s="135" t="e">
        <f>+VLOOKUP(Tabla55572795152[[#This Row],[COCTELES TRADICIONALES]],#REF!,2,0)</f>
        <v>#REF!</v>
      </c>
      <c r="K198" s="136">
        <f t="shared" si="70"/>
        <v>46522.593007660005</v>
      </c>
      <c r="L198" s="131">
        <f t="shared" si="71"/>
        <v>3446.1180005674078</v>
      </c>
      <c r="M198" s="137">
        <f>+Tabla55572795152[[#This Row],[PRECIO SUGERIDO]]+Tabla55572795152[[#This Row],[ICO2]]</f>
        <v>49968.711008227416</v>
      </c>
      <c r="N198" s="310">
        <v>45500</v>
      </c>
      <c r="O198" s="132">
        <f t="shared" si="72"/>
        <v>3370.3703703703704</v>
      </c>
      <c r="P198" s="131">
        <f t="shared" si="73"/>
        <v>42129.629629629628</v>
      </c>
      <c r="Q198" s="133">
        <f t="shared" si="74"/>
        <v>0.27606813433116928</v>
      </c>
      <c r="R198" s="194">
        <f t="shared" si="75"/>
        <v>3.6222941935066197</v>
      </c>
      <c r="S198" s="62">
        <v>46000</v>
      </c>
      <c r="T198" s="272">
        <f>+Tabla55572795152[[#This Row],[COSTO]]/Tabla55572795152[[#This Row],[Incremento 13%]]</f>
        <v>0.25284017938945658</v>
      </c>
    </row>
    <row r="199" spans="1:20" x14ac:dyDescent="0.25">
      <c r="A199" s="113">
        <v>10</v>
      </c>
      <c r="B199" s="130" t="str">
        <f>+'COCTELES TRADICIONALES'!B100</f>
        <v>NEGRONI</v>
      </c>
      <c r="C199" s="130"/>
      <c r="D199" s="131" t="e">
        <f>+'COCTELES TRADICIONALES'!K103</f>
        <v>#N/A</v>
      </c>
      <c r="E199" s="132">
        <f>+'COCTELES TRADICIONALES'!K104</f>
        <v>42500</v>
      </c>
      <c r="F199" s="132">
        <f t="shared" si="69"/>
        <v>3148.1481481481478</v>
      </c>
      <c r="G199" s="131">
        <f>+Tabla55572795152[[#This Row],[VENTA]]-Tabla55572795152[[#This Row],[ICO 8%]]</f>
        <v>39351.851851851854</v>
      </c>
      <c r="H199" s="133" t="e">
        <f>+Tabla55572795152[[#This Row],[COSTO]]/Tabla55572795152[[#This Row],[BASE]]</f>
        <v>#N/A</v>
      </c>
      <c r="I199" s="134" t="e">
        <f>+Tabla55572795152[[#This Row],[BASE]]/Tabla55572795152[[#This Row],[COSTO]]</f>
        <v>#N/A</v>
      </c>
      <c r="J199" s="135" t="e">
        <f>+VLOOKUP(Tabla55572795152[[#This Row],[COCTELES TRADICIONALES]],#REF!,2,0)</f>
        <v>#REF!</v>
      </c>
      <c r="K199" s="136" t="e">
        <f t="shared" si="70"/>
        <v>#N/A</v>
      </c>
      <c r="L199" s="131" t="e">
        <f t="shared" si="71"/>
        <v>#N/A</v>
      </c>
      <c r="M199" s="137" t="e">
        <f>+Tabla55572795152[[#This Row],[PRECIO SUGERIDO]]+Tabla55572795152[[#This Row],[ICO2]]</f>
        <v>#N/A</v>
      </c>
      <c r="N199" s="310">
        <v>42500</v>
      </c>
      <c r="O199" s="132">
        <f t="shared" si="72"/>
        <v>3148.1481481481478</v>
      </c>
      <c r="P199" s="131">
        <f t="shared" si="73"/>
        <v>39351.851851851854</v>
      </c>
      <c r="Q199" s="133" t="e">
        <f t="shared" si="74"/>
        <v>#N/A</v>
      </c>
      <c r="R199" s="194" t="e">
        <f t="shared" si="75"/>
        <v>#N/A</v>
      </c>
      <c r="S199" s="62">
        <v>48000</v>
      </c>
      <c r="T199" s="272" t="e">
        <f>+Tabla55572795152[[#This Row],[COSTO]]/Tabla55572795152[[#This Row],[Incremento 13%]]</f>
        <v>#N/A</v>
      </c>
    </row>
    <row r="200" spans="1:20" x14ac:dyDescent="0.25">
      <c r="A200" s="113">
        <v>11</v>
      </c>
      <c r="B200" s="130" t="str">
        <f>+'COCTELES TRADICIONALES'!B123</f>
        <v>CAIPIRIÃ‘A</v>
      </c>
      <c r="C200" s="130"/>
      <c r="D200" s="131">
        <f>+'COCTELES TRADICIONALES'!K126</f>
        <v>4124.9791552200004</v>
      </c>
      <c r="E200" s="132">
        <v>40000</v>
      </c>
      <c r="F200" s="132">
        <f t="shared" ref="F200:F210" si="76">+E200/1.08*0.08</f>
        <v>2962.962962962963</v>
      </c>
      <c r="G200" s="131">
        <f>+Tabla55572795152[[#This Row],[VENTA]]-Tabla55572795152[[#This Row],[ICO 8%]]</f>
        <v>37037.037037037036</v>
      </c>
      <c r="H200" s="133">
        <f>+Tabla55572795152[[#This Row],[COSTO]]/Tabla55572795152[[#This Row],[BASE]]</f>
        <v>0.11137443719094001</v>
      </c>
      <c r="I200" s="134">
        <f>+Tabla55572795152[[#This Row],[BASE]]/Tabla55572795152[[#This Row],[COSTO]]</f>
        <v>8.9787210173336529</v>
      </c>
      <c r="J200" s="135" t="e">
        <f>+VLOOKUP(Tabla55572795152[[#This Row],[COCTELES TRADICIONALES]],#REF!,2,0)</f>
        <v>#REF!</v>
      </c>
      <c r="K200" s="136">
        <f t="shared" si="70"/>
        <v>16499.916620880002</v>
      </c>
      <c r="L200" s="131">
        <f t="shared" si="71"/>
        <v>1222.2160459911113</v>
      </c>
      <c r="M200" s="137">
        <f>+Tabla55572795152[[#This Row],[PRECIO SUGERIDO]]+Tabla55572795152[[#This Row],[ICO2]]</f>
        <v>17722.132666871112</v>
      </c>
      <c r="N200" s="310">
        <v>30500</v>
      </c>
      <c r="O200" s="132">
        <f t="shared" si="72"/>
        <v>2259.2592592592591</v>
      </c>
      <c r="P200" s="131">
        <f t="shared" si="73"/>
        <v>28240.740740740741</v>
      </c>
      <c r="Q200" s="133">
        <f t="shared" si="74"/>
        <v>0.14606483566024919</v>
      </c>
      <c r="R200" s="194">
        <f t="shared" si="75"/>
        <v>6.8462747757169113</v>
      </c>
      <c r="S200" s="62">
        <v>40000</v>
      </c>
      <c r="T200" s="278">
        <f>+Tabla55572795152[[#This Row],[COSTO]]/Tabla55572795152[[#This Row],[Incremento 13%]]</f>
        <v>0.10312447888050001</v>
      </c>
    </row>
    <row r="201" spans="1:20" x14ac:dyDescent="0.25">
      <c r="A201" s="113">
        <v>12</v>
      </c>
      <c r="B201" s="130" t="str">
        <f>+'COCTELES TRADICIONALES'!B136</f>
        <v>LYCHEE MARTINI</v>
      </c>
      <c r="C201" s="130"/>
      <c r="D201" s="131" t="e">
        <f>+'COCTELES TRADICIONALES'!K139</f>
        <v>#N/A</v>
      </c>
      <c r="E201" s="132">
        <v>43000</v>
      </c>
      <c r="F201" s="132">
        <f t="shared" si="76"/>
        <v>3185.1851851851848</v>
      </c>
      <c r="G201" s="131">
        <f>+Tabla55572795152[[#This Row],[VENTA]]-Tabla55572795152[[#This Row],[ICO 8%]]</f>
        <v>39814.814814814818</v>
      </c>
      <c r="H201" s="133" t="e">
        <f>+Tabla55572795152[[#This Row],[COSTO]]/Tabla55572795152[[#This Row],[BASE]]</f>
        <v>#N/A</v>
      </c>
      <c r="I201" s="134" t="e">
        <f>+Tabla55572795152[[#This Row],[BASE]]/Tabla55572795152[[#This Row],[COSTO]]</f>
        <v>#N/A</v>
      </c>
      <c r="J201" s="135" t="e">
        <f>+VLOOKUP(Tabla55572795152[[#This Row],[COCTELES TRADICIONALES]],#REF!,2,0)</f>
        <v>#REF!</v>
      </c>
      <c r="K201" s="136" t="e">
        <f t="shared" ref="K201:K210" si="77">+D201/(100-75)*100</f>
        <v>#N/A</v>
      </c>
      <c r="L201" s="131" t="e">
        <f t="shared" ref="L201:L210" si="78">+K201/1.08*0.08</f>
        <v>#N/A</v>
      </c>
      <c r="M201" s="137" t="e">
        <f>+Tabla55572795152[[#This Row],[PRECIO SUGERIDO]]+Tabla55572795152[[#This Row],[ICO2]]</f>
        <v>#N/A</v>
      </c>
      <c r="N201" s="310"/>
      <c r="O201" s="132">
        <f t="shared" ref="O201:O210" si="79">+N201/1.08*0.08</f>
        <v>0</v>
      </c>
      <c r="P201" s="131">
        <f t="shared" ref="P201:P210" si="80">+N201-O201</f>
        <v>0</v>
      </c>
      <c r="Q201" s="133" t="e">
        <f t="shared" ref="Q201:Q210" si="81">+D201/P201</f>
        <v>#N/A</v>
      </c>
      <c r="R201" s="194" t="e">
        <f t="shared" ref="R201:R210" si="82">+P201/D201</f>
        <v>#N/A</v>
      </c>
      <c r="S201" s="62">
        <v>48000</v>
      </c>
      <c r="T201" s="272" t="e">
        <f>+Tabla55572795152[[#This Row],[COSTO]]/Tabla55572795152[[#This Row],[Incremento 13%]]</f>
        <v>#N/A</v>
      </c>
    </row>
    <row r="202" spans="1:20" x14ac:dyDescent="0.25">
      <c r="A202" s="113">
        <v>13</v>
      </c>
      <c r="B202" s="130" t="str">
        <f>+'COCTELES TRADICIONALES'!B151</f>
        <v xml:space="preserve">DRY MARTINI </v>
      </c>
      <c r="C202" s="130"/>
      <c r="D202" s="131">
        <f>+'COCTELES TRADICIONALES'!K154</f>
        <v>14823.995999999999</v>
      </c>
      <c r="E202" s="132">
        <v>49000</v>
      </c>
      <c r="F202" s="132">
        <f t="shared" si="76"/>
        <v>3629.6296296296291</v>
      </c>
      <c r="G202" s="131">
        <f>+Tabla55572795152[[#This Row],[VENTA]]-Tabla55572795152[[#This Row],[ICO 8%]]</f>
        <v>45370.370370370372</v>
      </c>
      <c r="H202" s="133">
        <f>+Tabla55572795152[[#This Row],[COSTO]]/Tabla55572795152[[#This Row],[BASE]]</f>
        <v>0.32673297306122445</v>
      </c>
      <c r="I202" s="134">
        <f>+Tabla55572795152[[#This Row],[BASE]]/Tabla55572795152[[#This Row],[COSTO]]</f>
        <v>3.0606032523464237</v>
      </c>
      <c r="J202" s="135" t="e">
        <f>+VLOOKUP(Tabla55572795152[[#This Row],[COCTELES TRADICIONALES]],#REF!,2,0)</f>
        <v>#REF!</v>
      </c>
      <c r="K202" s="136">
        <f t="shared" si="77"/>
        <v>59295.983999999997</v>
      </c>
      <c r="L202" s="131">
        <f t="shared" si="78"/>
        <v>4392.2951111111106</v>
      </c>
      <c r="M202" s="137">
        <f>+Tabla55572795152[[#This Row],[PRECIO SUGERIDO]]+Tabla55572795152[[#This Row],[ICO2]]</f>
        <v>63688.279111111107</v>
      </c>
      <c r="N202" s="310"/>
      <c r="O202" s="132">
        <f t="shared" si="79"/>
        <v>0</v>
      </c>
      <c r="P202" s="131">
        <f t="shared" si="80"/>
        <v>0</v>
      </c>
      <c r="Q202" s="133" t="e">
        <f t="shared" si="81"/>
        <v>#DIV/0!</v>
      </c>
      <c r="R202" s="194">
        <f t="shared" si="82"/>
        <v>0</v>
      </c>
      <c r="S202" s="62">
        <v>55000</v>
      </c>
      <c r="T202" s="272">
        <f>+Tabla55572795152[[#This Row],[COSTO]]/Tabla55572795152[[#This Row],[Incremento 13%]]</f>
        <v>0.26952719999999997</v>
      </c>
    </row>
    <row r="203" spans="1:20" x14ac:dyDescent="0.25">
      <c r="A203" s="113">
        <v>14</v>
      </c>
      <c r="B203" s="130" t="str">
        <f>+'COCTELES TRADICIONALES'!B166</f>
        <v xml:space="preserve">COSMOPOLITAN </v>
      </c>
      <c r="C203" s="130"/>
      <c r="D203" s="131" t="e">
        <f>+'COCTELES TRADICIONALES'!K169</f>
        <v>#N/A</v>
      </c>
      <c r="E203" s="132"/>
      <c r="F203" s="132">
        <f t="shared" si="76"/>
        <v>0</v>
      </c>
      <c r="G203" s="131">
        <f>+Tabla55572795152[[#This Row],[VENTA]]-Tabla55572795152[[#This Row],[ICO 8%]]</f>
        <v>0</v>
      </c>
      <c r="H203" s="133" t="e">
        <f>+Tabla55572795152[[#This Row],[COSTO]]/Tabla55572795152[[#This Row],[BASE]]</f>
        <v>#N/A</v>
      </c>
      <c r="I203" s="134" t="e">
        <f>+Tabla55572795152[[#This Row],[BASE]]/Tabla55572795152[[#This Row],[COSTO]]</f>
        <v>#N/A</v>
      </c>
      <c r="J203" s="135" t="e">
        <f>+VLOOKUP(Tabla55572795152[[#This Row],[COCTELES TRADICIONALES]],#REF!,2,0)</f>
        <v>#REF!</v>
      </c>
      <c r="K203" s="136" t="e">
        <f t="shared" si="77"/>
        <v>#N/A</v>
      </c>
      <c r="L203" s="131" t="e">
        <f t="shared" si="78"/>
        <v>#N/A</v>
      </c>
      <c r="M203" s="137" t="e">
        <f>+Tabla55572795152[[#This Row],[PRECIO SUGERIDO]]+Tabla55572795152[[#This Row],[ICO2]]</f>
        <v>#N/A</v>
      </c>
      <c r="N203" s="310"/>
      <c r="O203" s="132">
        <f t="shared" si="79"/>
        <v>0</v>
      </c>
      <c r="P203" s="131">
        <f t="shared" si="80"/>
        <v>0</v>
      </c>
      <c r="Q203" s="133" t="e">
        <f t="shared" si="81"/>
        <v>#N/A</v>
      </c>
      <c r="R203" s="194" t="e">
        <f t="shared" si="82"/>
        <v>#N/A</v>
      </c>
      <c r="S203" s="62">
        <v>46000</v>
      </c>
      <c r="T203" s="272" t="e">
        <f>+Tabla55572795152[[#This Row],[COSTO]]/Tabla55572795152[[#This Row],[Incremento 13%]]</f>
        <v>#N/A</v>
      </c>
    </row>
    <row r="204" spans="1:20" x14ac:dyDescent="0.25">
      <c r="A204" s="113">
        <v>15</v>
      </c>
      <c r="B204" s="130" t="str">
        <f>+'COCTELES TRADICIONALES'!B179</f>
        <v xml:space="preserve"> PISCO SOUR </v>
      </c>
      <c r="C204" s="130"/>
      <c r="D204" s="131" t="e">
        <f>+'COCTELES TRADICIONALES'!K182</f>
        <v>#N/A</v>
      </c>
      <c r="E204" s="132"/>
      <c r="F204" s="132">
        <f t="shared" si="76"/>
        <v>0</v>
      </c>
      <c r="G204" s="131">
        <f>+Tabla55572795152[[#This Row],[VENTA]]-Tabla55572795152[[#This Row],[ICO 8%]]</f>
        <v>0</v>
      </c>
      <c r="H204" s="133" t="e">
        <f>+Tabla55572795152[[#This Row],[COSTO]]/Tabla55572795152[[#This Row],[BASE]]</f>
        <v>#N/A</v>
      </c>
      <c r="I204" s="134" t="e">
        <f>+Tabla55572795152[[#This Row],[BASE]]/Tabla55572795152[[#This Row],[COSTO]]</f>
        <v>#N/A</v>
      </c>
      <c r="J204" s="135" t="e">
        <f>+VLOOKUP(Tabla55572795152[[#This Row],[COCTELES TRADICIONALES]],#REF!,2,0)</f>
        <v>#REF!</v>
      </c>
      <c r="K204" s="136" t="e">
        <f t="shared" si="77"/>
        <v>#N/A</v>
      </c>
      <c r="L204" s="131" t="e">
        <f t="shared" si="78"/>
        <v>#N/A</v>
      </c>
      <c r="M204" s="137" t="e">
        <f>+Tabla55572795152[[#This Row],[PRECIO SUGERIDO]]+Tabla55572795152[[#This Row],[ICO2]]</f>
        <v>#N/A</v>
      </c>
      <c r="N204" s="310"/>
      <c r="O204" s="132">
        <f t="shared" si="79"/>
        <v>0</v>
      </c>
      <c r="P204" s="131">
        <f t="shared" si="80"/>
        <v>0</v>
      </c>
      <c r="Q204" s="133" t="e">
        <f t="shared" si="81"/>
        <v>#N/A</v>
      </c>
      <c r="R204" s="194" t="e">
        <f t="shared" si="82"/>
        <v>#N/A</v>
      </c>
      <c r="S204" s="62">
        <v>45000</v>
      </c>
      <c r="T204" s="272" t="e">
        <f>+Tabla55572795152[[#This Row],[COSTO]]/Tabla55572795152[[#This Row],[Incremento 13%]]</f>
        <v>#N/A</v>
      </c>
    </row>
    <row r="205" spans="1:20" x14ac:dyDescent="0.25">
      <c r="A205" s="113">
        <v>16</v>
      </c>
      <c r="B205" s="130" t="str">
        <f>+'COCTELES TRADICIONALES'!B201</f>
        <v>GIN HENDRICKS</v>
      </c>
      <c r="C205" s="130"/>
      <c r="D205" s="131">
        <f>+'COCTELES TRADICIONALES'!K204</f>
        <v>27253.325000000001</v>
      </c>
      <c r="E205" s="132">
        <v>61500</v>
      </c>
      <c r="F205" s="132">
        <f t="shared" si="76"/>
        <v>4555.5555555555547</v>
      </c>
      <c r="G205" s="131">
        <f>+Tabla55572795152[[#This Row],[VENTA]]-Tabla55572795152[[#This Row],[ICO 8%]]</f>
        <v>56944.444444444445</v>
      </c>
      <c r="H205" s="133">
        <f>+Tabla55572795152[[#This Row],[COSTO]]/Tabla55572795152[[#This Row],[BASE]]</f>
        <v>0.47859497560975611</v>
      </c>
      <c r="I205" s="134">
        <f>+Tabla55572795152[[#This Row],[BASE]]/Tabla55572795152[[#This Row],[COSTO]]</f>
        <v>2.0894494321131254</v>
      </c>
      <c r="J205" s="135" t="e">
        <f>+VLOOKUP(Tabla55572795152[[#This Row],[COCTELES TRADICIONALES]],#REF!,2,0)</f>
        <v>#REF!</v>
      </c>
      <c r="K205" s="136">
        <f t="shared" si="77"/>
        <v>109013.3</v>
      </c>
      <c r="L205" s="131">
        <f t="shared" si="78"/>
        <v>8075.0592592592584</v>
      </c>
      <c r="M205" s="137">
        <f>+Tabla55572795152[[#This Row],[PRECIO SUGERIDO]]+Tabla55572795152[[#This Row],[ICO2]]</f>
        <v>117088.35925925926</v>
      </c>
      <c r="N205" s="310"/>
      <c r="O205" s="132">
        <f t="shared" si="79"/>
        <v>0</v>
      </c>
      <c r="P205" s="131">
        <f t="shared" si="80"/>
        <v>0</v>
      </c>
      <c r="Q205" s="133" t="e">
        <f t="shared" si="81"/>
        <v>#DIV/0!</v>
      </c>
      <c r="R205" s="194">
        <f t="shared" si="82"/>
        <v>0</v>
      </c>
      <c r="S205" s="62">
        <v>70000</v>
      </c>
      <c r="T205" s="272">
        <f>+Tabla55572795152[[#This Row],[COSTO]]/Tabla55572795152[[#This Row],[Incremento 13%]]</f>
        <v>0.38933321428571427</v>
      </c>
    </row>
    <row r="206" spans="1:20" x14ac:dyDescent="0.25">
      <c r="A206" s="113">
        <v>17</v>
      </c>
      <c r="B206" s="130" t="str">
        <f>+'COCTELES TRADICIONALES'!B212</f>
        <v>GIN &amp; TONIC SELVA</v>
      </c>
      <c r="C206" s="130"/>
      <c r="D206" s="131">
        <f>+'COCTELES TRADICIONALES'!K215</f>
        <v>19976.360294098999</v>
      </c>
      <c r="E206" s="132">
        <v>48500</v>
      </c>
      <c r="F206" s="132">
        <f t="shared" si="76"/>
        <v>3592.5925925925922</v>
      </c>
      <c r="G206" s="131">
        <f>+Tabla55572795152[[#This Row],[VENTA]]-Tabla55572795152[[#This Row],[ICO 8%]]</f>
        <v>44907.407407407409</v>
      </c>
      <c r="H206" s="133">
        <f>+Tabla55572795152[[#This Row],[COSTO]]/Tabla55572795152[[#This Row],[BASE]]</f>
        <v>0.44483441479643132</v>
      </c>
      <c r="I206" s="134">
        <f>+Tabla55572795152[[#This Row],[BASE]]/Tabla55572795152[[#This Row],[COSTO]]</f>
        <v>2.248027505825124</v>
      </c>
      <c r="J206" s="135" t="e">
        <f>+VLOOKUP(Tabla55572795152[[#This Row],[COCTELES TRADICIONALES]],#REF!,2,0)</f>
        <v>#REF!</v>
      </c>
      <c r="K206" s="136">
        <f t="shared" si="77"/>
        <v>79905.441176395994</v>
      </c>
      <c r="L206" s="131">
        <f t="shared" si="78"/>
        <v>5918.9215686219259</v>
      </c>
      <c r="M206" s="137">
        <f>+Tabla55572795152[[#This Row],[PRECIO SUGERIDO]]+Tabla55572795152[[#This Row],[ICO2]]</f>
        <v>85824.362745017919</v>
      </c>
      <c r="N206" s="310"/>
      <c r="O206" s="132">
        <f t="shared" si="79"/>
        <v>0</v>
      </c>
      <c r="P206" s="131">
        <f t="shared" si="80"/>
        <v>0</v>
      </c>
      <c r="Q206" s="133" t="e">
        <f t="shared" si="81"/>
        <v>#DIV/0!</v>
      </c>
      <c r="R206" s="194">
        <f t="shared" si="82"/>
        <v>0</v>
      </c>
      <c r="S206" s="62">
        <v>62000</v>
      </c>
      <c r="T206" s="272">
        <f>+Tabla55572795152[[#This Row],[COSTO]]/Tabla55572795152[[#This Row],[Incremento 13%]]</f>
        <v>0.32219935958224194</v>
      </c>
    </row>
    <row r="207" spans="1:20" x14ac:dyDescent="0.25">
      <c r="A207" s="113">
        <v>18</v>
      </c>
      <c r="B207" s="130" t="str">
        <f>+'COCTELES TRADICIONALES'!B237</f>
        <v>GIN GORDONS CLASICA</v>
      </c>
      <c r="C207" s="130"/>
      <c r="D207" s="131">
        <f>+'COCTELES TRADICIONALES'!K242</f>
        <v>11849.408999207999</v>
      </c>
      <c r="E207" s="132"/>
      <c r="F207" s="132">
        <f t="shared" si="76"/>
        <v>0</v>
      </c>
      <c r="G207" s="131">
        <f>+Tabla55572795152[[#This Row],[VENTA]]-Tabla55572795152[[#This Row],[ICO 8%]]</f>
        <v>0</v>
      </c>
      <c r="H207" s="133" t="e">
        <f>+Tabla55572795152[[#This Row],[COSTO]]/Tabla55572795152[[#This Row],[BASE]]</f>
        <v>#DIV/0!</v>
      </c>
      <c r="I207" s="134">
        <f>+Tabla55572795152[[#This Row],[BASE]]/Tabla55572795152[[#This Row],[COSTO]]</f>
        <v>0</v>
      </c>
      <c r="J207" s="135" t="e">
        <f>+VLOOKUP(Tabla55572795152[[#This Row],[COCTELES TRADICIONALES]],#REF!,2,0)</f>
        <v>#REF!</v>
      </c>
      <c r="K207" s="136">
        <f t="shared" si="77"/>
        <v>47397.635996831996</v>
      </c>
      <c r="L207" s="131">
        <f t="shared" si="78"/>
        <v>3510.9359997653328</v>
      </c>
      <c r="M207" s="137">
        <f>+Tabla55572795152[[#This Row],[PRECIO SUGERIDO]]+Tabla55572795152[[#This Row],[ICO2]]</f>
        <v>50908.571996597326</v>
      </c>
      <c r="N207" s="310"/>
      <c r="O207" s="132">
        <f t="shared" si="79"/>
        <v>0</v>
      </c>
      <c r="P207" s="131">
        <f t="shared" si="80"/>
        <v>0</v>
      </c>
      <c r="Q207" s="133" t="e">
        <f t="shared" si="81"/>
        <v>#DIV/0!</v>
      </c>
      <c r="R207" s="194">
        <f t="shared" si="82"/>
        <v>0</v>
      </c>
      <c r="S207" s="62">
        <v>45000</v>
      </c>
      <c r="T207" s="272">
        <f>+Tabla55572795152[[#This Row],[COSTO]]/Tabla55572795152[[#This Row],[Incremento 13%]]</f>
        <v>0.26332019998239997</v>
      </c>
    </row>
    <row r="208" spans="1:20" x14ac:dyDescent="0.25">
      <c r="A208" s="113">
        <v>19</v>
      </c>
      <c r="B208" s="130" t="str">
        <f>+'COCTELES TRADICIONALES'!B190</f>
        <v>GIN TANQUERAY LONDON</v>
      </c>
      <c r="C208" s="130"/>
      <c r="D208" s="131">
        <f>+'COCTELES TRADICIONALES'!K193</f>
        <v>17711.616999999998</v>
      </c>
      <c r="E208" s="132">
        <v>51000</v>
      </c>
      <c r="F208" s="132">
        <f t="shared" si="76"/>
        <v>3777.7777777777774</v>
      </c>
      <c r="G208" s="131">
        <f>+Tabla55572795152[[#This Row],[VENTA]]-Tabla55572795152[[#This Row],[ICO 8%]]</f>
        <v>47222.222222222219</v>
      </c>
      <c r="H208" s="133">
        <f>+Tabla55572795152[[#This Row],[COSTO]]/Tabla55572795152[[#This Row],[BASE]]</f>
        <v>0.37506953647058822</v>
      </c>
      <c r="I208" s="134">
        <f>+Tabla55572795152[[#This Row],[BASE]]/Tabla55572795152[[#This Row],[COSTO]]</f>
        <v>2.666172276773048</v>
      </c>
      <c r="J208" s="135" t="e">
        <f>+VLOOKUP(Tabla55572795152[[#This Row],[COCTELES TRADICIONALES]],#REF!,2,0)</f>
        <v>#REF!</v>
      </c>
      <c r="K208" s="136">
        <f t="shared" si="77"/>
        <v>70846.467999999993</v>
      </c>
      <c r="L208" s="131">
        <f t="shared" si="78"/>
        <v>5247.8865185185177</v>
      </c>
      <c r="M208" s="137">
        <f>+Tabla55572795152[[#This Row],[PRECIO SUGERIDO]]+Tabla55572795152[[#This Row],[ICO2]]</f>
        <v>76094.354518518507</v>
      </c>
      <c r="N208" s="310"/>
      <c r="O208" s="132">
        <f t="shared" si="79"/>
        <v>0</v>
      </c>
      <c r="P208" s="131">
        <f t="shared" si="80"/>
        <v>0</v>
      </c>
      <c r="Q208" s="133" t="e">
        <f t="shared" si="81"/>
        <v>#DIV/0!</v>
      </c>
      <c r="R208" s="194">
        <f t="shared" si="82"/>
        <v>0</v>
      </c>
      <c r="S208" s="62">
        <v>62000</v>
      </c>
      <c r="T208" s="272">
        <f>+Tabla55572795152[[#This Row],[COSTO]]/Tabla55572795152[[#This Row],[Incremento 13%]]</f>
        <v>0.28567124193548382</v>
      </c>
    </row>
    <row r="209" spans="1:20" x14ac:dyDescent="0.25">
      <c r="A209" s="113">
        <v>20</v>
      </c>
      <c r="B209" s="130" t="str">
        <f>+'COCTELES TRADICIONALES'!B250</f>
        <v>APEROL SPRITZ</v>
      </c>
      <c r="C209" s="130"/>
      <c r="D209" s="131">
        <f>+'COCTELES TRADICIONALES'!K253</f>
        <v>10473.259166667</v>
      </c>
      <c r="E209" s="132">
        <v>39000</v>
      </c>
      <c r="F209" s="132">
        <f t="shared" si="76"/>
        <v>2888.8888888888887</v>
      </c>
      <c r="G209" s="131">
        <f>+Tabla55572795152[[#This Row],[VENTA]]-Tabla55572795152[[#This Row],[ICO 8%]]</f>
        <v>36111.111111111109</v>
      </c>
      <c r="H209" s="133">
        <f>+Tabla55572795152[[#This Row],[COSTO]]/Tabla55572795152[[#This Row],[BASE]]</f>
        <v>0.2900287153846246</v>
      </c>
      <c r="I209" s="134">
        <f>+Tabla55572795152[[#This Row],[BASE]]/Tabla55572795152[[#This Row],[COSTO]]</f>
        <v>3.4479344525380515</v>
      </c>
      <c r="J209" s="135" t="e">
        <f>+VLOOKUP(Tabla55572795152[[#This Row],[COCTELES TRADICIONALES]],#REF!,2,0)</f>
        <v>#REF!</v>
      </c>
      <c r="K209" s="136">
        <f t="shared" si="77"/>
        <v>41893.036666667998</v>
      </c>
      <c r="L209" s="131">
        <f t="shared" si="78"/>
        <v>3103.1879012346662</v>
      </c>
      <c r="M209" s="137">
        <f>+Tabla55572795152[[#This Row],[PRECIO SUGERIDO]]+Tabla55572795152[[#This Row],[ICO2]]</f>
        <v>44996.224567902667</v>
      </c>
      <c r="N209" s="310"/>
      <c r="O209" s="132">
        <f t="shared" si="79"/>
        <v>0</v>
      </c>
      <c r="P209" s="131">
        <f t="shared" si="80"/>
        <v>0</v>
      </c>
      <c r="Q209" s="133" t="e">
        <f t="shared" si="81"/>
        <v>#DIV/0!</v>
      </c>
      <c r="R209" s="194">
        <f t="shared" si="82"/>
        <v>0</v>
      </c>
      <c r="S209" s="62">
        <v>43000</v>
      </c>
      <c r="T209" s="272">
        <f>+Tabla55572795152[[#This Row],[COSTO]]/Tabla55572795152[[#This Row],[Incremento 13%]]</f>
        <v>0.24356416666667441</v>
      </c>
    </row>
    <row r="210" spans="1:20" x14ac:dyDescent="0.25">
      <c r="A210" s="113">
        <v>21</v>
      </c>
      <c r="B210" s="199" t="str">
        <f>+'COCTELES TRADICIONALES'!B264</f>
        <v>AMARETTO SPRITZ</v>
      </c>
      <c r="C210" s="130"/>
      <c r="D210" s="131">
        <f>+'COCTELES TRADICIONALES'!K267</f>
        <v>20414.953625231548</v>
      </c>
      <c r="E210" s="132"/>
      <c r="F210" s="132">
        <f t="shared" si="76"/>
        <v>0</v>
      </c>
      <c r="G210" s="131">
        <f>+Tabla55572795152[[#This Row],[VENTA]]-Tabla55572795152[[#This Row],[ICO 8%]]</f>
        <v>0</v>
      </c>
      <c r="H210" s="133" t="e">
        <f>+Tabla55572795152[[#This Row],[COSTO]]/Tabla55572795152[[#This Row],[BASE]]</f>
        <v>#DIV/0!</v>
      </c>
      <c r="I210" s="134">
        <f>+Tabla55572795152[[#This Row],[BASE]]/Tabla55572795152[[#This Row],[COSTO]]</f>
        <v>0</v>
      </c>
      <c r="J210" s="135" t="e">
        <f>+VLOOKUP(Tabla55572795152[[#This Row],[COCTELES TRADICIONALES]],#REF!,2,0)</f>
        <v>#REF!</v>
      </c>
      <c r="K210" s="136">
        <f t="shared" si="77"/>
        <v>81659.814500926193</v>
      </c>
      <c r="L210" s="131">
        <f t="shared" si="78"/>
        <v>6048.8751482167554</v>
      </c>
      <c r="M210" s="137">
        <f>+Tabla55572795152[[#This Row],[PRECIO SUGERIDO]]+Tabla55572795152[[#This Row],[ICO2]]</f>
        <v>87708.689649142951</v>
      </c>
      <c r="N210" s="310"/>
      <c r="O210" s="132">
        <f t="shared" si="79"/>
        <v>0</v>
      </c>
      <c r="P210" s="131">
        <f t="shared" si="80"/>
        <v>0</v>
      </c>
      <c r="Q210" s="133" t="e">
        <f t="shared" si="81"/>
        <v>#DIV/0!</v>
      </c>
      <c r="R210" s="194">
        <f t="shared" si="82"/>
        <v>0</v>
      </c>
      <c r="S210" s="62">
        <v>48000</v>
      </c>
      <c r="T210" s="278">
        <f>+Tabla55572795152[[#This Row],[COSTO]]/Tabla55572795152[[#This Row],[Incremento 13%]]</f>
        <v>0.42531153385899056</v>
      </c>
    </row>
    <row r="211" spans="1:20" x14ac:dyDescent="0.25">
      <c r="B211" s="130" t="str">
        <f>+'COCTELES TRADICIONALES'!B278</f>
        <v xml:space="preserve"> ESPRESSO MARTINI</v>
      </c>
      <c r="C211" s="130"/>
      <c r="D211" s="131" t="e">
        <f>+'COCTELES TRADICIONALES'!K281</f>
        <v>#N/A</v>
      </c>
      <c r="E211" s="132">
        <f>+ENTRADAS!K185</f>
        <v>0</v>
      </c>
      <c r="F211" s="132">
        <f>+E211/1.08*0.08</f>
        <v>0</v>
      </c>
      <c r="G211" s="131">
        <f>+Tabla55572795152[[#This Row],[VENTA]]-Tabla55572795152[[#This Row],[ICO 8%]]</f>
        <v>0</v>
      </c>
      <c r="H211" s="133" t="e">
        <f>+Tabla55572795152[[#This Row],[COSTO]]/Tabla55572795152[[#This Row],[BASE]]</f>
        <v>#N/A</v>
      </c>
      <c r="I211" s="134" t="e">
        <f>+Tabla55572795152[[#This Row],[BASE]]/Tabla55572795152[[#This Row],[COSTO]]</f>
        <v>#N/A</v>
      </c>
      <c r="J211" s="135" t="e">
        <f>+VLOOKUP(Tabla55572795152[[#This Row],[COCTELES TRADICIONALES]],#REF!,2,0)</f>
        <v>#REF!</v>
      </c>
      <c r="K211" s="136" t="e">
        <f>+D211/(100-75)*100</f>
        <v>#N/A</v>
      </c>
      <c r="L211" s="131" t="e">
        <f>+K211/1.08*0.08</f>
        <v>#N/A</v>
      </c>
      <c r="M211" s="137" t="e">
        <f>+Tabla55572795152[[#This Row],[PRECIO SUGERIDO]]+Tabla55572795152[[#This Row],[ICO2]]</f>
        <v>#N/A</v>
      </c>
      <c r="N211" s="310"/>
      <c r="O211" s="132">
        <f>+N211/1.08*0.08</f>
        <v>0</v>
      </c>
      <c r="P211" s="131">
        <f>+N211-O211</f>
        <v>0</v>
      </c>
      <c r="Q211" s="133" t="e">
        <f>+D211/P211</f>
        <v>#N/A</v>
      </c>
      <c r="R211" s="194" t="e">
        <f>+P211/D211</f>
        <v>#N/A</v>
      </c>
      <c r="S211" s="62">
        <v>47000</v>
      </c>
      <c r="T211" s="272" t="e">
        <f>+Tabla55572795152[[#This Row],[COSTO]]/Tabla55572795152[[#This Row],[Incremento 13%]]</f>
        <v>#N/A</v>
      </c>
    </row>
    <row r="212" spans="1:20" x14ac:dyDescent="0.25">
      <c r="B212" s="287" t="str">
        <f>+'COCTELES TRADICIONALES'!B291</f>
        <v>ARRIERO</v>
      </c>
      <c r="C212" s="171"/>
      <c r="D212" s="172" t="e">
        <f>+'COCTELES TRADICIONALES'!K294</f>
        <v>#N/A</v>
      </c>
      <c r="E212" s="173">
        <f>+ENTRADAS!K186</f>
        <v>0</v>
      </c>
      <c r="F212" s="173">
        <f>+E212/1.08*0.08</f>
        <v>0</v>
      </c>
      <c r="G212" s="172">
        <f>+Tabla55572795152[[#This Row],[VENTA]]-Tabla55572795152[[#This Row],[ICO 8%]]</f>
        <v>0</v>
      </c>
      <c r="H212" s="174" t="e">
        <f>+Tabla55572795152[[#This Row],[COSTO]]/Tabla55572795152[[#This Row],[BASE]]</f>
        <v>#N/A</v>
      </c>
      <c r="I212" s="175" t="e">
        <f>+Tabla55572795152[[#This Row],[BASE]]/Tabla55572795152[[#This Row],[COSTO]]</f>
        <v>#N/A</v>
      </c>
      <c r="J212" s="113" t="e">
        <f>+VLOOKUP(Tabla55572795152[[#This Row],[COCTELES TRADICIONALES]],#REF!,2,0)</f>
        <v>#REF!</v>
      </c>
      <c r="K212" s="176" t="e">
        <f>+D212/(100-75)*100</f>
        <v>#N/A</v>
      </c>
      <c r="L212" s="172" t="e">
        <f>+K212/1.08*0.08</f>
        <v>#N/A</v>
      </c>
      <c r="M212" s="177" t="e">
        <f>+Tabla55572795152[[#This Row],[PRECIO SUGERIDO]]+Tabla55572795152[[#This Row],[ICO2]]</f>
        <v>#N/A</v>
      </c>
      <c r="N212" s="324"/>
      <c r="O212" s="173">
        <f>+N212/1.08*0.08</f>
        <v>0</v>
      </c>
      <c r="P212" s="172">
        <f>+N212-O212</f>
        <v>0</v>
      </c>
      <c r="Q212" s="250" t="e">
        <f>+D212/P212</f>
        <v>#N/A</v>
      </c>
      <c r="R212" s="180" t="e">
        <f>+P212/D212</f>
        <v>#N/A</v>
      </c>
      <c r="S212" s="314">
        <v>45000</v>
      </c>
      <c r="T212" s="313" t="e">
        <f>+Tabla55572795152[[#This Row],[COSTO]]/Tabla55572795152[[#This Row],[Incremento 13%]]</f>
        <v>#N/A</v>
      </c>
    </row>
    <row r="213" spans="1:20" x14ac:dyDescent="0.25">
      <c r="B213" s="287" t="str">
        <f>+'COCTELES TRADICIONALES'!B303</f>
        <v>PISCO PUNCHS</v>
      </c>
      <c r="C213" s="171"/>
      <c r="D213" s="172" t="e">
        <f>+'COCTELES TRADICIONALES'!K306</f>
        <v>#N/A</v>
      </c>
      <c r="E213" s="173">
        <f>+ENTRADAS!K186</f>
        <v>0</v>
      </c>
      <c r="F213" s="173">
        <f>+E213/1.08*0.08</f>
        <v>0</v>
      </c>
      <c r="G213" s="172">
        <f>+Tabla55572795152[[#This Row],[VENTA]]-Tabla55572795152[[#This Row],[ICO 8%]]</f>
        <v>0</v>
      </c>
      <c r="H213" s="174" t="e">
        <f>+Tabla55572795152[[#This Row],[COSTO]]/Tabla55572795152[[#This Row],[BASE]]</f>
        <v>#N/A</v>
      </c>
      <c r="I213" s="175" t="e">
        <f>+Tabla55572795152[[#This Row],[BASE]]/Tabla55572795152[[#This Row],[COSTO]]</f>
        <v>#N/A</v>
      </c>
      <c r="J213" s="113" t="e">
        <f>+VLOOKUP(Tabla55572795152[[#This Row],[COCTELES TRADICIONALES]],#REF!,2,0)</f>
        <v>#REF!</v>
      </c>
      <c r="K213" s="176" t="e">
        <f>+D213/(100-75)*100</f>
        <v>#N/A</v>
      </c>
      <c r="L213" s="172" t="e">
        <f>+K213/1.08*0.08</f>
        <v>#N/A</v>
      </c>
      <c r="M213" s="177" t="e">
        <f>+Tabla55572795152[[#This Row],[PRECIO SUGERIDO]]+Tabla55572795152[[#This Row],[ICO2]]</f>
        <v>#N/A</v>
      </c>
      <c r="N213" s="324"/>
      <c r="O213" s="173">
        <f>+N213/1.08*0.08</f>
        <v>0</v>
      </c>
      <c r="P213" s="172">
        <f>+N213-O213</f>
        <v>0</v>
      </c>
      <c r="Q213" s="250" t="e">
        <f>+D213/P213</f>
        <v>#N/A</v>
      </c>
      <c r="R213" s="180" t="e">
        <f>+P213/D213</f>
        <v>#N/A</v>
      </c>
      <c r="S213" s="314">
        <v>53000</v>
      </c>
      <c r="T213" s="313" t="e">
        <f>+Tabla55572795152[[#This Row],[COSTO]]/Tabla55572795152[[#This Row],[Incremento 13%]]</f>
        <v>#N/A</v>
      </c>
    </row>
    <row r="214" spans="1:20" ht="13.8" thickBot="1" x14ac:dyDescent="0.3">
      <c r="B214" s="287" t="str">
        <f>+'COCTELES TRADICIONALES'!B316</f>
        <v>CHILCANO CLASICO</v>
      </c>
      <c r="C214" s="171"/>
      <c r="D214" s="172" t="e">
        <f>+'COCTELES TRADICIONALES'!K319</f>
        <v>#N/A</v>
      </c>
      <c r="E214" s="173"/>
      <c r="F214" s="173">
        <f>+E214/1.08*0.08</f>
        <v>0</v>
      </c>
      <c r="G214" s="172">
        <f>+Tabla55572795152[[#This Row],[VENTA]]-Tabla55572795152[[#This Row],[ICO 8%]]</f>
        <v>0</v>
      </c>
      <c r="H214" s="174" t="e">
        <f>+Tabla55572795152[[#This Row],[COSTO]]/Tabla55572795152[[#This Row],[BASE]]</f>
        <v>#N/A</v>
      </c>
      <c r="I214" s="175" t="e">
        <f>+Tabla55572795152[[#This Row],[BASE]]/Tabla55572795152[[#This Row],[COSTO]]</f>
        <v>#N/A</v>
      </c>
      <c r="J214" s="113" t="e">
        <f>+VLOOKUP(Tabla55572795152[[#This Row],[COCTELES TRADICIONALES]],#REF!,2,0)</f>
        <v>#REF!</v>
      </c>
      <c r="K214" s="176" t="e">
        <f>+D214/(100-75)*100</f>
        <v>#N/A</v>
      </c>
      <c r="L214" s="172" t="e">
        <f>+K214/1.08*0.08</f>
        <v>#N/A</v>
      </c>
      <c r="M214" s="177" t="e">
        <f>+Tabla55572795152[[#This Row],[PRECIO SUGERIDO]]+Tabla55572795152[[#This Row],[ICO2]]</f>
        <v>#N/A</v>
      </c>
      <c r="N214" s="324"/>
      <c r="O214" s="173">
        <f>+N214/1.08*0.08</f>
        <v>0</v>
      </c>
      <c r="P214" s="172">
        <f>+N214-O214</f>
        <v>0</v>
      </c>
      <c r="Q214" s="250" t="e">
        <f>+D214/P214</f>
        <v>#N/A</v>
      </c>
      <c r="R214" s="180" t="e">
        <f>+P214/D214</f>
        <v>#N/A</v>
      </c>
      <c r="S214" s="314">
        <v>45000</v>
      </c>
      <c r="T214" s="313" t="e">
        <f>+Tabla55572795152[[#This Row],[COSTO]]/Tabla55572795152[[#This Row],[Incremento 13%]]</f>
        <v>#N/A</v>
      </c>
    </row>
    <row r="215" spans="1:20" ht="13.8" thickBot="1" x14ac:dyDescent="0.3">
      <c r="B215" s="153" t="s">
        <v>35</v>
      </c>
      <c r="C215" s="181"/>
      <c r="D215" s="155"/>
      <c r="E215" s="156"/>
      <c r="F215" s="156"/>
      <c r="G215" s="155"/>
      <c r="H215" s="158" t="e">
        <f>SUBTOTAL(101,Tabla55572795152[%])</f>
        <v>#N/A</v>
      </c>
      <c r="I215" s="156"/>
      <c r="J215" s="156"/>
      <c r="K215" s="159"/>
      <c r="L215" s="155"/>
      <c r="M215" s="156"/>
      <c r="N215" s="160"/>
      <c r="O215" s="156"/>
      <c r="P215" s="155"/>
      <c r="Q215" s="161"/>
      <c r="R215" s="162" t="e">
        <f>SUBTOTAL(109,Tabla55572795152[RATION])</f>
        <v>#N/A</v>
      </c>
      <c r="S215" s="40"/>
      <c r="T215" s="279"/>
    </row>
    <row r="217" spans="1:20" x14ac:dyDescent="0.25">
      <c r="E217" s="117" t="s">
        <v>25</v>
      </c>
      <c r="F217" s="114"/>
      <c r="G217" s="118"/>
      <c r="H217" s="114"/>
      <c r="I217" s="114"/>
      <c r="J217" s="70"/>
      <c r="K217" s="396" t="s">
        <v>29</v>
      </c>
      <c r="L217" s="396"/>
      <c r="M217" s="396"/>
      <c r="N217" s="395" t="s">
        <v>1090</v>
      </c>
      <c r="O217" s="395"/>
      <c r="P217" s="395"/>
      <c r="Q217" s="395"/>
    </row>
    <row r="218" spans="1:20" x14ac:dyDescent="0.25">
      <c r="B218" s="185" t="s">
        <v>584</v>
      </c>
      <c r="C218" s="184" t="s">
        <v>316</v>
      </c>
      <c r="D218" s="185" t="s">
        <v>7</v>
      </c>
      <c r="E218" s="186" t="s">
        <v>20</v>
      </c>
      <c r="F218" s="187" t="s">
        <v>33</v>
      </c>
      <c r="G218" s="185" t="s">
        <v>26</v>
      </c>
      <c r="H218" s="188" t="s">
        <v>21</v>
      </c>
      <c r="I218" s="189" t="s">
        <v>22</v>
      </c>
      <c r="J218" s="189" t="s">
        <v>23</v>
      </c>
      <c r="K218" s="189" t="s">
        <v>27</v>
      </c>
      <c r="L218" s="185" t="s">
        <v>32</v>
      </c>
      <c r="M218" s="189" t="s">
        <v>28</v>
      </c>
      <c r="N218" s="190" t="s">
        <v>30</v>
      </c>
      <c r="O218" s="185" t="s">
        <v>34</v>
      </c>
      <c r="P218" s="185" t="s">
        <v>25</v>
      </c>
      <c r="Q218" s="191" t="s">
        <v>31</v>
      </c>
      <c r="R218" s="192" t="s">
        <v>24</v>
      </c>
      <c r="S218" s="234" t="s">
        <v>1262</v>
      </c>
      <c r="T218" s="276" t="s">
        <v>1263</v>
      </c>
    </row>
    <row r="219" spans="1:20" hidden="1" x14ac:dyDescent="0.25">
      <c r="A219" s="113">
        <v>1</v>
      </c>
      <c r="B219" s="130" t="str">
        <f>+'COCTELES MALANGA'!B68</f>
        <v>GORGONA</v>
      </c>
      <c r="C219" s="130"/>
      <c r="D219" s="131">
        <f>+'COCTELES MALANGA'!K71</f>
        <v>11321.438953374</v>
      </c>
      <c r="E219" s="132">
        <f>+'COCTELES MALANGA'!K72</f>
        <v>39500</v>
      </c>
      <c r="F219" s="132">
        <f t="shared" ref="F219:F226" si="83">+E219/1.08*0.08</f>
        <v>2925.9259259259261</v>
      </c>
      <c r="G219" s="131">
        <f>+Tabla5557279515274450[[#This Row],[VENTA]]-Tabla5557279515274450[[#This Row],[ICO 8%]]</f>
        <v>36574.074074074073</v>
      </c>
      <c r="H219" s="133">
        <f>+Tabla5557279515274450[[#This Row],[COSTO]]/Tabla5557279515274450[[#This Row],[BASE]]</f>
        <v>0.3095482042947828</v>
      </c>
      <c r="I219" s="134">
        <f>+Tabla5557279515274450[[#This Row],[BASE]]/Tabla5557279515274450[[#This Row],[COSTO]]</f>
        <v>3.2305146213922145</v>
      </c>
      <c r="J219" s="135" t="e">
        <f>+VLOOKUP(Tabla5557279515274450[[#This Row],[COCTELES MALANGA]],#REF!,2,0)</f>
        <v>#REF!</v>
      </c>
      <c r="K219" s="136">
        <f t="shared" ref="K219:K228" si="84">+D219/(100-65)*100</f>
        <v>32346.968438211428</v>
      </c>
      <c r="L219" s="131">
        <f t="shared" ref="L219:L226" si="85">+K219/1.08*0.08</f>
        <v>2396.0717361638094</v>
      </c>
      <c r="M219" s="137">
        <f>+Tabla5557279515274450[[#This Row],[PRECIO SUGERIDO]]+Tabla5557279515274450[[#This Row],[ICO2]]</f>
        <v>34743.040174375237</v>
      </c>
      <c r="N219" s="138">
        <v>39500</v>
      </c>
      <c r="O219" s="132">
        <f t="shared" ref="O219:O226" si="86">+N219/1.08*0.08</f>
        <v>2925.9259259259261</v>
      </c>
      <c r="P219" s="139">
        <f t="shared" ref="P219:P226" si="87">+N219-O219</f>
        <v>36574.074074074073</v>
      </c>
      <c r="Q219" s="133">
        <f t="shared" ref="Q219:Q233" si="88">+D219/P219</f>
        <v>0.3095482042947828</v>
      </c>
      <c r="R219" s="194">
        <f t="shared" ref="R219:R226" si="89">+P219/D219</f>
        <v>3.2305146213922145</v>
      </c>
      <c r="S219" s="70">
        <v>42000</v>
      </c>
      <c r="T219" s="272">
        <f t="shared" ref="T219:T230" si="90">+D219/S219</f>
        <v>0.26955807031842854</v>
      </c>
    </row>
    <row r="220" spans="1:20" hidden="1" x14ac:dyDescent="0.25">
      <c r="A220" s="113">
        <v>2</v>
      </c>
      <c r="B220" s="130" t="str">
        <f>+'COCTELES MALANGA'!B6</f>
        <v>BORA BORA</v>
      </c>
      <c r="C220" s="130"/>
      <c r="D220" s="131">
        <f>+'COCTELES MALANGA'!K9</f>
        <v>12792.235313374</v>
      </c>
      <c r="E220" s="132">
        <f>+'COCTELES MALANGA'!K10</f>
        <v>41500</v>
      </c>
      <c r="F220" s="132">
        <f t="shared" si="83"/>
        <v>3074.0740740740744</v>
      </c>
      <c r="G220" s="131">
        <f>+Tabla5557279515274450[[#This Row],[VENTA]]-Tabla5557279515274450[[#This Row],[ICO 8%]]</f>
        <v>38425.925925925927</v>
      </c>
      <c r="H220" s="133">
        <f>+Tabla5557279515274450[[#This Row],[COSTO]]/Tabla5557279515274450[[#This Row],[BASE]]</f>
        <v>0.33290636478178121</v>
      </c>
      <c r="I220" s="134">
        <f>+Tabla5557279515274450[[#This Row],[BASE]]/Tabla5557279515274450[[#This Row],[COSTO]]</f>
        <v>3.0038476454347638</v>
      </c>
      <c r="J220" s="135" t="e">
        <f>+VLOOKUP(Tabla5557279515274450[[#This Row],[COCTELES MALANGA]],#REF!,2,0)</f>
        <v>#REF!</v>
      </c>
      <c r="K220" s="136">
        <f t="shared" si="84"/>
        <v>36549.243752497139</v>
      </c>
      <c r="L220" s="131">
        <f t="shared" si="85"/>
        <v>2707.3513890738623</v>
      </c>
      <c r="M220" s="137">
        <f>+Tabla5557279515274450[[#This Row],[PRECIO SUGERIDO]]+Tabla5557279515274450[[#This Row],[ICO2]]</f>
        <v>39256.595141571001</v>
      </c>
      <c r="N220" s="138">
        <v>41500</v>
      </c>
      <c r="O220" s="132">
        <f t="shared" si="86"/>
        <v>3074.0740740740744</v>
      </c>
      <c r="P220" s="139">
        <f t="shared" si="87"/>
        <v>38425.925925925927</v>
      </c>
      <c r="Q220" s="133">
        <f t="shared" si="88"/>
        <v>0.33290636478178121</v>
      </c>
      <c r="R220" s="194">
        <f t="shared" si="89"/>
        <v>3.0038476454347638</v>
      </c>
      <c r="S220" s="70">
        <v>45000</v>
      </c>
      <c r="T220" s="272">
        <f t="shared" si="90"/>
        <v>0.28427189585275553</v>
      </c>
    </row>
    <row r="221" spans="1:20" hidden="1" x14ac:dyDescent="0.25">
      <c r="A221" s="113">
        <v>3</v>
      </c>
      <c r="B221" s="130" t="str">
        <f>+'COCTELES MALANGA'!B20</f>
        <v>CONEJO CAZADOR</v>
      </c>
      <c r="C221" s="130"/>
      <c r="D221" s="131" t="e">
        <f>+'COCTELES MALANGA'!K23</f>
        <v>#N/A</v>
      </c>
      <c r="E221" s="132">
        <f>+'COCTELES MALANGA'!K24</f>
        <v>48500</v>
      </c>
      <c r="F221" s="132">
        <f t="shared" si="83"/>
        <v>3592.5925925925922</v>
      </c>
      <c r="G221" s="131">
        <f>+Tabla5557279515274450[[#This Row],[VENTA]]-Tabla5557279515274450[[#This Row],[ICO 8%]]</f>
        <v>44907.407407407409</v>
      </c>
      <c r="H221" s="133" t="e">
        <f>+Tabla5557279515274450[[#This Row],[COSTO]]/Tabla5557279515274450[[#This Row],[BASE]]</f>
        <v>#N/A</v>
      </c>
      <c r="I221" s="134" t="e">
        <f>+Tabla5557279515274450[[#This Row],[BASE]]/Tabla5557279515274450[[#This Row],[COSTO]]</f>
        <v>#N/A</v>
      </c>
      <c r="J221" s="135" t="e">
        <f>+VLOOKUP(Tabla5557279515274450[[#This Row],[COCTELES MALANGA]],#REF!,2,0)</f>
        <v>#REF!</v>
      </c>
      <c r="K221" s="136" t="e">
        <f t="shared" si="84"/>
        <v>#N/A</v>
      </c>
      <c r="L221" s="131" t="e">
        <f t="shared" si="85"/>
        <v>#N/A</v>
      </c>
      <c r="M221" s="137" t="e">
        <f>+Tabla5557279515274450[[#This Row],[PRECIO SUGERIDO]]+Tabla5557279515274450[[#This Row],[ICO2]]</f>
        <v>#N/A</v>
      </c>
      <c r="N221" s="138">
        <v>48500</v>
      </c>
      <c r="O221" s="132">
        <f t="shared" si="86"/>
        <v>3592.5925925925922</v>
      </c>
      <c r="P221" s="139">
        <f t="shared" si="87"/>
        <v>44907.407407407409</v>
      </c>
      <c r="Q221" s="133" t="e">
        <f t="shared" si="88"/>
        <v>#N/A</v>
      </c>
      <c r="R221" s="194" t="e">
        <f t="shared" si="89"/>
        <v>#N/A</v>
      </c>
      <c r="S221" s="70">
        <v>56000</v>
      </c>
      <c r="T221" s="272" t="e">
        <f t="shared" si="90"/>
        <v>#N/A</v>
      </c>
    </row>
    <row r="222" spans="1:20" hidden="1" x14ac:dyDescent="0.25">
      <c r="A222" s="113">
        <v>4</v>
      </c>
      <c r="B222" s="130" t="str">
        <f>+'COCTELES MALANGA'!B95</f>
        <v>WHITE LADY CARIBEÃ‘A</v>
      </c>
      <c r="C222" s="130"/>
      <c r="D222" s="131">
        <f>+'COCTELES MALANGA'!K98</f>
        <v>10553.543048399339</v>
      </c>
      <c r="E222" s="132">
        <f>+'COCTELES MALANGA'!K99</f>
        <v>46500</v>
      </c>
      <c r="F222" s="132">
        <f t="shared" si="83"/>
        <v>3444.4444444444443</v>
      </c>
      <c r="G222" s="131">
        <f>+Tabla5557279515274450[[#This Row],[VENTA]]-Tabla5557279515274450[[#This Row],[ICO 8%]]</f>
        <v>43055.555555555555</v>
      </c>
      <c r="H222" s="133">
        <f>+Tabla5557279515274450[[#This Row],[COSTO]]/Tabla5557279515274450[[#This Row],[BASE]]</f>
        <v>0.24511454822088788</v>
      </c>
      <c r="I222" s="134">
        <f>+Tabla5557279515274450[[#This Row],[BASE]]/Tabla5557279515274450[[#This Row],[COSTO]]</f>
        <v>4.0797252030052427</v>
      </c>
      <c r="J222" s="135" t="e">
        <f>+VLOOKUP(Tabla5557279515274450[[#This Row],[COCTELES MALANGA]],#REF!,2,0)</f>
        <v>#REF!</v>
      </c>
      <c r="K222" s="136">
        <f t="shared" si="84"/>
        <v>30152.980138283823</v>
      </c>
      <c r="L222" s="131">
        <f t="shared" si="85"/>
        <v>2233.5540843173203</v>
      </c>
      <c r="M222" s="137">
        <f>+Tabla5557279515274450[[#This Row],[PRECIO SUGERIDO]]+Tabla5557279515274450[[#This Row],[ICO2]]</f>
        <v>32386.534222601142</v>
      </c>
      <c r="N222" s="138">
        <v>46500</v>
      </c>
      <c r="O222" s="132">
        <f t="shared" si="86"/>
        <v>3444.4444444444443</v>
      </c>
      <c r="P222" s="139">
        <f t="shared" si="87"/>
        <v>43055.555555555555</v>
      </c>
      <c r="Q222" s="133">
        <f t="shared" si="88"/>
        <v>0.24511454822088788</v>
      </c>
      <c r="R222" s="194">
        <f t="shared" si="89"/>
        <v>4.0797252030052427</v>
      </c>
      <c r="S222" s="70">
        <v>49000</v>
      </c>
      <c r="T222" s="272">
        <f t="shared" si="90"/>
        <v>0.21537842955917016</v>
      </c>
    </row>
    <row r="223" spans="1:20" hidden="1" x14ac:dyDescent="0.25">
      <c r="A223" s="113">
        <v>5</v>
      </c>
      <c r="B223" s="130" t="str">
        <f>+'COCTELES MALANGA'!B31</f>
        <v>ODISEA DEL TROPICO</v>
      </c>
      <c r="C223" s="130"/>
      <c r="D223" s="131">
        <f>+'COCTELES MALANGA'!K34</f>
        <v>7703.8665413599992</v>
      </c>
      <c r="E223" s="132">
        <f>+'COCTELES MALANGA'!K35</f>
        <v>39500</v>
      </c>
      <c r="F223" s="132">
        <f t="shared" si="83"/>
        <v>2925.9259259259261</v>
      </c>
      <c r="G223" s="131">
        <f>+Tabla5557279515274450[[#This Row],[VENTA]]-Tabla5557279515274450[[#This Row],[ICO 8%]]</f>
        <v>36574.074074074073</v>
      </c>
      <c r="H223" s="133">
        <f>+Tabla5557279515274450[[#This Row],[COSTO]]/Tabla5557279515274450[[#This Row],[BASE]]</f>
        <v>0.21063736366250124</v>
      </c>
      <c r="I223" s="134">
        <f>+Tabla5557279515274450[[#This Row],[BASE]]/Tabla5557279515274450[[#This Row],[COSTO]]</f>
        <v>4.7474958032719865</v>
      </c>
      <c r="J223" s="135" t="e">
        <f>+VLOOKUP(Tabla5557279515274450[[#This Row],[COCTELES MALANGA]],#REF!,2,0)</f>
        <v>#REF!</v>
      </c>
      <c r="K223" s="136">
        <f t="shared" si="84"/>
        <v>22011.047261028569</v>
      </c>
      <c r="L223" s="131">
        <f t="shared" si="85"/>
        <v>1630.4479452613753</v>
      </c>
      <c r="M223" s="137">
        <f>+Tabla5557279515274450[[#This Row],[PRECIO SUGERIDO]]+Tabla5557279515274450[[#This Row],[ICO2]]</f>
        <v>23641.495206289943</v>
      </c>
      <c r="N223" s="138">
        <v>39500</v>
      </c>
      <c r="O223" s="132">
        <f t="shared" si="86"/>
        <v>2925.9259259259261</v>
      </c>
      <c r="P223" s="139">
        <f t="shared" si="87"/>
        <v>36574.074074074073</v>
      </c>
      <c r="Q223" s="133">
        <f t="shared" si="88"/>
        <v>0.21063736366250124</v>
      </c>
      <c r="R223" s="194">
        <f t="shared" si="89"/>
        <v>4.7474958032719865</v>
      </c>
      <c r="S223" s="70">
        <v>42000</v>
      </c>
      <c r="T223" s="272">
        <f t="shared" si="90"/>
        <v>0.18342539384190473</v>
      </c>
    </row>
    <row r="224" spans="1:20" hidden="1" x14ac:dyDescent="0.25">
      <c r="A224" s="113">
        <v>6</v>
      </c>
      <c r="B224" s="130" t="str">
        <f>+'COCTELES MALANGA'!B55</f>
        <v>MONKEY DRINKS</v>
      </c>
      <c r="C224" s="130"/>
      <c r="D224" s="131" t="e">
        <f>+'COCTELES MALANGA'!K58</f>
        <v>#N/A</v>
      </c>
      <c r="E224" s="132">
        <f>+'COCTELES MALANGA'!K59</f>
        <v>39500</v>
      </c>
      <c r="F224" s="132">
        <f t="shared" si="83"/>
        <v>2925.9259259259261</v>
      </c>
      <c r="G224" s="131">
        <f>+Tabla5557279515274450[[#This Row],[VENTA]]-Tabla5557279515274450[[#This Row],[ICO 8%]]</f>
        <v>36574.074074074073</v>
      </c>
      <c r="H224" s="133" t="e">
        <f>+Tabla5557279515274450[[#This Row],[COSTO]]/Tabla5557279515274450[[#This Row],[BASE]]</f>
        <v>#N/A</v>
      </c>
      <c r="I224" s="134" t="e">
        <f>+Tabla5557279515274450[[#This Row],[BASE]]/Tabla5557279515274450[[#This Row],[COSTO]]</f>
        <v>#N/A</v>
      </c>
      <c r="J224" s="135" t="e">
        <f>+VLOOKUP(Tabla5557279515274450[[#This Row],[COCTELES MALANGA]],#REF!,2,0)</f>
        <v>#REF!</v>
      </c>
      <c r="K224" s="136" t="e">
        <f t="shared" si="84"/>
        <v>#N/A</v>
      </c>
      <c r="L224" s="131" t="e">
        <f t="shared" si="85"/>
        <v>#N/A</v>
      </c>
      <c r="M224" s="137" t="e">
        <f>+Tabla5557279515274450[[#This Row],[PRECIO SUGERIDO]]+Tabla5557279515274450[[#This Row],[ICO2]]</f>
        <v>#N/A</v>
      </c>
      <c r="N224" s="138">
        <v>39500</v>
      </c>
      <c r="O224" s="132">
        <f t="shared" si="86"/>
        <v>2925.9259259259261</v>
      </c>
      <c r="P224" s="139">
        <f t="shared" si="87"/>
        <v>36574.074074074073</v>
      </c>
      <c r="Q224" s="133" t="e">
        <f t="shared" si="88"/>
        <v>#N/A</v>
      </c>
      <c r="R224" s="194" t="e">
        <f t="shared" si="89"/>
        <v>#N/A</v>
      </c>
      <c r="S224" s="70">
        <v>42000</v>
      </c>
      <c r="T224" s="272" t="e">
        <f t="shared" si="90"/>
        <v>#N/A</v>
      </c>
    </row>
    <row r="225" spans="1:21" hidden="1" x14ac:dyDescent="0.25">
      <c r="A225" s="113">
        <v>7</v>
      </c>
      <c r="B225" s="130" t="str">
        <f>+'COCTELES MALANGA'!B42</f>
        <v>NUQUI DEL PACIFICO</v>
      </c>
      <c r="C225" s="130"/>
      <c r="D225" s="131">
        <f>+'COCTELES MALANGA'!K45</f>
        <v>9708.1812448830024</v>
      </c>
      <c r="E225" s="132">
        <f>+'COCTELES MALANGA'!K46</f>
        <v>46500</v>
      </c>
      <c r="F225" s="132">
        <f t="shared" si="83"/>
        <v>3444.4444444444443</v>
      </c>
      <c r="G225" s="131">
        <f>+Tabla5557279515274450[[#This Row],[VENTA]]-Tabla5557279515274450[[#This Row],[ICO 8%]]</f>
        <v>43055.555555555555</v>
      </c>
      <c r="H225" s="133">
        <f>+Tabla5557279515274450[[#This Row],[COSTO]]/Tabla5557279515274450[[#This Row],[BASE]]</f>
        <v>0.22548033859083103</v>
      </c>
      <c r="I225" s="134">
        <f>+Tabla5557279515274450[[#This Row],[BASE]]/Tabla5557279515274450[[#This Row],[COSTO]]</f>
        <v>4.434976487305418</v>
      </c>
      <c r="J225" s="135" t="e">
        <f>+VLOOKUP(Tabla5557279515274450[[#This Row],[COCTELES MALANGA]],#REF!,2,0)</f>
        <v>#REF!</v>
      </c>
      <c r="K225" s="136">
        <f t="shared" si="84"/>
        <v>27737.660699665717</v>
      </c>
      <c r="L225" s="131">
        <f t="shared" si="85"/>
        <v>2054.6415333085715</v>
      </c>
      <c r="M225" s="137">
        <f>+Tabla5557279515274450[[#This Row],[PRECIO SUGERIDO]]+Tabla5557279515274450[[#This Row],[ICO2]]</f>
        <v>29792.302232974289</v>
      </c>
      <c r="N225" s="138">
        <v>46500</v>
      </c>
      <c r="O225" s="132">
        <f t="shared" si="86"/>
        <v>3444.4444444444443</v>
      </c>
      <c r="P225" s="139">
        <f t="shared" si="87"/>
        <v>43055.555555555555</v>
      </c>
      <c r="Q225" s="133">
        <f t="shared" si="88"/>
        <v>0.22548033859083103</v>
      </c>
      <c r="R225" s="194">
        <f t="shared" si="89"/>
        <v>4.434976487305418</v>
      </c>
      <c r="S225" s="70">
        <v>49000</v>
      </c>
      <c r="T225" s="272">
        <f t="shared" si="90"/>
        <v>0.19812614785475516</v>
      </c>
    </row>
    <row r="226" spans="1:21" hidden="1" x14ac:dyDescent="0.25">
      <c r="A226" s="113">
        <v>8</v>
      </c>
      <c r="B226" s="130" t="str">
        <f>+'COCTELES MALANGA'!B109</f>
        <v xml:space="preserve">GUAYABA GIN SPLASH </v>
      </c>
      <c r="C226" s="130"/>
      <c r="D226" s="131">
        <f>+'COCTELES MALANGA'!K112</f>
        <v>9399.9134172185004</v>
      </c>
      <c r="E226" s="132">
        <f>+'COCTELES MALANGA'!K83</f>
        <v>46500</v>
      </c>
      <c r="F226" s="132">
        <f t="shared" si="83"/>
        <v>3444.4444444444443</v>
      </c>
      <c r="G226" s="131">
        <f>+Tabla5557279515274450[[#This Row],[VENTA]]-Tabla5557279515274450[[#This Row],[ICO 8%]]</f>
        <v>43055.555555555555</v>
      </c>
      <c r="H226" s="133">
        <f>+Tabla5557279515274450[[#This Row],[COSTO]]/Tabla5557279515274450[[#This Row],[BASE]]</f>
        <v>0.21832056969023614</v>
      </c>
      <c r="I226" s="134">
        <f>+Tabla5557279515274450[[#This Row],[BASE]]/Tabla5557279515274450[[#This Row],[COSTO]]</f>
        <v>4.5804204405423121</v>
      </c>
      <c r="J226" s="135" t="e">
        <f>+VLOOKUP(Tabla5557279515274450[[#This Row],[COCTELES MALANGA]],#REF!,2,0)</f>
        <v>#REF!</v>
      </c>
      <c r="K226" s="136">
        <f t="shared" si="84"/>
        <v>26856.895477767142</v>
      </c>
      <c r="L226" s="131">
        <f t="shared" si="85"/>
        <v>1989.399665019788</v>
      </c>
      <c r="M226" s="137">
        <f>+Tabla5557279515274450[[#This Row],[PRECIO SUGERIDO]]+Tabla5557279515274450[[#This Row],[ICO2]]</f>
        <v>28846.29514278693</v>
      </c>
      <c r="N226" s="138">
        <v>46500</v>
      </c>
      <c r="O226" s="132">
        <f t="shared" si="86"/>
        <v>3444.4444444444443</v>
      </c>
      <c r="P226" s="139">
        <f t="shared" si="87"/>
        <v>43055.555555555555</v>
      </c>
      <c r="Q226" s="133">
        <f t="shared" si="88"/>
        <v>0.21832056969023614</v>
      </c>
      <c r="R226" s="194">
        <f t="shared" si="89"/>
        <v>4.5804204405423121</v>
      </c>
      <c r="S226" s="70">
        <v>49000</v>
      </c>
      <c r="T226" s="272">
        <f t="shared" si="90"/>
        <v>0.19183496769833674</v>
      </c>
    </row>
    <row r="227" spans="1:21" hidden="1" x14ac:dyDescent="0.25">
      <c r="A227" s="113">
        <v>9</v>
      </c>
      <c r="B227" s="130" t="str">
        <f>+'COCTELES MALANGA'!B122</f>
        <v xml:space="preserve">ROSA DEL TROPICO </v>
      </c>
      <c r="C227" s="130"/>
      <c r="D227" s="131" t="e">
        <f>+'COCTELES MALANGA'!K125</f>
        <v>#N/A</v>
      </c>
      <c r="E227" s="202"/>
      <c r="F227" s="132">
        <f t="shared" ref="F227:F232" si="91">+E227/1.08*0.08</f>
        <v>0</v>
      </c>
      <c r="G227" s="131">
        <f>+Tabla5557279515274450[[#This Row],[VENTA]]-Tabla5557279515274450[[#This Row],[ICO 8%]]</f>
        <v>0</v>
      </c>
      <c r="H227" s="133" t="e">
        <f>+Tabla5557279515274450[[#This Row],[COSTO]]/Tabla5557279515274450[[#This Row],[BASE]]</f>
        <v>#N/A</v>
      </c>
      <c r="I227" s="134" t="e">
        <f>+Tabla5557279515274450[[#This Row],[BASE]]/Tabla5557279515274450[[#This Row],[COSTO]]</f>
        <v>#N/A</v>
      </c>
      <c r="J227" s="135" t="e">
        <f>+VLOOKUP(Tabla5557279515274450[[#This Row],[COCTELES MALANGA]],#REF!,2,0)</f>
        <v>#REF!</v>
      </c>
      <c r="K227" s="136" t="e">
        <f t="shared" si="84"/>
        <v>#N/A</v>
      </c>
      <c r="L227" s="131" t="e">
        <f t="shared" ref="L227:L232" si="92">+K227/1.08*0.08</f>
        <v>#N/A</v>
      </c>
      <c r="M227" s="137" t="e">
        <f>+Tabla5557279515274450[[#This Row],[PRECIO SUGERIDO]]+Tabla5557279515274450[[#This Row],[ICO2]]</f>
        <v>#N/A</v>
      </c>
      <c r="N227" s="138"/>
      <c r="O227" s="132">
        <f t="shared" ref="O227:O232" si="93">+N227/1.08*0.08</f>
        <v>0</v>
      </c>
      <c r="P227" s="139">
        <f t="shared" ref="P227:P232" si="94">+N227-O227</f>
        <v>0</v>
      </c>
      <c r="Q227" s="133" t="e">
        <f t="shared" si="88"/>
        <v>#N/A</v>
      </c>
      <c r="R227" s="194" t="e">
        <f t="shared" ref="R227:R232" si="95">+P227/D227</f>
        <v>#N/A</v>
      </c>
      <c r="S227" s="70">
        <v>47000</v>
      </c>
      <c r="T227" s="272" t="e">
        <f t="shared" si="90"/>
        <v>#N/A</v>
      </c>
    </row>
    <row r="228" spans="1:21" hidden="1" x14ac:dyDescent="0.25">
      <c r="A228" s="113">
        <v>10</v>
      </c>
      <c r="B228" s="130" t="str">
        <f>+'COCTELES MALANGA'!B135</f>
        <v xml:space="preserve">MARGARITA SPICY </v>
      </c>
      <c r="C228" s="130"/>
      <c r="D228" s="131">
        <f>+'COCTELES MALANGA'!K138</f>
        <v>9042.4254469449988</v>
      </c>
      <c r="E228" s="202"/>
      <c r="F228" s="132">
        <f t="shared" si="91"/>
        <v>0</v>
      </c>
      <c r="G228" s="131">
        <f>+Tabla5557279515274450[[#This Row],[VENTA]]-Tabla5557279515274450[[#This Row],[ICO 8%]]</f>
        <v>0</v>
      </c>
      <c r="H228" s="133" t="e">
        <f>+Tabla5557279515274450[[#This Row],[COSTO]]/Tabla5557279515274450[[#This Row],[BASE]]</f>
        <v>#DIV/0!</v>
      </c>
      <c r="I228" s="134">
        <f>+Tabla5557279515274450[[#This Row],[BASE]]/Tabla5557279515274450[[#This Row],[COSTO]]</f>
        <v>0</v>
      </c>
      <c r="J228" s="135" t="e">
        <f>+VLOOKUP(Tabla5557279515274450[[#This Row],[COCTELES MALANGA]],#REF!,2,0)</f>
        <v>#REF!</v>
      </c>
      <c r="K228" s="136">
        <f t="shared" si="84"/>
        <v>25835.501276985713</v>
      </c>
      <c r="L228" s="131">
        <f t="shared" si="92"/>
        <v>1913.7408353322751</v>
      </c>
      <c r="M228" s="137">
        <f>+Tabla5557279515274450[[#This Row],[PRECIO SUGERIDO]]+Tabla5557279515274450[[#This Row],[ICO2]]</f>
        <v>27749.242112317988</v>
      </c>
      <c r="N228" s="138"/>
      <c r="O228" s="132">
        <f t="shared" si="93"/>
        <v>0</v>
      </c>
      <c r="P228" s="139">
        <f t="shared" si="94"/>
        <v>0</v>
      </c>
      <c r="Q228" s="133" t="e">
        <f t="shared" si="88"/>
        <v>#DIV/0!</v>
      </c>
      <c r="R228" s="194">
        <f t="shared" si="95"/>
        <v>0</v>
      </c>
      <c r="S228" s="70">
        <v>39000</v>
      </c>
      <c r="T228" s="272">
        <f t="shared" si="90"/>
        <v>0.23185706274217946</v>
      </c>
    </row>
    <row r="229" spans="1:21" hidden="1" x14ac:dyDescent="0.25">
      <c r="A229" s="113">
        <v>11</v>
      </c>
      <c r="B229" s="130" t="str">
        <f>+'COCTELES MALANGA'!B160</f>
        <v>PALOMA PATRON SILVER</v>
      </c>
      <c r="C229" s="130"/>
      <c r="D229" s="131">
        <f>+'COCTELES MALANGA'!K163</f>
        <v>23130.060615507999</v>
      </c>
      <c r="E229" s="202">
        <v>80000</v>
      </c>
      <c r="F229" s="132">
        <f t="shared" si="91"/>
        <v>5925.9259259259261</v>
      </c>
      <c r="G229" s="131">
        <f>+Tabla5557279515274450[[#This Row],[VENTA]]-Tabla5557279515274450[[#This Row],[ICO 8%]]</f>
        <v>74074.074074074073</v>
      </c>
      <c r="H229" s="133">
        <f>+Tabla5557279515274450[[#This Row],[COSTO]]/Tabla5557279515274450[[#This Row],[BASE]]</f>
        <v>0.312255818309358</v>
      </c>
      <c r="I229" s="134">
        <f>+Tabla5557279515274450[[#This Row],[BASE]]/Tabla5557279515274450[[#This Row],[COSTO]]</f>
        <v>3.2025023758221227</v>
      </c>
      <c r="J229" s="135" t="e">
        <f>+VLOOKUP(Tabla5557279515274450[[#This Row],[COCTELES MALANGA]],#REF!,2,0)</f>
        <v>#REF!</v>
      </c>
      <c r="K229" s="136">
        <f>+D229/(100-65)*100</f>
        <v>66085.88747288</v>
      </c>
      <c r="L229" s="131">
        <f t="shared" si="92"/>
        <v>4895.2509239170367</v>
      </c>
      <c r="M229" s="137">
        <f>+Tabla5557279515274450[[#This Row],[PRECIO SUGERIDO]]+Tabla5557279515274450[[#This Row],[ICO2]]</f>
        <v>70981.138396797032</v>
      </c>
      <c r="N229" s="138">
        <v>70000</v>
      </c>
      <c r="O229" s="132">
        <f t="shared" si="93"/>
        <v>5185.1851851851852</v>
      </c>
      <c r="P229" s="139">
        <f t="shared" si="94"/>
        <v>64814.814814814818</v>
      </c>
      <c r="Q229" s="133">
        <f t="shared" si="88"/>
        <v>0.35686379235355198</v>
      </c>
      <c r="R229" s="194">
        <f t="shared" si="95"/>
        <v>2.8021895788443576</v>
      </c>
      <c r="S229" s="70">
        <v>70000</v>
      </c>
      <c r="T229" s="272">
        <f t="shared" si="90"/>
        <v>0.3304294373644</v>
      </c>
    </row>
    <row r="230" spans="1:21" hidden="1" x14ac:dyDescent="0.25">
      <c r="A230" s="113">
        <v>12</v>
      </c>
      <c r="B230" s="130" t="str">
        <f>+'COCTELES MALANGA'!B171</f>
        <v>MARGARITA PATRON SILVER</v>
      </c>
      <c r="C230" s="130"/>
      <c r="D230" s="131">
        <f>+'COCTELES MALANGA'!K174</f>
        <v>22967.999308671999</v>
      </c>
      <c r="E230" s="202"/>
      <c r="F230" s="132">
        <f t="shared" si="91"/>
        <v>0</v>
      </c>
      <c r="G230" s="131">
        <f>+Tabla5557279515274450[[#This Row],[VENTA]]-Tabla5557279515274450[[#This Row],[ICO 8%]]</f>
        <v>0</v>
      </c>
      <c r="H230" s="133" t="e">
        <f>+Tabla5557279515274450[[#This Row],[COSTO]]/Tabla5557279515274450[[#This Row],[BASE]]</f>
        <v>#DIV/0!</v>
      </c>
      <c r="I230" s="134">
        <f>+Tabla5557279515274450[[#This Row],[BASE]]/Tabla5557279515274450[[#This Row],[COSTO]]</f>
        <v>0</v>
      </c>
      <c r="J230" s="135" t="e">
        <f>+VLOOKUP(Tabla5557279515274450[[#This Row],[COCTELES MALANGA]],#REF!,2,0)</f>
        <v>#REF!</v>
      </c>
      <c r="K230" s="136">
        <f>+D230/(100-65)*100</f>
        <v>65622.855167634276</v>
      </c>
      <c r="L230" s="131">
        <f t="shared" si="92"/>
        <v>4860.9522346395752</v>
      </c>
      <c r="M230" s="137">
        <f>+Tabla5557279515274450[[#This Row],[PRECIO SUGERIDO]]+Tabla5557279515274450[[#This Row],[ICO2]]</f>
        <v>70483.807402273844</v>
      </c>
      <c r="N230" s="138">
        <v>70900</v>
      </c>
      <c r="O230" s="132">
        <f t="shared" si="93"/>
        <v>5251.8518518518522</v>
      </c>
      <c r="P230" s="139">
        <f t="shared" si="94"/>
        <v>65648.148148148146</v>
      </c>
      <c r="Q230" s="133">
        <f t="shared" si="88"/>
        <v>0.34986515166947474</v>
      </c>
      <c r="R230" s="194">
        <f t="shared" si="95"/>
        <v>2.8582440841227932</v>
      </c>
      <c r="S230" s="70">
        <v>70000</v>
      </c>
      <c r="T230" s="272">
        <f t="shared" si="90"/>
        <v>0.32811427583817143</v>
      </c>
    </row>
    <row r="231" spans="1:21" hidden="1" x14ac:dyDescent="0.25">
      <c r="A231" s="113">
        <v>13</v>
      </c>
      <c r="B231" s="199" t="str">
        <f>+'COCTELES MALANGA'!B199</f>
        <v>CORAZON DE LAVA</v>
      </c>
      <c r="C231" s="130"/>
      <c r="D231" s="131">
        <f>+'COCTELES MALANGA'!K202</f>
        <v>6423.9190759040011</v>
      </c>
      <c r="E231" s="202"/>
      <c r="F231" s="132">
        <f t="shared" si="91"/>
        <v>0</v>
      </c>
      <c r="G231" s="131">
        <f>+Tabla5557279515274450[[#This Row],[VENTA]]-Tabla5557279515274450[[#This Row],[ICO 8%]]</f>
        <v>0</v>
      </c>
      <c r="H231" s="133" t="e">
        <f>+Tabla5557279515274450[[#This Row],[COSTO]]/Tabla5557279515274450[[#This Row],[BASE]]</f>
        <v>#DIV/0!</v>
      </c>
      <c r="I231" s="134">
        <f>+Tabla5557279515274450[[#This Row],[BASE]]/Tabla5557279515274450[[#This Row],[COSTO]]</f>
        <v>0</v>
      </c>
      <c r="J231" s="135" t="e">
        <f>+VLOOKUP(Tabla5557279515274450[[#This Row],[COCTELES MALANGA]],#REF!,2,0)</f>
        <v>#REF!</v>
      </c>
      <c r="K231" s="136">
        <f>+D231/(100-65)*100</f>
        <v>18354.054502582861</v>
      </c>
      <c r="L231" s="131">
        <f t="shared" si="92"/>
        <v>1359.5595927839156</v>
      </c>
      <c r="M231" s="137">
        <f>+Tabla5557279515274450[[#This Row],[PRECIO SUGERIDO]]+Tabla5557279515274450[[#This Row],[ICO2]]</f>
        <v>19713.614095366778</v>
      </c>
      <c r="N231" s="138"/>
      <c r="O231" s="132">
        <f t="shared" si="93"/>
        <v>0</v>
      </c>
      <c r="P231" s="139">
        <f t="shared" si="94"/>
        <v>0</v>
      </c>
      <c r="Q231" s="133" t="e">
        <f t="shared" si="88"/>
        <v>#DIV/0!</v>
      </c>
      <c r="R231" s="194">
        <f t="shared" si="95"/>
        <v>0</v>
      </c>
      <c r="S231" s="70">
        <v>49000</v>
      </c>
      <c r="T231" s="272">
        <f>+D231/S231</f>
        <v>0.13110038930416329</v>
      </c>
    </row>
    <row r="232" spans="1:21" hidden="1" x14ac:dyDescent="0.25">
      <c r="B232" s="130" t="str">
        <f>+'COCTELES TRADICIONALES'!B329</f>
        <v>SEDUCCCION</v>
      </c>
      <c r="C232" s="130"/>
      <c r="D232" s="131" t="e">
        <f>+'COCTELES TRADICIONALES'!K332</f>
        <v>#N/A</v>
      </c>
      <c r="E232" s="202"/>
      <c r="F232" s="132">
        <f t="shared" si="91"/>
        <v>0</v>
      </c>
      <c r="G232" s="131">
        <f>+Tabla5557279515274450[[#This Row],[VENTA]]-Tabla5557279515274450[[#This Row],[ICO 8%]]</f>
        <v>0</v>
      </c>
      <c r="H232" s="133" t="e">
        <f>+Tabla5557279515274450[[#This Row],[COSTO]]/Tabla5557279515274450[[#This Row],[BASE]]</f>
        <v>#N/A</v>
      </c>
      <c r="I232" s="134" t="e">
        <f>+Tabla5557279515274450[[#This Row],[BASE]]/Tabla5557279515274450[[#This Row],[COSTO]]</f>
        <v>#N/A</v>
      </c>
      <c r="J232" s="135" t="e">
        <f>+VLOOKUP(Tabla5557279515274450[[#This Row],[COCTELES MALANGA]],#REF!,2,0)</f>
        <v>#REF!</v>
      </c>
      <c r="K232" s="136" t="e">
        <f>+D232/(100-65)*100</f>
        <v>#N/A</v>
      </c>
      <c r="L232" s="131" t="e">
        <f t="shared" si="92"/>
        <v>#N/A</v>
      </c>
      <c r="M232" s="137" t="e">
        <f>+Tabla5557279515274450[[#This Row],[PRECIO SUGERIDO]]+Tabla5557279515274450[[#This Row],[ICO2]]</f>
        <v>#N/A</v>
      </c>
      <c r="N232" s="138"/>
      <c r="O232" s="132">
        <f t="shared" si="93"/>
        <v>0</v>
      </c>
      <c r="P232" s="139">
        <f t="shared" si="94"/>
        <v>0</v>
      </c>
      <c r="Q232" s="133" t="e">
        <f t="shared" si="88"/>
        <v>#N/A</v>
      </c>
      <c r="R232" s="194" t="e">
        <f t="shared" si="95"/>
        <v>#N/A</v>
      </c>
      <c r="S232" s="70">
        <v>45000</v>
      </c>
      <c r="T232" s="272" t="e">
        <f>+D232/S232</f>
        <v>#N/A</v>
      </c>
    </row>
    <row r="233" spans="1:21" ht="13.8" thickBot="1" x14ac:dyDescent="0.3">
      <c r="B233" s="171" t="str">
        <f>+'COCTELES MALANGA'!B212</f>
        <v>SUBLIME</v>
      </c>
      <c r="C233" s="171"/>
      <c r="D233" s="172">
        <f>+'COCTELES MALANGA'!K215</f>
        <v>8349.6351522099994</v>
      </c>
      <c r="E233" s="391"/>
      <c r="F233" s="173">
        <f>+E233/1.08*0.08</f>
        <v>0</v>
      </c>
      <c r="G233" s="172">
        <f>+Tabla5557279515274450[[#This Row],[VENTA]]-Tabla5557279515274450[[#This Row],[ICO 8%]]</f>
        <v>0</v>
      </c>
      <c r="H233" s="174" t="e">
        <f>+Tabla5557279515274450[[#This Row],[COSTO]]/Tabla5557279515274450[[#This Row],[BASE]]</f>
        <v>#DIV/0!</v>
      </c>
      <c r="I233" s="175">
        <f>+Tabla5557279515274450[[#This Row],[BASE]]/Tabla5557279515274450[[#This Row],[COSTO]]</f>
        <v>0</v>
      </c>
      <c r="J233" s="113" t="e">
        <f>+VLOOKUP(Tabla5557279515274450[[#This Row],[COCTELES MALANGA]],#REF!,2,0)</f>
        <v>#REF!</v>
      </c>
      <c r="K233" s="176">
        <f>+D233/(100-65)*100</f>
        <v>23856.100434885713</v>
      </c>
      <c r="L233" s="172">
        <f>+K233/1.08*0.08</f>
        <v>1767.118550732275</v>
      </c>
      <c r="M233" s="177">
        <f>+Tabla5557279515274450[[#This Row],[PRECIO SUGERIDO]]+Tabla5557279515274450[[#This Row],[ICO2]]</f>
        <v>25623.218985617987</v>
      </c>
      <c r="N233" s="178">
        <v>37000</v>
      </c>
      <c r="O233" s="173">
        <f>+N233/1.08*0.08</f>
        <v>2740.7407407407404</v>
      </c>
      <c r="P233" s="179">
        <f>+N233-O233</f>
        <v>34259.259259259263</v>
      </c>
      <c r="Q233" s="133">
        <f t="shared" si="88"/>
        <v>0.24371908011856211</v>
      </c>
      <c r="R233" s="180">
        <f>+P233/D233</f>
        <v>4.1030845821079316</v>
      </c>
      <c r="S233" s="70">
        <f>+Tabla5557279515274450[[#This Row],[VENTA]]*13%+Tabla5557279515274450[[#This Row],[VENTA]]</f>
        <v>0</v>
      </c>
      <c r="T233" s="392" t="e">
        <f>+D233/S233</f>
        <v>#DIV/0!</v>
      </c>
    </row>
    <row r="234" spans="1:21" ht="13.8" thickBot="1" x14ac:dyDescent="0.3">
      <c r="B234" s="153" t="s">
        <v>35</v>
      </c>
      <c r="C234" s="181"/>
      <c r="D234" s="155"/>
      <c r="E234" s="156"/>
      <c r="F234" s="156"/>
      <c r="G234" s="155"/>
      <c r="H234" s="158" t="e">
        <f>SUBTOTAL(101,Tabla5557279515274450[%])</f>
        <v>#DIV/0!</v>
      </c>
      <c r="I234" s="156"/>
      <c r="J234" s="156" t="e">
        <f>SUBTOTAL(109,Tabla5557279515274450[ROTACION])</f>
        <v>#REF!</v>
      </c>
      <c r="K234" s="159"/>
      <c r="L234" s="155"/>
      <c r="M234" s="156"/>
      <c r="N234" s="160"/>
      <c r="O234" s="156"/>
      <c r="P234" s="155"/>
      <c r="Q234" s="161"/>
      <c r="R234" s="162">
        <f>SUBTOTAL(109,Tabla5557279515274450[RATION])</f>
        <v>4.1030845821079316</v>
      </c>
      <c r="S234" s="232"/>
      <c r="T234" s="275"/>
    </row>
    <row r="236" spans="1:21" x14ac:dyDescent="0.25">
      <c r="E236" s="117" t="s">
        <v>25</v>
      </c>
      <c r="F236" s="114"/>
      <c r="G236" s="118"/>
      <c r="H236" s="114"/>
      <c r="I236" s="114"/>
      <c r="J236" s="70"/>
      <c r="K236" s="396" t="s">
        <v>29</v>
      </c>
      <c r="L236" s="396"/>
      <c r="M236" s="396"/>
      <c r="N236" s="395" t="s">
        <v>1090</v>
      </c>
      <c r="O236" s="395"/>
      <c r="P236" s="395"/>
      <c r="Q236" s="395"/>
    </row>
    <row r="237" spans="1:21" x14ac:dyDescent="0.25">
      <c r="B237" s="183" t="s">
        <v>346</v>
      </c>
      <c r="C237" s="184" t="s">
        <v>316</v>
      </c>
      <c r="D237" s="185" t="s">
        <v>7</v>
      </c>
      <c r="E237" s="186" t="s">
        <v>20</v>
      </c>
      <c r="F237" s="187" t="s">
        <v>33</v>
      </c>
      <c r="G237" s="185" t="s">
        <v>26</v>
      </c>
      <c r="H237" s="188" t="s">
        <v>21</v>
      </c>
      <c r="I237" s="189" t="s">
        <v>22</v>
      </c>
      <c r="J237" s="189" t="s">
        <v>23</v>
      </c>
      <c r="K237" s="189" t="s">
        <v>27</v>
      </c>
      <c r="L237" s="185" t="s">
        <v>32</v>
      </c>
      <c r="M237" s="189" t="s">
        <v>28</v>
      </c>
      <c r="N237" s="190" t="s">
        <v>30</v>
      </c>
      <c r="O237" s="185" t="s">
        <v>34</v>
      </c>
      <c r="P237" s="185" t="s">
        <v>25</v>
      </c>
      <c r="Q237" s="191" t="s">
        <v>31</v>
      </c>
      <c r="R237" s="192" t="s">
        <v>24</v>
      </c>
      <c r="S237" s="234" t="s">
        <v>1262</v>
      </c>
      <c r="T237" s="276" t="s">
        <v>1263</v>
      </c>
      <c r="U237" s="265"/>
    </row>
    <row r="238" spans="1:21" hidden="1" x14ac:dyDescent="0.25">
      <c r="A238" s="113">
        <v>1</v>
      </c>
      <c r="B238" s="130" t="str">
        <f>+SANGRIAS!B74</f>
        <v>COPA ROSADA CARIBE</v>
      </c>
      <c r="C238" s="130"/>
      <c r="D238" s="131">
        <f>+SANGRIAS!K76</f>
        <v>10866.408894973501</v>
      </c>
      <c r="E238" s="132">
        <f>+SANGRIAS!K77</f>
        <v>42000</v>
      </c>
      <c r="F238" s="132">
        <f t="shared" ref="F238:F245" si="96">+E238/1.08*0.08</f>
        <v>3111.1111111111109</v>
      </c>
      <c r="G238" s="131">
        <f>+Tabla5557279515274[[#This Row],[VENTA]]-Tabla5557279515274[[#This Row],[ICO 8%]]</f>
        <v>38888.888888888891</v>
      </c>
      <c r="H238" s="133">
        <f>+Tabla5557279515274[[#This Row],[COSTO]]/Tabla5557279515274[[#This Row],[BASE]]</f>
        <v>0.27942194301360429</v>
      </c>
      <c r="I238" s="134">
        <f>+Tabla5557279515274[[#This Row],[BASE]]/Tabla5557279515274[[#This Row],[COSTO]]</f>
        <v>3.5788170006079754</v>
      </c>
      <c r="J238" s="135" t="e">
        <f>+VLOOKUP(Tabla5557279515274[[#This Row],[SANGRIAS]],#REF!,2,0)</f>
        <v>#REF!</v>
      </c>
      <c r="K238" s="136">
        <f t="shared" ref="K238:K245" si="97">+D238/(100-75)*100</f>
        <v>43465.635579894006</v>
      </c>
      <c r="L238" s="131">
        <f t="shared" ref="L238:L245" si="98">+K238/1.08*0.08</f>
        <v>3219.6767096217782</v>
      </c>
      <c r="M238" s="137">
        <f>+Tabla5557279515274[[#This Row],[PRECIO SUGERIDO]]+Tabla5557279515274[[#This Row],[ICO2]]</f>
        <v>46685.312289515787</v>
      </c>
      <c r="N238" s="141">
        <f>+Tabla5557279515274[[#This Row],[VENTA]]</f>
        <v>42000</v>
      </c>
      <c r="O238" s="132">
        <f t="shared" ref="O238:O245" si="99">+N238/1.08*0.08</f>
        <v>3111.1111111111109</v>
      </c>
      <c r="P238" s="139">
        <f t="shared" ref="P238:P245" si="100">+N238-O238</f>
        <v>38888.888888888891</v>
      </c>
      <c r="Q238" s="133">
        <f t="shared" ref="Q238:Q245" si="101">+D238/P238</f>
        <v>0.27942194301360429</v>
      </c>
      <c r="R238" s="194">
        <f t="shared" ref="R238:R245" si="102">+P238/D238</f>
        <v>3.5788170006079754</v>
      </c>
      <c r="S238" s="70">
        <v>42000</v>
      </c>
      <c r="T238" s="272">
        <f t="shared" ref="T238:T247" si="103">+D238/S238</f>
        <v>0.25872402130889288</v>
      </c>
    </row>
    <row r="239" spans="1:21" hidden="1" x14ac:dyDescent="0.25">
      <c r="A239" s="113">
        <v>3</v>
      </c>
      <c r="B239" s="130" t="str">
        <f>+SANGRIAS!B89</f>
        <v>COPA TINTO DE COROZO</v>
      </c>
      <c r="C239" s="130"/>
      <c r="D239" s="131">
        <f>+SANGRIAS!K92</f>
        <v>7477.0476832590011</v>
      </c>
      <c r="E239" s="132">
        <f>+SANGRIAS!K93</f>
        <v>42000</v>
      </c>
      <c r="F239" s="132">
        <f t="shared" si="96"/>
        <v>3111.1111111111109</v>
      </c>
      <c r="G239" s="131">
        <f>+Tabla5557279515274[[#This Row],[VENTA]]-Tabla5557279515274[[#This Row],[ICO 8%]]</f>
        <v>38888.888888888891</v>
      </c>
      <c r="H239" s="133">
        <f>+Tabla5557279515274[[#This Row],[COSTO]]/Tabla5557279515274[[#This Row],[BASE]]</f>
        <v>0.19226694042666001</v>
      </c>
      <c r="I239" s="134">
        <f>+Tabla5557279515274[[#This Row],[BASE]]/Tabla5557279515274[[#This Row],[COSTO]]</f>
        <v>5.2011021644225348</v>
      </c>
      <c r="J239" s="135" t="e">
        <f>+VLOOKUP(Tabla5557279515274[[#This Row],[SANGRIAS]],#REF!,2,0)</f>
        <v>#REF!</v>
      </c>
      <c r="K239" s="136">
        <f t="shared" si="97"/>
        <v>29908.190733036001</v>
      </c>
      <c r="L239" s="131">
        <f t="shared" si="98"/>
        <v>2215.4215357804446</v>
      </c>
      <c r="M239" s="137">
        <f>+Tabla5557279515274[[#This Row],[PRECIO SUGERIDO]]+Tabla5557279515274[[#This Row],[ICO2]]</f>
        <v>32123.612268816447</v>
      </c>
      <c r="N239" s="141">
        <f>+Tabla5557279515274[[#This Row],[VENTA]]</f>
        <v>42000</v>
      </c>
      <c r="O239" s="132">
        <f t="shared" si="99"/>
        <v>3111.1111111111109</v>
      </c>
      <c r="P239" s="139">
        <f t="shared" si="100"/>
        <v>38888.888888888891</v>
      </c>
      <c r="Q239" s="133">
        <f t="shared" si="101"/>
        <v>0.19226694042666001</v>
      </c>
      <c r="R239" s="194">
        <f t="shared" si="102"/>
        <v>5.2011021644225348</v>
      </c>
      <c r="S239" s="70">
        <v>42000</v>
      </c>
      <c r="T239" s="272">
        <f t="shared" si="103"/>
        <v>0.17802494483950002</v>
      </c>
    </row>
    <row r="240" spans="1:21" hidden="1" x14ac:dyDescent="0.25">
      <c r="A240" s="113">
        <v>4</v>
      </c>
      <c r="B240" s="130" t="str">
        <f>+SANGRIAS!B61</f>
        <v xml:space="preserve">LAMBRUSCO TINTO </v>
      </c>
      <c r="C240" s="130" t="s">
        <v>519</v>
      </c>
      <c r="D240" s="131">
        <f>+SANGRIAS!K64</f>
        <v>50071.307608014002</v>
      </c>
      <c r="E240" s="132">
        <f>+SANGRIAS!K65</f>
        <v>163000</v>
      </c>
      <c r="F240" s="132">
        <f t="shared" si="96"/>
        <v>12074.074074074075</v>
      </c>
      <c r="G240" s="131">
        <f>+Tabla5557279515274[[#This Row],[VENTA]]-Tabla5557279515274[[#This Row],[ICO 8%]]</f>
        <v>150925.92592592593</v>
      </c>
      <c r="H240" s="133">
        <f>+Tabla5557279515274[[#This Row],[COSTO]]/Tabla5557279515274[[#This Row],[BASE]]</f>
        <v>0.33176081114512346</v>
      </c>
      <c r="I240" s="134">
        <f>+Tabla5557279515274[[#This Row],[BASE]]/Tabla5557279515274[[#This Row],[COSTO]]</f>
        <v>3.0142197824641985</v>
      </c>
      <c r="J240" s="135" t="e">
        <f>+VLOOKUP(Tabla5557279515274[[#This Row],[SANGRIAS]],#REF!,2,0)</f>
        <v>#REF!</v>
      </c>
      <c r="K240" s="136">
        <f t="shared" si="97"/>
        <v>200285.23043205601</v>
      </c>
      <c r="L240" s="131">
        <f t="shared" si="98"/>
        <v>14835.94299496711</v>
      </c>
      <c r="M240" s="137">
        <f>+Tabla5557279515274[[#This Row],[PRECIO SUGERIDO]]+Tabla5557279515274[[#This Row],[ICO2]]</f>
        <v>215121.17342702311</v>
      </c>
      <c r="N240" s="141">
        <f>+Tabla5557279515274[[#This Row],[VENTA]]</f>
        <v>163000</v>
      </c>
      <c r="O240" s="132">
        <f t="shared" si="99"/>
        <v>12074.074074074075</v>
      </c>
      <c r="P240" s="139">
        <f t="shared" si="100"/>
        <v>150925.92592592593</v>
      </c>
      <c r="Q240" s="133">
        <f t="shared" si="101"/>
        <v>0.33176081114512346</v>
      </c>
      <c r="R240" s="194">
        <f t="shared" si="102"/>
        <v>3.0142197824641985</v>
      </c>
      <c r="S240" s="70">
        <v>163000</v>
      </c>
      <c r="T240" s="272">
        <f t="shared" si="103"/>
        <v>0.30718593624548468</v>
      </c>
    </row>
    <row r="241" spans="1:22" hidden="1" x14ac:dyDescent="0.25">
      <c r="A241" s="113">
        <v>5</v>
      </c>
      <c r="B241" s="130" t="str">
        <f>+SANGRIAS!B21</f>
        <v>ROSADA DEL CARIBE</v>
      </c>
      <c r="C241" s="130" t="s">
        <v>516</v>
      </c>
      <c r="D241" s="131">
        <f>+SANGRIAS!K24</f>
        <v>41503.559621556997</v>
      </c>
      <c r="E241" s="132">
        <f>+SANGRIAS!K25</f>
        <v>120000</v>
      </c>
      <c r="F241" s="132">
        <f t="shared" si="96"/>
        <v>8888.8888888888887</v>
      </c>
      <c r="G241" s="131">
        <f>+Tabla5557279515274[[#This Row],[VENTA]]-Tabla5557279515274[[#This Row],[ICO 8%]]</f>
        <v>111111.11111111111</v>
      </c>
      <c r="H241" s="133">
        <f>+Tabla5557279515274[[#This Row],[COSTO]]/Tabla5557279515274[[#This Row],[BASE]]</f>
        <v>0.37353203659401296</v>
      </c>
      <c r="I241" s="134">
        <f>+Tabla5557279515274[[#This Row],[BASE]]/Tabla5557279515274[[#This Row],[COSTO]]</f>
        <v>2.6771465417486713</v>
      </c>
      <c r="J241" s="135" t="e">
        <f>+VLOOKUP(Tabla5557279515274[[#This Row],[SANGRIAS]],#REF!,2,0)</f>
        <v>#REF!</v>
      </c>
      <c r="K241" s="136">
        <f t="shared" si="97"/>
        <v>166014.23848622799</v>
      </c>
      <c r="L241" s="131">
        <f t="shared" si="98"/>
        <v>12297.350998979851</v>
      </c>
      <c r="M241" s="137">
        <f>+Tabla5557279515274[[#This Row],[PRECIO SUGERIDO]]+Tabla5557279515274[[#This Row],[ICO2]]</f>
        <v>178311.58948520783</v>
      </c>
      <c r="N241" s="141">
        <f>+Tabla5557279515274[[#This Row],[VENTA]]</f>
        <v>120000</v>
      </c>
      <c r="O241" s="132">
        <f t="shared" si="99"/>
        <v>8888.8888888888887</v>
      </c>
      <c r="P241" s="139">
        <f t="shared" si="100"/>
        <v>111111.11111111111</v>
      </c>
      <c r="Q241" s="133">
        <f t="shared" si="101"/>
        <v>0.37353203659401296</v>
      </c>
      <c r="R241" s="194">
        <f t="shared" si="102"/>
        <v>2.6771465417486713</v>
      </c>
      <c r="S241" s="70">
        <v>120000</v>
      </c>
      <c r="T241" s="272">
        <f t="shared" si="103"/>
        <v>0.34586299684630828</v>
      </c>
    </row>
    <row r="242" spans="1:22" hidden="1" x14ac:dyDescent="0.25">
      <c r="B242" s="130" t="str">
        <f>+SANGRIAS!B48</f>
        <v>SANGRÍA BLANCA</v>
      </c>
      <c r="C242" s="130" t="s">
        <v>518</v>
      </c>
      <c r="D242" s="131">
        <f>+SANGRIAS!K51</f>
        <v>37098.413328152004</v>
      </c>
      <c r="E242" s="132">
        <f>+SANGRIAS!K52</f>
        <v>120000</v>
      </c>
      <c r="F242" s="132">
        <f t="shared" si="96"/>
        <v>8888.8888888888887</v>
      </c>
      <c r="G242" s="131">
        <f>+Tabla5557279515274[[#This Row],[VENTA]]-Tabla5557279515274[[#This Row],[ICO 8%]]</f>
        <v>111111.11111111111</v>
      </c>
      <c r="H242" s="133">
        <f>+Tabla5557279515274[[#This Row],[COSTO]]/Tabla5557279515274[[#This Row],[BASE]]</f>
        <v>0.33388571995336802</v>
      </c>
      <c r="I242" s="134">
        <f>+Tabla5557279515274[[#This Row],[BASE]]/Tabla5557279515274[[#This Row],[COSTO]]</f>
        <v>2.9950367453261086</v>
      </c>
      <c r="J242" s="135" t="e">
        <f>+VLOOKUP(Tabla5557279515274[[#This Row],[SANGRIAS]],#REF!,2,0)</f>
        <v>#REF!</v>
      </c>
      <c r="K242" s="136">
        <f t="shared" si="97"/>
        <v>148393.65331260802</v>
      </c>
      <c r="L242" s="131">
        <f t="shared" si="98"/>
        <v>10992.122467600593</v>
      </c>
      <c r="M242" s="137">
        <f>+Tabla5557279515274[[#This Row],[PRECIO SUGERIDO]]+Tabla5557279515274[[#This Row],[ICO2]]</f>
        <v>159385.77578020861</v>
      </c>
      <c r="N242" s="141">
        <f>+Tabla5557279515274[[#This Row],[VENTA]]</f>
        <v>120000</v>
      </c>
      <c r="O242" s="132">
        <f t="shared" si="99"/>
        <v>8888.8888888888887</v>
      </c>
      <c r="P242" s="139">
        <f t="shared" si="100"/>
        <v>111111.11111111111</v>
      </c>
      <c r="Q242" s="133">
        <f t="shared" si="101"/>
        <v>0.33388571995336802</v>
      </c>
      <c r="R242" s="194">
        <f t="shared" si="102"/>
        <v>2.9950367453261086</v>
      </c>
      <c r="S242" s="70">
        <v>120000</v>
      </c>
      <c r="T242" s="272">
        <f t="shared" si="103"/>
        <v>0.30915344440126669</v>
      </c>
    </row>
    <row r="243" spans="1:22" hidden="1" x14ac:dyDescent="0.25">
      <c r="A243" s="113">
        <v>6</v>
      </c>
      <c r="B243" s="130" t="str">
        <f>+SANGRIAS!B102</f>
        <v>SANGRIA LAMBRUSCO BLANCA</v>
      </c>
      <c r="C243" s="130"/>
      <c r="D243" s="131">
        <f>+SANGRIAS!K105</f>
        <v>49299.449935493991</v>
      </c>
      <c r="E243" s="132"/>
      <c r="F243" s="132">
        <f t="shared" si="96"/>
        <v>0</v>
      </c>
      <c r="G243" s="131">
        <f>+Tabla5557279515274[[#This Row],[VENTA]]-Tabla5557279515274[[#This Row],[ICO 8%]]</f>
        <v>0</v>
      </c>
      <c r="H243" s="133" t="e">
        <f>+Tabla5557279515274[[#This Row],[COSTO]]/Tabla5557279515274[[#This Row],[BASE]]</f>
        <v>#DIV/0!</v>
      </c>
      <c r="I243" s="134">
        <f>+Tabla5557279515274[[#This Row],[BASE]]/Tabla5557279515274[[#This Row],[COSTO]]</f>
        <v>0</v>
      </c>
      <c r="J243" s="135" t="e">
        <f>+VLOOKUP(Tabla5557279515274[[#This Row],[SANGRIAS]],#REF!,2,0)</f>
        <v>#REF!</v>
      </c>
      <c r="K243" s="136">
        <f t="shared" si="97"/>
        <v>197197.79974197596</v>
      </c>
      <c r="L243" s="131">
        <f t="shared" si="98"/>
        <v>14607.244425331552</v>
      </c>
      <c r="M243" s="137">
        <f>+Tabla5557279515274[[#This Row],[PRECIO SUGERIDO]]+Tabla5557279515274[[#This Row],[ICO2]]</f>
        <v>211805.04416730753</v>
      </c>
      <c r="N243" s="141">
        <f>+Tabla5557279515274[[#This Row],[VENTA]]</f>
        <v>0</v>
      </c>
      <c r="O243" s="132">
        <f t="shared" si="99"/>
        <v>0</v>
      </c>
      <c r="P243" s="139">
        <f t="shared" si="100"/>
        <v>0</v>
      </c>
      <c r="Q243" s="281" t="e">
        <f t="shared" si="101"/>
        <v>#DIV/0!</v>
      </c>
      <c r="R243" s="194">
        <f t="shared" si="102"/>
        <v>0</v>
      </c>
      <c r="S243" s="70">
        <v>168000</v>
      </c>
      <c r="T243" s="272">
        <f t="shared" si="103"/>
        <v>0.2934491067588928</v>
      </c>
    </row>
    <row r="244" spans="1:22" hidden="1" x14ac:dyDescent="0.25">
      <c r="A244" s="113">
        <v>7</v>
      </c>
      <c r="B244" s="130" t="str">
        <f>+SANGRIAS!B36</f>
        <v>TINTO DE COROZO</v>
      </c>
      <c r="C244" s="130" t="s">
        <v>517</v>
      </c>
      <c r="D244" s="131">
        <f>+SANGRIAS!K39</f>
        <v>30721.574274699004</v>
      </c>
      <c r="E244" s="132">
        <f>+SANGRIAS!K40</f>
        <v>149000</v>
      </c>
      <c r="F244" s="132">
        <f t="shared" si="96"/>
        <v>11037.037037037036</v>
      </c>
      <c r="G244" s="131">
        <f>+Tabla5557279515274[[#This Row],[VENTA]]-Tabla5557279515274[[#This Row],[ICO 8%]]</f>
        <v>137962.96296296298</v>
      </c>
      <c r="H244" s="133">
        <f>+Tabla5557279515274[[#This Row],[COSTO]]/Tabla5557279515274[[#This Row],[BASE]]</f>
        <v>0.22267986722600619</v>
      </c>
      <c r="I244" s="134">
        <f>+Tabla5557279515274[[#This Row],[BASE]]/Tabla5557279515274[[#This Row],[COSTO]]</f>
        <v>4.4907517345744701</v>
      </c>
      <c r="J244" s="135" t="e">
        <f>+VLOOKUP(Tabla5557279515274[[#This Row],[SANGRIAS]],#REF!,2,0)</f>
        <v>#REF!</v>
      </c>
      <c r="K244" s="136">
        <f t="shared" si="97"/>
        <v>122886.29709879601</v>
      </c>
      <c r="L244" s="131">
        <f t="shared" si="98"/>
        <v>9102.6886739848887</v>
      </c>
      <c r="M244" s="137">
        <f>+Tabla5557279515274[[#This Row],[PRECIO SUGERIDO]]+Tabla5557279515274[[#This Row],[ICO2]]</f>
        <v>131988.9857727809</v>
      </c>
      <c r="N244" s="141">
        <f>+Tabla5557279515274[[#This Row],[VENTA]]</f>
        <v>149000</v>
      </c>
      <c r="O244" s="132">
        <f t="shared" si="99"/>
        <v>11037.037037037036</v>
      </c>
      <c r="P244" s="139">
        <f t="shared" si="100"/>
        <v>137962.96296296298</v>
      </c>
      <c r="Q244" s="133">
        <f t="shared" si="101"/>
        <v>0.22267986722600619</v>
      </c>
      <c r="R244" s="194">
        <f t="shared" si="102"/>
        <v>4.4907517345744701</v>
      </c>
      <c r="S244" s="244">
        <v>163000</v>
      </c>
      <c r="T244" s="272">
        <f t="shared" si="103"/>
        <v>0.18847591579569942</v>
      </c>
    </row>
    <row r="245" spans="1:22" hidden="1" x14ac:dyDescent="0.25">
      <c r="A245" s="113">
        <v>8</v>
      </c>
      <c r="B245" s="130" t="str">
        <f>+SANGRIAS!B116</f>
        <v>COPA BLANCA</v>
      </c>
      <c r="C245" s="130"/>
      <c r="D245" s="131">
        <f>+SANGRIAS!K119</f>
        <v>9808.0882900110009</v>
      </c>
      <c r="E245" s="132" t="e">
        <f>+SANGRIAS!#REF!</f>
        <v>#REF!</v>
      </c>
      <c r="F245" s="132" t="e">
        <f t="shared" si="96"/>
        <v>#REF!</v>
      </c>
      <c r="G245" s="131" t="e">
        <f>+Tabla5557279515274[[#This Row],[VENTA]]-Tabla5557279515274[[#This Row],[ICO 8%]]</f>
        <v>#REF!</v>
      </c>
      <c r="H245" s="133" t="e">
        <f>+Tabla5557279515274[[#This Row],[COSTO]]/Tabla5557279515274[[#This Row],[BASE]]</f>
        <v>#REF!</v>
      </c>
      <c r="I245" s="134" t="e">
        <f>+Tabla5557279515274[[#This Row],[BASE]]/Tabla5557279515274[[#This Row],[COSTO]]</f>
        <v>#REF!</v>
      </c>
      <c r="J245" s="135" t="e">
        <f>+VLOOKUP(Tabla5557279515274[[#This Row],[SANGRIAS]],#REF!,2,0)</f>
        <v>#REF!</v>
      </c>
      <c r="K245" s="136">
        <f t="shared" si="97"/>
        <v>39232.353160044004</v>
      </c>
      <c r="L245" s="131">
        <f t="shared" si="98"/>
        <v>2906.1002340773334</v>
      </c>
      <c r="M245" s="137">
        <f>+Tabla5557279515274[[#This Row],[PRECIO SUGERIDO]]+Tabla5557279515274[[#This Row],[ICO2]]</f>
        <v>42138.453394121338</v>
      </c>
      <c r="N245" s="141" t="e">
        <f>+Tabla5557279515274[[#This Row],[VENTA]]</f>
        <v>#REF!</v>
      </c>
      <c r="O245" s="132" t="e">
        <f t="shared" si="99"/>
        <v>#REF!</v>
      </c>
      <c r="P245" s="139" t="e">
        <f t="shared" si="100"/>
        <v>#REF!</v>
      </c>
      <c r="Q245" s="133" t="e">
        <f t="shared" si="101"/>
        <v>#REF!</v>
      </c>
      <c r="R245" s="194" t="e">
        <f t="shared" si="102"/>
        <v>#REF!</v>
      </c>
      <c r="S245" s="70">
        <v>42000</v>
      </c>
      <c r="T245" s="272">
        <f t="shared" si="103"/>
        <v>0.2335259116669286</v>
      </c>
    </row>
    <row r="246" spans="1:22" x14ac:dyDescent="0.25">
      <c r="B246" s="171" t="str">
        <f>+SANGRIAS!B129</f>
        <v>COPA VINO CALIENTE</v>
      </c>
      <c r="C246" s="171"/>
      <c r="D246" s="172">
        <f>+SANGRIAS!K132</f>
        <v>12663.901151088001</v>
      </c>
      <c r="E246" s="173"/>
      <c r="F246" s="173">
        <f>+E246/1.08*0.08</f>
        <v>0</v>
      </c>
      <c r="G246" s="172">
        <f>+Tabla5557279515274[[#This Row],[VENTA]]-Tabla5557279515274[[#This Row],[ICO 8%]]</f>
        <v>0</v>
      </c>
      <c r="H246" s="174" t="e">
        <f>+Tabla5557279515274[[#This Row],[COSTO]]/Tabla5557279515274[[#This Row],[BASE]]</f>
        <v>#DIV/0!</v>
      </c>
      <c r="I246" s="175">
        <f>+Tabla5557279515274[[#This Row],[BASE]]/Tabla5557279515274[[#This Row],[COSTO]]</f>
        <v>0</v>
      </c>
      <c r="J246" s="113" t="e">
        <f>+VLOOKUP(Tabla5557279515274[[#This Row],[SANGRIAS]],#REF!,2,0)</f>
        <v>#REF!</v>
      </c>
      <c r="K246" s="176">
        <f>+D246/(100-75)*100</f>
        <v>50655.604604352004</v>
      </c>
      <c r="L246" s="172">
        <f>+K246/1.08*0.08</f>
        <v>3752.267007729778</v>
      </c>
      <c r="M246" s="177">
        <f>+Tabla5557279515274[[#This Row],[PRECIO SUGERIDO]]+Tabla5557279515274[[#This Row],[ICO2]]</f>
        <v>54407.871612081784</v>
      </c>
      <c r="N246" s="268">
        <f>+Tabla5557279515274[[#This Row],[VENTA]]</f>
        <v>0</v>
      </c>
      <c r="O246" s="173">
        <f>+N246/1.08*0.08</f>
        <v>0</v>
      </c>
      <c r="P246" s="179">
        <f>+N246-O246</f>
        <v>0</v>
      </c>
      <c r="Q246" s="250" t="e">
        <f>+D246/P246</f>
        <v>#DIV/0!</v>
      </c>
      <c r="R246" s="180">
        <f>+P246/D246</f>
        <v>0</v>
      </c>
      <c r="S246" s="70">
        <v>47000</v>
      </c>
      <c r="T246" s="272">
        <f t="shared" si="103"/>
        <v>0.26944470534229792</v>
      </c>
    </row>
    <row r="247" spans="1:22" ht="13.8" thickBot="1" x14ac:dyDescent="0.3">
      <c r="B247" s="171" t="str">
        <f>+SANGRIAS!B142</f>
        <v>COPA TINTO DE VERANO</v>
      </c>
      <c r="C247" s="171"/>
      <c r="D247" s="172">
        <f>+SANGRIAS!K145</f>
        <v>6029.5218945169991</v>
      </c>
      <c r="E247" s="173"/>
      <c r="F247" s="173">
        <f>+E247/1.08*0.08</f>
        <v>0</v>
      </c>
      <c r="G247" s="172">
        <f>+Tabla5557279515274[[#This Row],[VENTA]]-Tabla5557279515274[[#This Row],[ICO 8%]]</f>
        <v>0</v>
      </c>
      <c r="H247" s="174" t="e">
        <f>+Tabla5557279515274[[#This Row],[COSTO]]/Tabla5557279515274[[#This Row],[BASE]]</f>
        <v>#DIV/0!</v>
      </c>
      <c r="I247" s="175">
        <f>+Tabla5557279515274[[#This Row],[BASE]]/Tabla5557279515274[[#This Row],[COSTO]]</f>
        <v>0</v>
      </c>
      <c r="J247" s="113" t="e">
        <f>+VLOOKUP(Tabla5557279515274[[#This Row],[SANGRIAS]],#REF!,2,0)</f>
        <v>#REF!</v>
      </c>
      <c r="K247" s="176">
        <f>+D247/(100-75)*100</f>
        <v>24118.087578067996</v>
      </c>
      <c r="L247" s="172">
        <f>+K247/1.08*0.08</f>
        <v>1786.5250057828143</v>
      </c>
      <c r="M247" s="177">
        <f>+Tabla5557279515274[[#This Row],[PRECIO SUGERIDO]]+Tabla5557279515274[[#This Row],[ICO2]]</f>
        <v>25904.612583850809</v>
      </c>
      <c r="N247" s="268">
        <f>+Tabla5557279515274[[#This Row],[VENTA]]</f>
        <v>0</v>
      </c>
      <c r="O247" s="173">
        <f>+N247/1.08*0.08</f>
        <v>0</v>
      </c>
      <c r="P247" s="179">
        <f>+N247-O247</f>
        <v>0</v>
      </c>
      <c r="Q247" s="250" t="e">
        <f>+D247/P247</f>
        <v>#DIV/0!</v>
      </c>
      <c r="R247" s="180">
        <f>+P247/D247</f>
        <v>0</v>
      </c>
      <c r="S247" s="70">
        <v>47000</v>
      </c>
      <c r="T247" s="272">
        <f t="shared" si="103"/>
        <v>0.12828769988334041</v>
      </c>
    </row>
    <row r="248" spans="1:22" ht="13.8" thickBot="1" x14ac:dyDescent="0.3">
      <c r="B248" s="153" t="s">
        <v>35</v>
      </c>
      <c r="C248" s="181"/>
      <c r="D248" s="155"/>
      <c r="E248" s="156"/>
      <c r="F248" s="156"/>
      <c r="G248" s="155"/>
      <c r="H248" s="158" t="e">
        <f>SUBTOTAL(101,Tabla5557279515274[%])</f>
        <v>#DIV/0!</v>
      </c>
      <c r="I248" s="156"/>
      <c r="J248" s="156" t="e">
        <f>SUBTOTAL(109,Tabla5557279515274[ROTACION])</f>
        <v>#REF!</v>
      </c>
      <c r="K248" s="159"/>
      <c r="L248" s="155"/>
      <c r="M248" s="156"/>
      <c r="N248" s="160"/>
      <c r="O248" s="156"/>
      <c r="P248" s="155"/>
      <c r="Q248" s="161"/>
      <c r="R248" s="162">
        <f>SUBTOTAL(109,Tabla5557279515274[RATION])</f>
        <v>0</v>
      </c>
      <c r="S248" s="232"/>
      <c r="T248" s="275"/>
    </row>
    <row r="250" spans="1:22" x14ac:dyDescent="0.25">
      <c r="E250" s="117" t="s">
        <v>25</v>
      </c>
      <c r="F250" s="114"/>
      <c r="G250" s="118"/>
      <c r="H250" s="114"/>
      <c r="I250" s="114"/>
      <c r="J250" s="70"/>
      <c r="K250" s="396" t="s">
        <v>29</v>
      </c>
      <c r="L250" s="396"/>
      <c r="M250" s="396"/>
      <c r="N250" s="395" t="s">
        <v>1090</v>
      </c>
      <c r="O250" s="395"/>
      <c r="P250" s="395"/>
      <c r="Q250" s="395"/>
    </row>
    <row r="251" spans="1:22" x14ac:dyDescent="0.25">
      <c r="B251" s="183" t="s">
        <v>351</v>
      </c>
      <c r="C251" s="184" t="s">
        <v>316</v>
      </c>
      <c r="D251" s="185" t="s">
        <v>7</v>
      </c>
      <c r="E251" s="186" t="s">
        <v>20</v>
      </c>
      <c r="F251" s="187" t="s">
        <v>33</v>
      </c>
      <c r="G251" s="185" t="s">
        <v>26</v>
      </c>
      <c r="H251" s="188" t="s">
        <v>21</v>
      </c>
      <c r="I251" s="189" t="s">
        <v>22</v>
      </c>
      <c r="J251" s="189" t="s">
        <v>23</v>
      </c>
      <c r="K251" s="189" t="s">
        <v>27</v>
      </c>
      <c r="L251" s="185" t="s">
        <v>32</v>
      </c>
      <c r="M251" s="189" t="s">
        <v>28</v>
      </c>
      <c r="N251" s="190" t="s">
        <v>30</v>
      </c>
      <c r="O251" s="185" t="s">
        <v>34</v>
      </c>
      <c r="P251" s="185" t="s">
        <v>25</v>
      </c>
      <c r="Q251" s="191" t="s">
        <v>31</v>
      </c>
      <c r="R251" s="192" t="s">
        <v>24</v>
      </c>
      <c r="S251" s="234" t="s">
        <v>1262</v>
      </c>
      <c r="T251" s="276" t="s">
        <v>1263</v>
      </c>
      <c r="V251" s="309" t="s">
        <v>1298</v>
      </c>
    </row>
    <row r="252" spans="1:22" x14ac:dyDescent="0.25">
      <c r="A252" s="113">
        <v>2</v>
      </c>
      <c r="B252" s="130" t="str">
        <f>+RON!B46</f>
        <v>MEDIA RON MEDELLIN 8 AÑOS</v>
      </c>
      <c r="C252" s="130"/>
      <c r="D252" s="131">
        <f>+RON!I49</f>
        <v>41205</v>
      </c>
      <c r="E252" s="132">
        <f>+RON!I50</f>
        <v>125000</v>
      </c>
      <c r="F252" s="132">
        <f t="shared" ref="F252:F262" si="104">+E252/1.08*0.08</f>
        <v>9259.2592592592591</v>
      </c>
      <c r="G252" s="131">
        <f>+Tabla555727951527473[[#This Row],[VENTA]]-Tabla555727951527473[[#This Row],[ICO 8%]]</f>
        <v>115740.74074074074</v>
      </c>
      <c r="H252" s="133">
        <f>+Tabla555727951527473[[#This Row],[COSTO]]/Tabla555727951527473[[#This Row],[BASE]]</f>
        <v>0.35601119999999997</v>
      </c>
      <c r="I252" s="134">
        <f>+Tabla555727951527473[[#This Row],[BASE]]/Tabla555727951527473[[#This Row],[COSTO]]</f>
        <v>2.8089003941449033</v>
      </c>
      <c r="J252" s="135" t="e">
        <f>+VLOOKUP(Tabla555727951527473[[#This Row],[RON]],#REF!,2,0)</f>
        <v>#REF!</v>
      </c>
      <c r="K252" s="136">
        <f t="shared" ref="K252:K262" si="105">+D252/(100-65)*100</f>
        <v>117728.57142857142</v>
      </c>
      <c r="L252" s="131">
        <f t="shared" ref="L252:L262" si="106">+K252/1.08*0.08</f>
        <v>8720.6349206349205</v>
      </c>
      <c r="M252" s="137">
        <f>+Tabla555727951527473[[#This Row],[PRECIO SUGERIDO]]+Tabla555727951527473[[#This Row],[ICO2]]</f>
        <v>126449.20634920635</v>
      </c>
      <c r="N252" s="138">
        <v>125000</v>
      </c>
      <c r="O252" s="132">
        <f t="shared" ref="O252:O262" si="107">+N252/1.08*0.08</f>
        <v>9259.2592592592591</v>
      </c>
      <c r="P252" s="139">
        <f t="shared" ref="P252:P262" si="108">+N252-O252</f>
        <v>115740.74074074074</v>
      </c>
      <c r="Q252" s="133">
        <f t="shared" ref="Q252:Q262" si="109">+D252/P252</f>
        <v>0.35601119999999997</v>
      </c>
      <c r="R252" s="194">
        <f t="shared" ref="R252:R262" si="110">+P252/D252</f>
        <v>2.8089003941449033</v>
      </c>
      <c r="S252" s="244">
        <v>145000</v>
      </c>
      <c r="T252" s="272">
        <f t="shared" ref="T252:T262" si="111">+D252/S252</f>
        <v>0.28417241379310343</v>
      </c>
    </row>
    <row r="253" spans="1:22" x14ac:dyDescent="0.25">
      <c r="B253" s="130" t="str">
        <f>+RON!B112</f>
        <v>MEDIA CALDAS 8 AÑOS</v>
      </c>
      <c r="C253" s="130"/>
      <c r="D253" s="131">
        <f>+RON!I115</f>
        <v>45100</v>
      </c>
      <c r="E253" s="132"/>
      <c r="F253" s="132">
        <f t="shared" si="104"/>
        <v>0</v>
      </c>
      <c r="G253" s="131">
        <f>+Tabla555727951527473[[#This Row],[VENTA]]-Tabla555727951527473[[#This Row],[ICO 8%]]</f>
        <v>0</v>
      </c>
      <c r="H253" s="133" t="e">
        <f>+Tabla555727951527473[[#This Row],[COSTO]]/Tabla555727951527473[[#This Row],[BASE]]</f>
        <v>#DIV/0!</v>
      </c>
      <c r="I253" s="134">
        <f>+Tabla555727951527473[[#This Row],[BASE]]/Tabla555727951527473[[#This Row],[COSTO]]</f>
        <v>0</v>
      </c>
      <c r="J253" s="135" t="e">
        <f>+VLOOKUP(Tabla555727951527473[[#This Row],[RON]],#REF!,2,0)</f>
        <v>#REF!</v>
      </c>
      <c r="K253" s="136">
        <f t="shared" si="105"/>
        <v>128857.14285714287</v>
      </c>
      <c r="L253" s="131">
        <f t="shared" si="106"/>
        <v>9544.9735449735454</v>
      </c>
      <c r="M253" s="137">
        <f>+Tabla555727951527473[[#This Row],[PRECIO SUGERIDO]]+Tabla555727951527473[[#This Row],[ICO2]]</f>
        <v>138402.11640211643</v>
      </c>
      <c r="N253" s="138"/>
      <c r="O253" s="132">
        <f t="shared" si="107"/>
        <v>0</v>
      </c>
      <c r="P253" s="139">
        <f t="shared" si="108"/>
        <v>0</v>
      </c>
      <c r="Q253" s="281" t="e">
        <f t="shared" si="109"/>
        <v>#DIV/0!</v>
      </c>
      <c r="R253" s="194">
        <f t="shared" si="110"/>
        <v>0</v>
      </c>
      <c r="S253" s="308">
        <v>147000</v>
      </c>
      <c r="T253" s="272">
        <f t="shared" si="111"/>
        <v>0.30680272108843537</v>
      </c>
      <c r="V253" s="309" t="s">
        <v>1299</v>
      </c>
    </row>
    <row r="254" spans="1:22" x14ac:dyDescent="0.25">
      <c r="A254" s="113">
        <v>3</v>
      </c>
      <c r="B254" s="130" t="str">
        <f>+RON!B33</f>
        <v>RON MEDELLIN 8 AÑOS</v>
      </c>
      <c r="C254" s="130"/>
      <c r="D254" s="131">
        <f>+RON!I36</f>
        <v>70078.000000079992</v>
      </c>
      <c r="E254" s="132">
        <f>+RON!I37</f>
        <v>190000</v>
      </c>
      <c r="F254" s="132">
        <f t="shared" si="104"/>
        <v>14074.074074074075</v>
      </c>
      <c r="G254" s="131">
        <f>+Tabla555727951527473[[#This Row],[VENTA]]-Tabla555727951527473[[#This Row],[ICO 8%]]</f>
        <v>175925.92592592593</v>
      </c>
      <c r="H254" s="133">
        <f>+Tabla555727951527473[[#This Row],[COSTO]]/Tabla555727951527473[[#This Row],[BASE]]</f>
        <v>0.39833810526361257</v>
      </c>
      <c r="I254" s="134">
        <f>+Tabla555727951527473[[#This Row],[BASE]]/Tabla555727951527473[[#This Row],[COSTO]]</f>
        <v>2.510430176741989</v>
      </c>
      <c r="J254" s="135" t="e">
        <f>+VLOOKUP(Tabla555727951527473[[#This Row],[RON]],#REF!,2,0)</f>
        <v>#REF!</v>
      </c>
      <c r="K254" s="136">
        <f t="shared" si="105"/>
        <v>200222.85714308568</v>
      </c>
      <c r="L254" s="131">
        <f t="shared" si="106"/>
        <v>14831.32275133968</v>
      </c>
      <c r="M254" s="137">
        <f>+Tabla555727951527473[[#This Row],[PRECIO SUGERIDO]]+Tabla555727951527473[[#This Row],[ICO2]]</f>
        <v>215054.17989442535</v>
      </c>
      <c r="N254" s="138">
        <v>190000</v>
      </c>
      <c r="O254" s="132">
        <f t="shared" si="107"/>
        <v>14074.074074074075</v>
      </c>
      <c r="P254" s="139">
        <f t="shared" si="108"/>
        <v>175925.92592592593</v>
      </c>
      <c r="Q254" s="133">
        <f t="shared" si="109"/>
        <v>0.39833810526361257</v>
      </c>
      <c r="R254" s="194">
        <f t="shared" si="110"/>
        <v>2.510430176741989</v>
      </c>
      <c r="S254" s="244">
        <v>270000</v>
      </c>
      <c r="T254" s="272">
        <f t="shared" si="111"/>
        <v>0.2595481481484444</v>
      </c>
    </row>
    <row r="255" spans="1:22" x14ac:dyDescent="0.25">
      <c r="A255" s="113">
        <v>4</v>
      </c>
      <c r="B255" s="130" t="str">
        <f>+RON!B88</f>
        <v xml:space="preserve">RON SAILOR JERRY  </v>
      </c>
      <c r="C255" s="130"/>
      <c r="D255" s="131">
        <f>+RON!I91</f>
        <v>82982.999999899999</v>
      </c>
      <c r="E255" s="132">
        <f>+RON!I92</f>
        <v>220000</v>
      </c>
      <c r="F255" s="132">
        <f t="shared" si="104"/>
        <v>16296.296296296294</v>
      </c>
      <c r="G255" s="131">
        <f>+Tabla555727951527473[[#This Row],[VENTA]]-Tabla555727951527473[[#This Row],[ICO 8%]]</f>
        <v>203703.70370370371</v>
      </c>
      <c r="H255" s="133">
        <f>+Tabla555727951527473[[#This Row],[COSTO]]/Tabla555727951527473[[#This Row],[BASE]]</f>
        <v>0.40737109090859996</v>
      </c>
      <c r="I255" s="134">
        <f>+Tabla555727951527473[[#This Row],[BASE]]/Tabla555727951527473[[#This Row],[COSTO]]</f>
        <v>2.4547642734529864</v>
      </c>
      <c r="J255" s="135" t="e">
        <f>+VLOOKUP(Tabla555727951527473[[#This Row],[RON]],#REF!,2,0)</f>
        <v>#REF!</v>
      </c>
      <c r="K255" s="136">
        <f t="shared" si="105"/>
        <v>237094.285714</v>
      </c>
      <c r="L255" s="131">
        <f t="shared" si="106"/>
        <v>17562.539682518516</v>
      </c>
      <c r="M255" s="137">
        <f>+Tabla555727951527473[[#This Row],[PRECIO SUGERIDO]]+Tabla555727951527473[[#This Row],[ICO2]]</f>
        <v>254656.82539651851</v>
      </c>
      <c r="N255" s="138">
        <v>220000</v>
      </c>
      <c r="O255" s="132">
        <f t="shared" si="107"/>
        <v>16296.296296296294</v>
      </c>
      <c r="P255" s="139">
        <f t="shared" si="108"/>
        <v>203703.70370370371</v>
      </c>
      <c r="Q255" s="133">
        <f t="shared" si="109"/>
        <v>0.40737109090859996</v>
      </c>
      <c r="R255" s="194">
        <f t="shared" si="110"/>
        <v>2.4547642734529864</v>
      </c>
      <c r="S255" s="244">
        <v>290000</v>
      </c>
      <c r="T255" s="272">
        <f t="shared" si="111"/>
        <v>0.28614827586172414</v>
      </c>
    </row>
    <row r="256" spans="1:22" x14ac:dyDescent="0.25">
      <c r="A256" s="113">
        <v>5</v>
      </c>
      <c r="B256" s="199" t="str">
        <f>+RON!B76</f>
        <v xml:space="preserve">RON VIEJO DE CALDAS 3 AÑOS </v>
      </c>
      <c r="C256" s="130"/>
      <c r="D256" s="131">
        <f>+RON!I79</f>
        <v>49990.000000079992</v>
      </c>
      <c r="E256" s="132">
        <f>+RON!I80</f>
        <v>115000</v>
      </c>
      <c r="F256" s="132">
        <f t="shared" si="104"/>
        <v>8518.5185185185182</v>
      </c>
      <c r="G256" s="131">
        <f>+Tabla555727951527473[[#This Row],[VENTA]]-Tabla555727951527473[[#This Row],[ICO 8%]]</f>
        <v>106481.48148148149</v>
      </c>
      <c r="H256" s="133">
        <f>+Tabla555727951527473[[#This Row],[COSTO]]/Tabla555727951527473[[#This Row],[BASE]]</f>
        <v>0.46947130434857726</v>
      </c>
      <c r="I256" s="134">
        <f>+Tabla555727951527473[[#This Row],[BASE]]/Tabla555727951527473[[#This Row],[COSTO]]</f>
        <v>2.1300556407543727</v>
      </c>
      <c r="J256" s="135" t="e">
        <f>+VLOOKUP(Tabla555727951527473[[#This Row],[RON]],#REF!,2,0)</f>
        <v>#REF!</v>
      </c>
      <c r="K256" s="136">
        <f t="shared" si="105"/>
        <v>142828.57142879997</v>
      </c>
      <c r="L256" s="131">
        <f t="shared" si="106"/>
        <v>10579.894179911109</v>
      </c>
      <c r="M256" s="137">
        <f>+Tabla555727951527473[[#This Row],[PRECIO SUGERIDO]]+Tabla555727951527473[[#This Row],[ICO2]]</f>
        <v>153408.46560871109</v>
      </c>
      <c r="N256" s="310">
        <v>150000</v>
      </c>
      <c r="O256" s="132">
        <f t="shared" si="107"/>
        <v>11111.111111111109</v>
      </c>
      <c r="P256" s="131">
        <f t="shared" si="108"/>
        <v>138888.88888888888</v>
      </c>
      <c r="Q256" s="133">
        <f t="shared" si="109"/>
        <v>0.35992800000057595</v>
      </c>
      <c r="R256" s="194">
        <f t="shared" si="110"/>
        <v>2.7783334444622252</v>
      </c>
      <c r="S256" s="244">
        <v>190000</v>
      </c>
      <c r="T256" s="272">
        <f t="shared" si="111"/>
        <v>0.26310526315831573</v>
      </c>
    </row>
    <row r="257" spans="1:20" x14ac:dyDescent="0.25">
      <c r="A257" s="113">
        <v>6</v>
      </c>
      <c r="B257" s="130" t="str">
        <f>+RON!B6</f>
        <v>RON ZACAPA 23 AÑOS</v>
      </c>
      <c r="C257" s="130"/>
      <c r="D257" s="131">
        <f>+RON!I9</f>
        <v>271700</v>
      </c>
      <c r="E257" s="132">
        <f>+RON!I10</f>
        <v>580000</v>
      </c>
      <c r="F257" s="132">
        <f t="shared" si="104"/>
        <v>42962.962962962956</v>
      </c>
      <c r="G257" s="131">
        <f>+Tabla555727951527473[[#This Row],[VENTA]]-Tabla555727951527473[[#This Row],[ICO 8%]]</f>
        <v>537037.03703703708</v>
      </c>
      <c r="H257" s="133">
        <f>+Tabla555727951527473[[#This Row],[COSTO]]/Tabla555727951527473[[#This Row],[BASE]]</f>
        <v>0.50592413793103441</v>
      </c>
      <c r="I257" s="134">
        <f>+Tabla555727951527473[[#This Row],[BASE]]/Tabla555727951527473[[#This Row],[COSTO]]</f>
        <v>1.9765809239493453</v>
      </c>
      <c r="J257" s="135" t="e">
        <f>+VLOOKUP(Tabla555727951527473[[#This Row],[RON]],#REF!,2,0)</f>
        <v>#REF!</v>
      </c>
      <c r="K257" s="136">
        <f t="shared" si="105"/>
        <v>776285.71428571432</v>
      </c>
      <c r="L257" s="131">
        <f t="shared" si="106"/>
        <v>57502.645502645508</v>
      </c>
      <c r="M257" s="137">
        <f>+Tabla555727951527473[[#This Row],[PRECIO SUGERIDO]]+Tabla555727951527473[[#This Row],[ICO2]]</f>
        <v>833788.35978835984</v>
      </c>
      <c r="N257" s="310">
        <v>580000</v>
      </c>
      <c r="O257" s="132">
        <f t="shared" si="107"/>
        <v>42962.962962962956</v>
      </c>
      <c r="P257" s="131">
        <f t="shared" si="108"/>
        <v>537037.03703703708</v>
      </c>
      <c r="Q257" s="133">
        <f t="shared" si="109"/>
        <v>0.50592413793103441</v>
      </c>
      <c r="R257" s="194">
        <f t="shared" si="110"/>
        <v>1.9765809239493453</v>
      </c>
      <c r="S257" s="244">
        <v>605000</v>
      </c>
      <c r="T257" s="272">
        <f t="shared" si="111"/>
        <v>0.4490909090909091</v>
      </c>
    </row>
    <row r="258" spans="1:20" x14ac:dyDescent="0.25">
      <c r="A258" s="113">
        <v>8</v>
      </c>
      <c r="B258" s="130" t="str">
        <f>+RON!B99</f>
        <v xml:space="preserve">TRAGO RON MALIBU </v>
      </c>
      <c r="C258" s="130"/>
      <c r="D258" s="131">
        <f>+RON!I102</f>
        <v>4943.5833333399996</v>
      </c>
      <c r="E258" s="132">
        <f>+RON!I103</f>
        <v>18000</v>
      </c>
      <c r="F258" s="132">
        <f t="shared" si="104"/>
        <v>1333.3333333333333</v>
      </c>
      <c r="G258" s="131">
        <f>+Tabla555727951527473[[#This Row],[VENTA]]-Tabla555727951527473[[#This Row],[ICO 8%]]</f>
        <v>16666.666666666668</v>
      </c>
      <c r="H258" s="133">
        <f>+Tabla555727951527473[[#This Row],[COSTO]]/Tabla555727951527473[[#This Row],[BASE]]</f>
        <v>0.29661500000039998</v>
      </c>
      <c r="I258" s="134">
        <f>+Tabla555727951527473[[#This Row],[BASE]]/Tabla555727951527473[[#This Row],[COSTO]]</f>
        <v>3.3713736661957472</v>
      </c>
      <c r="J258" s="135" t="e">
        <f>+VLOOKUP(Tabla555727951527473[[#This Row],[RON]],#REF!,2,0)</f>
        <v>#REF!</v>
      </c>
      <c r="K258" s="136">
        <f t="shared" si="105"/>
        <v>14124.523809542856</v>
      </c>
      <c r="L258" s="131">
        <f t="shared" si="106"/>
        <v>1046.2610229291004</v>
      </c>
      <c r="M258" s="137">
        <f>+Tabla555727951527473[[#This Row],[PRECIO SUGERIDO]]+Tabla555727951527473[[#This Row],[ICO2]]</f>
        <v>15170.784832471956</v>
      </c>
      <c r="N258" s="310">
        <v>18000</v>
      </c>
      <c r="O258" s="132">
        <f t="shared" si="107"/>
        <v>1333.3333333333333</v>
      </c>
      <c r="P258" s="131">
        <f t="shared" si="108"/>
        <v>16666.666666666668</v>
      </c>
      <c r="Q258" s="133">
        <f t="shared" si="109"/>
        <v>0.29661500000039998</v>
      </c>
      <c r="R258" s="194">
        <f t="shared" si="110"/>
        <v>3.3713736661957472</v>
      </c>
      <c r="S258" s="244">
        <v>25000</v>
      </c>
      <c r="T258" s="272">
        <f t="shared" si="111"/>
        <v>0.19774333333359997</v>
      </c>
    </row>
    <row r="259" spans="1:20" x14ac:dyDescent="0.25">
      <c r="A259" s="113">
        <v>10</v>
      </c>
      <c r="B259" s="130" t="e">
        <f>+RON!#REF!</f>
        <v>#REF!</v>
      </c>
      <c r="C259" s="130"/>
      <c r="D259" s="131" t="e">
        <f>+RON!#REF!</f>
        <v>#REF!</v>
      </c>
      <c r="E259" s="132" t="e">
        <f>+RON!#REF!</f>
        <v>#REF!</v>
      </c>
      <c r="F259" s="132" t="e">
        <f t="shared" si="104"/>
        <v>#REF!</v>
      </c>
      <c r="G259" s="131" t="e">
        <f>+Tabla555727951527473[[#This Row],[VENTA]]-Tabla555727951527473[[#This Row],[ICO 8%]]</f>
        <v>#REF!</v>
      </c>
      <c r="H259" s="133" t="e">
        <f>+Tabla555727951527473[[#This Row],[COSTO]]/Tabla555727951527473[[#This Row],[BASE]]</f>
        <v>#REF!</v>
      </c>
      <c r="I259" s="134" t="e">
        <f>+Tabla555727951527473[[#This Row],[BASE]]/Tabla555727951527473[[#This Row],[COSTO]]</f>
        <v>#REF!</v>
      </c>
      <c r="J259" s="135" t="e">
        <f>+VLOOKUP(Tabla555727951527473[[#This Row],[RON]],#REF!,2,0)</f>
        <v>#REF!</v>
      </c>
      <c r="K259" s="136" t="e">
        <f t="shared" si="105"/>
        <v>#REF!</v>
      </c>
      <c r="L259" s="131" t="e">
        <f t="shared" si="106"/>
        <v>#REF!</v>
      </c>
      <c r="M259" s="137" t="e">
        <f>+Tabla555727951527473[[#This Row],[PRECIO SUGERIDO]]+Tabla555727951527473[[#This Row],[ICO2]]</f>
        <v>#REF!</v>
      </c>
      <c r="N259" s="310">
        <v>18000</v>
      </c>
      <c r="O259" s="132">
        <f t="shared" si="107"/>
        <v>1333.3333333333333</v>
      </c>
      <c r="P259" s="131">
        <f t="shared" si="108"/>
        <v>16666.666666666668</v>
      </c>
      <c r="Q259" s="133" t="e">
        <f t="shared" si="109"/>
        <v>#REF!</v>
      </c>
      <c r="R259" s="194" t="e">
        <f t="shared" si="110"/>
        <v>#REF!</v>
      </c>
      <c r="S259" s="244">
        <v>32000</v>
      </c>
      <c r="T259" s="272" t="e">
        <f t="shared" si="111"/>
        <v>#REF!</v>
      </c>
    </row>
    <row r="260" spans="1:20" x14ac:dyDescent="0.25">
      <c r="A260" s="113">
        <v>11</v>
      </c>
      <c r="B260" s="130" t="e">
        <f>+RON!#REF!</f>
        <v>#REF!</v>
      </c>
      <c r="C260" s="130"/>
      <c r="D260" s="131" t="e">
        <f>+RON!#REF!</f>
        <v>#REF!</v>
      </c>
      <c r="E260" s="132" t="e">
        <f>+RON!#REF!</f>
        <v>#REF!</v>
      </c>
      <c r="F260" s="132" t="e">
        <f t="shared" si="104"/>
        <v>#REF!</v>
      </c>
      <c r="G260" s="131" t="e">
        <f>+Tabla555727951527473[[#This Row],[VENTA]]-Tabla555727951527473[[#This Row],[ICO 8%]]</f>
        <v>#REF!</v>
      </c>
      <c r="H260" s="133" t="e">
        <f>+Tabla555727951527473[[#This Row],[COSTO]]/Tabla555727951527473[[#This Row],[BASE]]</f>
        <v>#REF!</v>
      </c>
      <c r="I260" s="134" t="e">
        <f>+Tabla555727951527473[[#This Row],[BASE]]/Tabla555727951527473[[#This Row],[COSTO]]</f>
        <v>#REF!</v>
      </c>
      <c r="J260" s="135" t="e">
        <f>+VLOOKUP(Tabla555727951527473[[#This Row],[RON]],#REF!,2,0)</f>
        <v>#REF!</v>
      </c>
      <c r="K260" s="136" t="e">
        <f t="shared" si="105"/>
        <v>#REF!</v>
      </c>
      <c r="L260" s="131" t="e">
        <f t="shared" si="106"/>
        <v>#REF!</v>
      </c>
      <c r="M260" s="137" t="e">
        <f>+Tabla555727951527473[[#This Row],[PRECIO SUGERIDO]]+Tabla555727951527473[[#This Row],[ICO2]]</f>
        <v>#REF!</v>
      </c>
      <c r="N260" s="310">
        <v>25000</v>
      </c>
      <c r="O260" s="132">
        <f t="shared" si="107"/>
        <v>1851.8518518518517</v>
      </c>
      <c r="P260" s="131">
        <f t="shared" si="108"/>
        <v>23148.14814814815</v>
      </c>
      <c r="Q260" s="133" t="e">
        <f t="shared" si="109"/>
        <v>#REF!</v>
      </c>
      <c r="R260" s="194" t="e">
        <f t="shared" si="110"/>
        <v>#REF!</v>
      </c>
      <c r="S260" s="244">
        <v>33000</v>
      </c>
      <c r="T260" s="272" t="e">
        <f t="shared" si="111"/>
        <v>#REF!</v>
      </c>
    </row>
    <row r="261" spans="1:20" x14ac:dyDescent="0.25">
      <c r="A261" s="113">
        <v>12</v>
      </c>
      <c r="B261" s="199" t="e">
        <f>+RON!#REF!</f>
        <v>#REF!</v>
      </c>
      <c r="C261" s="130"/>
      <c r="D261" s="131" t="e">
        <f>+RON!#REF!</f>
        <v>#REF!</v>
      </c>
      <c r="E261" s="132" t="e">
        <f>+RON!#REF!</f>
        <v>#REF!</v>
      </c>
      <c r="F261" s="132" t="e">
        <f t="shared" si="104"/>
        <v>#REF!</v>
      </c>
      <c r="G261" s="131" t="e">
        <f>+Tabla555727951527473[[#This Row],[VENTA]]-Tabla555727951527473[[#This Row],[ICO 8%]]</f>
        <v>#REF!</v>
      </c>
      <c r="H261" s="133" t="e">
        <f>+Tabla555727951527473[[#This Row],[COSTO]]/Tabla555727951527473[[#This Row],[BASE]]</f>
        <v>#REF!</v>
      </c>
      <c r="I261" s="134" t="e">
        <f>+Tabla555727951527473[[#This Row],[BASE]]/Tabla555727951527473[[#This Row],[COSTO]]</f>
        <v>#REF!</v>
      </c>
      <c r="J261" s="135" t="e">
        <f>+VLOOKUP(Tabla555727951527473[[#This Row],[RON]],#REF!,2,0)</f>
        <v>#REF!</v>
      </c>
      <c r="K261" s="136" t="e">
        <f t="shared" si="105"/>
        <v>#REF!</v>
      </c>
      <c r="L261" s="131" t="e">
        <f t="shared" si="106"/>
        <v>#REF!</v>
      </c>
      <c r="M261" s="137" t="e">
        <f>+Tabla555727951527473[[#This Row],[PRECIO SUGERIDO]]+Tabla555727951527473[[#This Row],[ICO2]]</f>
        <v>#REF!</v>
      </c>
      <c r="N261" s="310">
        <v>16000</v>
      </c>
      <c r="O261" s="132">
        <f t="shared" si="107"/>
        <v>1185.1851851851852</v>
      </c>
      <c r="P261" s="131">
        <f t="shared" si="108"/>
        <v>14814.814814814814</v>
      </c>
      <c r="Q261" s="133" t="e">
        <f t="shared" si="109"/>
        <v>#REF!</v>
      </c>
      <c r="R261" s="194" t="e">
        <f t="shared" si="110"/>
        <v>#REF!</v>
      </c>
      <c r="S261" s="244">
        <v>25000</v>
      </c>
      <c r="T261" s="272" t="e">
        <f t="shared" si="111"/>
        <v>#REF!</v>
      </c>
    </row>
    <row r="262" spans="1:20" ht="13.8" thickBot="1" x14ac:dyDescent="0.3">
      <c r="A262" s="113">
        <v>13</v>
      </c>
      <c r="B262" s="130" t="e">
        <f>+RON!#REF!</f>
        <v>#REF!</v>
      </c>
      <c r="C262" s="130"/>
      <c r="D262" s="131" t="e">
        <f>+RON!#REF!</f>
        <v>#REF!</v>
      </c>
      <c r="E262" s="132" t="e">
        <f>+RON!#REF!</f>
        <v>#REF!</v>
      </c>
      <c r="F262" s="132" t="e">
        <f t="shared" si="104"/>
        <v>#REF!</v>
      </c>
      <c r="G262" s="131" t="e">
        <f>+Tabla555727951527473[[#This Row],[VENTA]]-Tabla555727951527473[[#This Row],[ICO 8%]]</f>
        <v>#REF!</v>
      </c>
      <c r="H262" s="133" t="e">
        <f>+Tabla555727951527473[[#This Row],[COSTO]]/Tabla555727951527473[[#This Row],[BASE]]</f>
        <v>#REF!</v>
      </c>
      <c r="I262" s="134" t="e">
        <f>+Tabla555727951527473[[#This Row],[BASE]]/Tabla555727951527473[[#This Row],[COSTO]]</f>
        <v>#REF!</v>
      </c>
      <c r="J262" s="135" t="e">
        <f>+VLOOKUP(Tabla555727951527473[[#This Row],[RON]],#REF!,2,0)</f>
        <v>#REF!</v>
      </c>
      <c r="K262" s="136" t="e">
        <f t="shared" si="105"/>
        <v>#REF!</v>
      </c>
      <c r="L262" s="131" t="e">
        <f t="shared" si="106"/>
        <v>#REF!</v>
      </c>
      <c r="M262" s="137" t="e">
        <f>+Tabla555727951527473[[#This Row],[PRECIO SUGERIDO]]+Tabla555727951527473[[#This Row],[ICO2]]</f>
        <v>#REF!</v>
      </c>
      <c r="N262" s="141">
        <v>53000</v>
      </c>
      <c r="O262" s="132">
        <f t="shared" si="107"/>
        <v>3925.9259259259261</v>
      </c>
      <c r="P262" s="139">
        <f t="shared" si="108"/>
        <v>49074.074074074073</v>
      </c>
      <c r="Q262" s="133" t="e">
        <f t="shared" si="109"/>
        <v>#REF!</v>
      </c>
      <c r="R262" s="194" t="e">
        <f t="shared" si="110"/>
        <v>#REF!</v>
      </c>
      <c r="S262" s="244">
        <v>69000</v>
      </c>
      <c r="T262" s="272" t="e">
        <f t="shared" si="111"/>
        <v>#REF!</v>
      </c>
    </row>
    <row r="263" spans="1:20" ht="13.8" thickBot="1" x14ac:dyDescent="0.3">
      <c r="B263" s="153" t="s">
        <v>35</v>
      </c>
      <c r="C263" s="181"/>
      <c r="D263" s="155"/>
      <c r="E263" s="156"/>
      <c r="F263" s="156"/>
      <c r="G263" s="155"/>
      <c r="H263" s="158" t="e">
        <f>SUBTOTAL(101,Tabla555727951527473[%])</f>
        <v>#DIV/0!</v>
      </c>
      <c r="I263" s="156"/>
      <c r="J263" s="156"/>
      <c r="K263" s="159"/>
      <c r="L263" s="155"/>
      <c r="M263" s="156"/>
      <c r="N263" s="160"/>
      <c r="O263" s="156"/>
      <c r="P263" s="155"/>
      <c r="Q263" s="161"/>
      <c r="R263" s="162" t="e">
        <f>SUBTOTAL(109,Tabla555727951527473[RATION])</f>
        <v>#REF!</v>
      </c>
      <c r="S263" s="232"/>
      <c r="T263" s="275"/>
    </row>
    <row r="266" spans="1:20" x14ac:dyDescent="0.25">
      <c r="E266" s="117" t="s">
        <v>25</v>
      </c>
      <c r="F266" s="114"/>
      <c r="G266" s="118"/>
      <c r="H266" s="114"/>
      <c r="I266" s="114"/>
      <c r="J266" s="70"/>
      <c r="K266" s="396" t="s">
        <v>29</v>
      </c>
      <c r="L266" s="396"/>
      <c r="M266" s="396"/>
      <c r="N266" s="395" t="s">
        <v>1090</v>
      </c>
      <c r="O266" s="395"/>
      <c r="P266" s="395"/>
      <c r="Q266" s="395"/>
    </row>
    <row r="267" spans="1:20" x14ac:dyDescent="0.25">
      <c r="B267" s="183" t="s">
        <v>356</v>
      </c>
      <c r="C267" s="184" t="s">
        <v>316</v>
      </c>
      <c r="D267" s="185" t="s">
        <v>7</v>
      </c>
      <c r="E267" s="186" t="s">
        <v>20</v>
      </c>
      <c r="F267" s="187" t="s">
        <v>33</v>
      </c>
      <c r="G267" s="185" t="s">
        <v>26</v>
      </c>
      <c r="H267" s="188" t="s">
        <v>21</v>
      </c>
      <c r="I267" s="189" t="s">
        <v>22</v>
      </c>
      <c r="J267" s="189" t="s">
        <v>23</v>
      </c>
      <c r="K267" s="189" t="s">
        <v>27</v>
      </c>
      <c r="L267" s="185" t="s">
        <v>32</v>
      </c>
      <c r="M267" s="189" t="s">
        <v>28</v>
      </c>
      <c r="N267" s="190" t="s">
        <v>30</v>
      </c>
      <c r="O267" s="185" t="s">
        <v>34</v>
      </c>
      <c r="P267" s="185" t="s">
        <v>25</v>
      </c>
      <c r="Q267" s="191" t="s">
        <v>31</v>
      </c>
      <c r="R267" s="192" t="s">
        <v>24</v>
      </c>
      <c r="S267" s="234" t="s">
        <v>1262</v>
      </c>
      <c r="T267" s="276" t="s">
        <v>1263</v>
      </c>
    </row>
    <row r="268" spans="1:20" x14ac:dyDescent="0.25">
      <c r="A268" s="113">
        <v>1</v>
      </c>
      <c r="B268" s="130" t="str">
        <f>+TEQUILA!B76</f>
        <v>DOBLE MAESTRO DIAMANTE</v>
      </c>
      <c r="C268" s="130"/>
      <c r="D268" s="131">
        <f>+TEQUILA!I79</f>
        <v>282333.33333325997</v>
      </c>
      <c r="E268" s="132">
        <f>+TEQUILA!I80</f>
        <v>623000</v>
      </c>
      <c r="F268" s="132">
        <f t="shared" ref="F268:F287" si="112">+E268/1.08*0.08</f>
        <v>46148.148148148146</v>
      </c>
      <c r="G268" s="131">
        <f>+Tabla55572795152747376[[#This Row],[VENTA]]-Tabla55572795152747376[[#This Row],[ICO 8%]]</f>
        <v>576851.85185185191</v>
      </c>
      <c r="H268" s="133">
        <f>+Tabla55572795152747376[[#This Row],[COSTO]]/Tabla55572795152747376[[#This Row],[BASE]]</f>
        <v>0.4894382022470638</v>
      </c>
      <c r="I268" s="134">
        <f>+Tabla55572795152747376[[#This Row],[BASE]]/Tabla55572795152747376[[#This Row],[COSTO]]</f>
        <v>2.0431588613412108</v>
      </c>
      <c r="J268" s="135" t="e">
        <f>+VLOOKUP(Tabla55572795152747376[[#This Row],[TEQUILA]],#REF!,2,0)</f>
        <v>#REF!</v>
      </c>
      <c r="K268" s="136">
        <f>+D268/(100-60)*100</f>
        <v>705833.3333331499</v>
      </c>
      <c r="L268" s="131">
        <f t="shared" ref="L268:L287" si="113">+K268/1.08*0.08</f>
        <v>52283.950617270362</v>
      </c>
      <c r="M268" s="137">
        <f>+Tabla55572795152747376[[#This Row],[PRECIO SUGERIDO]]+Tabla55572795152747376[[#This Row],[ICO2]]</f>
        <v>758117.28395042021</v>
      </c>
      <c r="N268" s="141">
        <f>+Tabla55572795152747376[[#This Row],[VENTA]]</f>
        <v>623000</v>
      </c>
      <c r="O268" s="132">
        <f t="shared" ref="O268:O287" si="114">+N268/1.08*0.08</f>
        <v>46148.148148148146</v>
      </c>
      <c r="P268" s="139">
        <f t="shared" ref="P268:P287" si="115">+N268-O268</f>
        <v>576851.85185185191</v>
      </c>
      <c r="Q268" s="133">
        <f t="shared" ref="Q268:Q287" si="116">+D268/P268</f>
        <v>0.4894382022470638</v>
      </c>
      <c r="R268" s="194">
        <f t="shared" ref="R268:R287" si="117">+P268/D268</f>
        <v>2.0431588613412108</v>
      </c>
      <c r="S268" s="244">
        <v>730000</v>
      </c>
      <c r="T268" s="272">
        <f t="shared" ref="T268:T287" si="118">+D268/S268</f>
        <v>0.38675799086747942</v>
      </c>
    </row>
    <row r="269" spans="1:20" x14ac:dyDescent="0.25">
      <c r="A269" s="113">
        <v>2</v>
      </c>
      <c r="B269" s="130" t="str">
        <f>+TEQUILA!B17</f>
        <v>DON JULIO 70</v>
      </c>
      <c r="C269" s="130"/>
      <c r="D269" s="131">
        <f>+TEQUILA!I20</f>
        <v>346929</v>
      </c>
      <c r="E269" s="132">
        <f>+TEQUILA!I21</f>
        <v>620000</v>
      </c>
      <c r="F269" s="132">
        <f t="shared" si="112"/>
        <v>45925.925925925927</v>
      </c>
      <c r="G269" s="131">
        <f>+Tabla55572795152747376[[#This Row],[VENTA]]-Tabla55572795152747376[[#This Row],[ICO 8%]]</f>
        <v>574074.07407407404</v>
      </c>
      <c r="H269" s="133">
        <f>+Tabla55572795152747376[[#This Row],[COSTO]]/Tabla55572795152747376[[#This Row],[BASE]]</f>
        <v>0.60432793548387098</v>
      </c>
      <c r="I269" s="134">
        <f>+Tabla55572795152747376[[#This Row],[BASE]]/Tabla55572795152747376[[#This Row],[COSTO]]</f>
        <v>1.6547307203320392</v>
      </c>
      <c r="J269" s="135" t="e">
        <f>+VLOOKUP(Tabla55572795152747376[[#This Row],[TEQUILA]],#REF!,2,0)</f>
        <v>#REF!</v>
      </c>
      <c r="K269" s="136">
        <f>+D269/(100-40)*100</f>
        <v>578215</v>
      </c>
      <c r="L269" s="131">
        <f t="shared" si="113"/>
        <v>42830.740740740737</v>
      </c>
      <c r="M269" s="137">
        <f>+Tabla55572795152747376[[#This Row],[PRECIO SUGERIDO]]+Tabla55572795152747376[[#This Row],[ICO2]]</f>
        <v>621045.74074074079</v>
      </c>
      <c r="N269" s="141">
        <f>+Tabla55572795152747376[[#This Row],[VENTA]]</f>
        <v>620000</v>
      </c>
      <c r="O269" s="132">
        <f t="shared" si="114"/>
        <v>45925.925925925927</v>
      </c>
      <c r="P269" s="139">
        <f t="shared" si="115"/>
        <v>574074.07407407404</v>
      </c>
      <c r="Q269" s="133">
        <f t="shared" si="116"/>
        <v>0.60432793548387098</v>
      </c>
      <c r="R269" s="194">
        <f t="shared" si="117"/>
        <v>1.6547307203320392</v>
      </c>
      <c r="S269" s="244">
        <v>900000</v>
      </c>
      <c r="T269" s="272">
        <f t="shared" si="118"/>
        <v>0.38547666666666669</v>
      </c>
    </row>
    <row r="270" spans="1:20" x14ac:dyDescent="0.25">
      <c r="A270" s="113">
        <v>3</v>
      </c>
      <c r="B270" s="130" t="str">
        <f>+TEQUILA!B6</f>
        <v>DON JULIO AÑEJO</v>
      </c>
      <c r="C270" s="130"/>
      <c r="D270" s="131">
        <f>+TEQUILA!I9</f>
        <v>253722.99999991999</v>
      </c>
      <c r="E270" s="132">
        <f>+TEQUILA!I10</f>
        <v>620000</v>
      </c>
      <c r="F270" s="132">
        <f t="shared" si="112"/>
        <v>45925.925925925927</v>
      </c>
      <c r="G270" s="131">
        <f>+Tabla55572795152747376[[#This Row],[VENTA]]-Tabla55572795152747376[[#This Row],[ICO 8%]]</f>
        <v>574074.07407407404</v>
      </c>
      <c r="H270" s="133">
        <f>+Tabla55572795152747376[[#This Row],[COSTO]]/Tabla55572795152747376[[#This Row],[BASE]]</f>
        <v>0.44196909677405422</v>
      </c>
      <c r="I270" s="134">
        <f>+Tabla55572795152747376[[#This Row],[BASE]]/Tabla55572795152747376[[#This Row],[COSTO]]</f>
        <v>2.2626016327816361</v>
      </c>
      <c r="J270" s="135" t="e">
        <f>+VLOOKUP(Tabla55572795152747376[[#This Row],[TEQUILA]],#REF!,2,0)</f>
        <v>#REF!</v>
      </c>
      <c r="K270" s="136">
        <f>+D270/(100-40)*100</f>
        <v>422871.66666653327</v>
      </c>
      <c r="L270" s="131">
        <f t="shared" si="113"/>
        <v>31323.827160483943</v>
      </c>
      <c r="M270" s="137">
        <f>+Tabla55572795152747376[[#This Row],[PRECIO SUGERIDO]]+Tabla55572795152747376[[#This Row],[ICO2]]</f>
        <v>454195.4938270172</v>
      </c>
      <c r="N270" s="141">
        <f>+Tabla55572795152747376[[#This Row],[VENTA]]</f>
        <v>620000</v>
      </c>
      <c r="O270" s="132">
        <f t="shared" si="114"/>
        <v>45925.925925925927</v>
      </c>
      <c r="P270" s="139">
        <f t="shared" si="115"/>
        <v>574074.07407407404</v>
      </c>
      <c r="Q270" s="133">
        <f t="shared" si="116"/>
        <v>0.44196909677405422</v>
      </c>
      <c r="R270" s="194">
        <f t="shared" si="117"/>
        <v>2.2626016327816361</v>
      </c>
      <c r="S270" s="244">
        <v>650000</v>
      </c>
      <c r="T270" s="272">
        <f t="shared" si="118"/>
        <v>0.39034307692295384</v>
      </c>
    </row>
    <row r="271" spans="1:20" x14ac:dyDescent="0.25">
      <c r="A271" s="113">
        <v>4</v>
      </c>
      <c r="B271" s="130" t="str">
        <f>+TEQUILA!B28</f>
        <v>DON JULIO REPOSADO</v>
      </c>
      <c r="C271" s="130"/>
      <c r="D271" s="131">
        <f>+TEQUILA!I31</f>
        <v>253722.99999991999</v>
      </c>
      <c r="E271" s="132">
        <f>+TEQUILA!I32</f>
        <v>545000</v>
      </c>
      <c r="F271" s="132">
        <f t="shared" si="112"/>
        <v>40370.370370370372</v>
      </c>
      <c r="G271" s="131">
        <f>+Tabla55572795152747376[[#This Row],[VENTA]]-Tabla55572795152747376[[#This Row],[ICO 8%]]</f>
        <v>504629.62962962961</v>
      </c>
      <c r="H271" s="133">
        <f>+Tabla55572795152747376[[#This Row],[COSTO]]/Tabla55572795152747376[[#This Row],[BASE]]</f>
        <v>0.50279053210993319</v>
      </c>
      <c r="I271" s="134">
        <f>+Tabla55572795152747376[[#This Row],[BASE]]/Tabla55572795152747376[[#This Row],[COSTO]]</f>
        <v>1.9888998223645027</v>
      </c>
      <c r="J271" s="135" t="e">
        <f>+VLOOKUP(Tabla55572795152747376[[#This Row],[TEQUILA]],#REF!,2,0)</f>
        <v>#REF!</v>
      </c>
      <c r="K271" s="136">
        <f>+D271/(100-40)*100</f>
        <v>422871.66666653327</v>
      </c>
      <c r="L271" s="131">
        <f t="shared" si="113"/>
        <v>31323.827160483943</v>
      </c>
      <c r="M271" s="137">
        <f>+Tabla55572795152747376[[#This Row],[PRECIO SUGERIDO]]+Tabla55572795152747376[[#This Row],[ICO2]]</f>
        <v>454195.4938270172</v>
      </c>
      <c r="N271" s="141">
        <f>+Tabla55572795152747376[[#This Row],[VENTA]]</f>
        <v>545000</v>
      </c>
      <c r="O271" s="132">
        <f t="shared" si="114"/>
        <v>40370.370370370372</v>
      </c>
      <c r="P271" s="139">
        <f t="shared" si="115"/>
        <v>504629.62962962961</v>
      </c>
      <c r="Q271" s="133">
        <f t="shared" si="116"/>
        <v>0.50279053210993319</v>
      </c>
      <c r="R271" s="194">
        <f t="shared" si="117"/>
        <v>1.9888998223645027</v>
      </c>
      <c r="S271" s="244">
        <v>630000</v>
      </c>
      <c r="T271" s="272">
        <f t="shared" si="118"/>
        <v>0.40273492063479366</v>
      </c>
    </row>
    <row r="272" spans="1:20" x14ac:dyDescent="0.25">
      <c r="A272" s="113">
        <v>5</v>
      </c>
      <c r="B272" s="130" t="str">
        <f>+TEQUILA!B118</f>
        <v>PATRON CRISTALINO</v>
      </c>
      <c r="C272" s="130"/>
      <c r="D272" s="131">
        <f>+TEQUILA!I121</f>
        <v>314466.00000001997</v>
      </c>
      <c r="E272" s="132"/>
      <c r="F272" s="132">
        <f t="shared" si="112"/>
        <v>0</v>
      </c>
      <c r="G272" s="131">
        <f>+Tabla55572795152747376[[#This Row],[VENTA]]-Tabla55572795152747376[[#This Row],[ICO 8%]]</f>
        <v>0</v>
      </c>
      <c r="H272" s="133" t="e">
        <f>+Tabla55572795152747376[[#This Row],[COSTO]]/Tabla55572795152747376[[#This Row],[BASE]]</f>
        <v>#DIV/0!</v>
      </c>
      <c r="I272" s="134">
        <f>+Tabla55572795152747376[[#This Row],[BASE]]/Tabla55572795152747376[[#This Row],[COSTO]]</f>
        <v>0</v>
      </c>
      <c r="J272" s="135" t="e">
        <f>+VLOOKUP(Tabla55572795152747376[[#This Row],[TEQUILA]],#REF!,2,0)</f>
        <v>#REF!</v>
      </c>
      <c r="K272" s="136">
        <f>+D272/(100-65)*100</f>
        <v>898474.28571434284</v>
      </c>
      <c r="L272" s="131">
        <f t="shared" si="113"/>
        <v>66553.650793655019</v>
      </c>
      <c r="M272" s="137">
        <f>+Tabla55572795152747376[[#This Row],[PRECIO SUGERIDO]]+Tabla55572795152747376[[#This Row],[ICO2]]</f>
        <v>965027.9365079978</v>
      </c>
      <c r="N272" s="141">
        <v>970000</v>
      </c>
      <c r="O272" s="132">
        <f t="shared" si="114"/>
        <v>71851.851851851854</v>
      </c>
      <c r="P272" s="139">
        <f t="shared" si="115"/>
        <v>898148.14814814809</v>
      </c>
      <c r="Q272" s="133">
        <f t="shared" si="116"/>
        <v>0.35012709278352738</v>
      </c>
      <c r="R272" s="194">
        <f t="shared" si="117"/>
        <v>2.8561057416321352</v>
      </c>
      <c r="S272" s="308">
        <v>790000</v>
      </c>
      <c r="T272" s="272">
        <f t="shared" si="118"/>
        <v>0.39805822784812656</v>
      </c>
    </row>
    <row r="273" spans="1:22" x14ac:dyDescent="0.25">
      <c r="A273" s="113">
        <v>6</v>
      </c>
      <c r="B273" s="130" t="str">
        <f>+TEQUILA!B104</f>
        <v>PATRON REPOSADO</v>
      </c>
      <c r="C273" s="130"/>
      <c r="D273" s="131">
        <f>+TEQUILA!I107</f>
        <v>201968.6</v>
      </c>
      <c r="E273" s="132"/>
      <c r="F273" s="132">
        <f t="shared" si="112"/>
        <v>0</v>
      </c>
      <c r="G273" s="131">
        <f>+Tabla55572795152747376[[#This Row],[VENTA]]-Tabla55572795152747376[[#This Row],[ICO 8%]]</f>
        <v>0</v>
      </c>
      <c r="H273" s="133" t="e">
        <f>+Tabla55572795152747376[[#This Row],[COSTO]]/Tabla55572795152747376[[#This Row],[BASE]]</f>
        <v>#DIV/0!</v>
      </c>
      <c r="I273" s="134">
        <f>+Tabla55572795152747376[[#This Row],[BASE]]/Tabla55572795152747376[[#This Row],[COSTO]]</f>
        <v>0</v>
      </c>
      <c r="J273" s="135" t="e">
        <f>+VLOOKUP(Tabla55572795152747376[[#This Row],[TEQUILA]],#REF!,2,0)</f>
        <v>#REF!</v>
      </c>
      <c r="K273" s="136">
        <f>+D273/(100-65)*100</f>
        <v>577053.14285714284</v>
      </c>
      <c r="L273" s="131">
        <f t="shared" si="113"/>
        <v>42744.677248677246</v>
      </c>
      <c r="M273" s="137">
        <f>+Tabla55572795152747376[[#This Row],[PRECIO SUGERIDO]]+Tabla55572795152747376[[#This Row],[ICO2]]</f>
        <v>619797.82010582008</v>
      </c>
      <c r="N273" s="141">
        <v>720000</v>
      </c>
      <c r="O273" s="132">
        <f t="shared" si="114"/>
        <v>53333.333333333328</v>
      </c>
      <c r="P273" s="139">
        <f t="shared" si="115"/>
        <v>666666.66666666663</v>
      </c>
      <c r="Q273" s="133">
        <f t="shared" si="116"/>
        <v>0.30295290000000002</v>
      </c>
      <c r="R273" s="194">
        <f t="shared" si="117"/>
        <v>3.3008431343618096</v>
      </c>
      <c r="S273" s="308">
        <v>610000</v>
      </c>
      <c r="T273" s="272">
        <f t="shared" si="118"/>
        <v>0.33109606557377053</v>
      </c>
    </row>
    <row r="274" spans="1:22" x14ac:dyDescent="0.25">
      <c r="A274" s="113">
        <v>7</v>
      </c>
      <c r="B274" s="130" t="str">
        <f>+TEQUILA!B89</f>
        <v>PATRON SILVER</v>
      </c>
      <c r="C274" s="130"/>
      <c r="D274" s="131">
        <f>+TEQUILA!I92</f>
        <v>195235.00000003999</v>
      </c>
      <c r="E274" s="132"/>
      <c r="F274" s="132">
        <f t="shared" si="112"/>
        <v>0</v>
      </c>
      <c r="G274" s="131">
        <f>+Tabla55572795152747376[[#This Row],[VENTA]]-Tabla55572795152747376[[#This Row],[ICO 8%]]</f>
        <v>0</v>
      </c>
      <c r="H274" s="133" t="e">
        <f>+Tabla55572795152747376[[#This Row],[COSTO]]/Tabla55572795152747376[[#This Row],[BASE]]</f>
        <v>#DIV/0!</v>
      </c>
      <c r="I274" s="134">
        <f>+Tabla55572795152747376[[#This Row],[BASE]]/Tabla55572795152747376[[#This Row],[COSTO]]</f>
        <v>0</v>
      </c>
      <c r="J274" s="135" t="e">
        <f>+VLOOKUP(Tabla55572795152747376[[#This Row],[TEQUILA]],#REF!,2,0)</f>
        <v>#REF!</v>
      </c>
      <c r="K274" s="136">
        <f>+D274/(100-65)*100</f>
        <v>557814.2857144</v>
      </c>
      <c r="L274" s="131">
        <f t="shared" si="113"/>
        <v>41319.57671958518</v>
      </c>
      <c r="M274" s="137">
        <f>+Tabla55572795152747376[[#This Row],[PRECIO SUGERIDO]]+Tabla55572795152747376[[#This Row],[ICO2]]</f>
        <v>599133.86243398522</v>
      </c>
      <c r="N274" s="141">
        <v>600000</v>
      </c>
      <c r="O274" s="132">
        <f t="shared" si="114"/>
        <v>44444.444444444438</v>
      </c>
      <c r="P274" s="139">
        <f t="shared" si="115"/>
        <v>555555.5555555555</v>
      </c>
      <c r="Q274" s="133">
        <f t="shared" si="116"/>
        <v>0.35142300000007204</v>
      </c>
      <c r="R274" s="194">
        <f t="shared" si="117"/>
        <v>2.845573568035658</v>
      </c>
      <c r="S274" s="308">
        <v>520000</v>
      </c>
      <c r="T274" s="272">
        <f t="shared" si="118"/>
        <v>0.37545192307699998</v>
      </c>
    </row>
    <row r="275" spans="1:22" x14ac:dyDescent="0.25">
      <c r="A275" s="113">
        <v>9</v>
      </c>
      <c r="B275" s="130" t="str">
        <f>+TEQUILA!B41</f>
        <v>RESERVA DE DON JULIO BLANCO</v>
      </c>
      <c r="C275" s="130"/>
      <c r="D275" s="131">
        <f>+TEQUILA!I44</f>
        <v>203896</v>
      </c>
      <c r="E275" s="132">
        <f>+TEQUILA!I45</f>
        <v>455000</v>
      </c>
      <c r="F275" s="132">
        <f t="shared" si="112"/>
        <v>33703.703703703701</v>
      </c>
      <c r="G275" s="131">
        <f>+Tabla55572795152747376[[#This Row],[VENTA]]-Tabla55572795152747376[[#This Row],[ICO 8%]]</f>
        <v>421296.29629629629</v>
      </c>
      <c r="H275" s="133">
        <f>+Tabla55572795152747376[[#This Row],[COSTO]]/Tabla55572795152747376[[#This Row],[BASE]]</f>
        <v>0.48397292307692308</v>
      </c>
      <c r="I275" s="134">
        <f>+Tabla55572795152747376[[#This Row],[BASE]]/Tabla55572795152747376[[#This Row],[COSTO]]</f>
        <v>2.0662312958385467</v>
      </c>
      <c r="J275" s="135" t="e">
        <f>+VLOOKUP(Tabla55572795152747376[[#This Row],[TEQUILA]],#REF!,2,0)</f>
        <v>#REF!</v>
      </c>
      <c r="K275" s="136">
        <f t="shared" ref="K275:K281" si="119">+D275/(100-40)*100</f>
        <v>339826.66666666669</v>
      </c>
      <c r="L275" s="131">
        <f t="shared" si="113"/>
        <v>25172.345679012345</v>
      </c>
      <c r="M275" s="137">
        <f>+Tabla55572795152747376[[#This Row],[PRECIO SUGERIDO]]+Tabla55572795152747376[[#This Row],[ICO2]]</f>
        <v>364999.01234567905</v>
      </c>
      <c r="N275" s="141">
        <f>+Tabla55572795152747376[[#This Row],[VENTA]]</f>
        <v>455000</v>
      </c>
      <c r="O275" s="132">
        <f t="shared" si="114"/>
        <v>33703.703703703701</v>
      </c>
      <c r="P275" s="139">
        <f t="shared" si="115"/>
        <v>421296.29629629629</v>
      </c>
      <c r="Q275" s="133">
        <f t="shared" si="116"/>
        <v>0.48397292307692308</v>
      </c>
      <c r="R275" s="194">
        <f t="shared" si="117"/>
        <v>2.0662312958385467</v>
      </c>
      <c r="S275" s="244">
        <v>520000</v>
      </c>
      <c r="T275" s="272">
        <f t="shared" si="118"/>
        <v>0.39210769230769232</v>
      </c>
    </row>
    <row r="276" spans="1:22" x14ac:dyDescent="0.25">
      <c r="A276" s="113">
        <v>10</v>
      </c>
      <c r="B276" s="130" t="str">
        <f>+TEQUILA!B53</f>
        <v>TEQUILA 1800 AÑEJO</v>
      </c>
      <c r="C276" s="130"/>
      <c r="D276" s="131">
        <f>+TEQUILA!I56</f>
        <v>207306</v>
      </c>
      <c r="E276" s="132">
        <f>+TEQUILA!I57</f>
        <v>480000</v>
      </c>
      <c r="F276" s="132">
        <f t="shared" si="112"/>
        <v>35555.555555555555</v>
      </c>
      <c r="G276" s="131">
        <f>+Tabla55572795152747376[[#This Row],[VENTA]]-Tabla55572795152747376[[#This Row],[ICO 8%]]</f>
        <v>444444.44444444444</v>
      </c>
      <c r="H276" s="133">
        <f>+Tabla55572795152747376[[#This Row],[COSTO]]/Tabla55572795152747376[[#This Row],[BASE]]</f>
        <v>0.46643850000000003</v>
      </c>
      <c r="I276" s="134">
        <f>+Tabla55572795152747376[[#This Row],[BASE]]/Tabla55572795152747376[[#This Row],[COSTO]]</f>
        <v>2.1439053594418129</v>
      </c>
      <c r="J276" s="135" t="e">
        <f>+VLOOKUP(Tabla55572795152747376[[#This Row],[TEQUILA]],#REF!,2,0)</f>
        <v>#REF!</v>
      </c>
      <c r="K276" s="136">
        <f t="shared" si="119"/>
        <v>345510</v>
      </c>
      <c r="L276" s="131">
        <f t="shared" si="113"/>
        <v>25593.333333333332</v>
      </c>
      <c r="M276" s="137">
        <f>+Tabla55572795152747376[[#This Row],[PRECIO SUGERIDO]]+Tabla55572795152747376[[#This Row],[ICO2]]</f>
        <v>371103.33333333331</v>
      </c>
      <c r="N276" s="141">
        <f>+Tabla55572795152747376[[#This Row],[VENTA]]</f>
        <v>480000</v>
      </c>
      <c r="O276" s="132">
        <f t="shared" si="114"/>
        <v>35555.555555555555</v>
      </c>
      <c r="P276" s="139">
        <f t="shared" si="115"/>
        <v>444444.44444444444</v>
      </c>
      <c r="Q276" s="133">
        <f t="shared" si="116"/>
        <v>0.46643850000000003</v>
      </c>
      <c r="R276" s="194">
        <f t="shared" si="117"/>
        <v>2.1439053594418129</v>
      </c>
      <c r="S276" s="244">
        <v>539000</v>
      </c>
      <c r="T276" s="272">
        <f t="shared" si="118"/>
        <v>0.3846122448979592</v>
      </c>
      <c r="V276" s="242" t="s">
        <v>1297</v>
      </c>
    </row>
    <row r="277" spans="1:22" x14ac:dyDescent="0.25">
      <c r="A277" s="113">
        <v>11</v>
      </c>
      <c r="B277" s="130" t="str">
        <f>+TEQUILA!B64</f>
        <v>TEQUILA 1800 REPOSADO</v>
      </c>
      <c r="C277" s="130"/>
      <c r="D277" s="131">
        <f>+TEQUILA!I67</f>
        <v>207304.16666674</v>
      </c>
      <c r="E277" s="132">
        <f>+TEQUILA!I68</f>
        <v>455000</v>
      </c>
      <c r="F277" s="132">
        <f t="shared" si="112"/>
        <v>33703.703703703701</v>
      </c>
      <c r="G277" s="131">
        <f>+Tabla55572795152747376[[#This Row],[VENTA]]-Tabla55572795152747376[[#This Row],[ICO 8%]]</f>
        <v>421296.29629629629</v>
      </c>
      <c r="H277" s="133">
        <f>+Tabla55572795152747376[[#This Row],[COSTO]]/Tabla55572795152747376[[#This Row],[BASE]]</f>
        <v>0.49206263736281142</v>
      </c>
      <c r="I277" s="134">
        <f>+Tabla55572795152747376[[#This Row],[BASE]]/Tabla55572795152747376[[#This Row],[COSTO]]</f>
        <v>2.0322615944983284</v>
      </c>
      <c r="J277" s="135" t="e">
        <f>+VLOOKUP(Tabla55572795152747376[[#This Row],[TEQUILA]],#REF!,2,0)</f>
        <v>#REF!</v>
      </c>
      <c r="K277" s="136">
        <f t="shared" si="119"/>
        <v>345506.94444456667</v>
      </c>
      <c r="L277" s="131">
        <f t="shared" si="113"/>
        <v>25593.106995893824</v>
      </c>
      <c r="M277" s="137">
        <f>+Tabla55572795152747376[[#This Row],[PRECIO SUGERIDO]]+Tabla55572795152747376[[#This Row],[ICO2]]</f>
        <v>371100.05144046049</v>
      </c>
      <c r="N277" s="141">
        <f>+Tabla55572795152747376[[#This Row],[VENTA]]</f>
        <v>455000</v>
      </c>
      <c r="O277" s="132">
        <f t="shared" si="114"/>
        <v>33703.703703703701</v>
      </c>
      <c r="P277" s="139">
        <f t="shared" si="115"/>
        <v>421296.29629629629</v>
      </c>
      <c r="Q277" s="133">
        <f t="shared" si="116"/>
        <v>0.49206263736281142</v>
      </c>
      <c r="R277" s="194">
        <f t="shared" si="117"/>
        <v>2.0322615944983284</v>
      </c>
      <c r="S277" s="244">
        <v>520000</v>
      </c>
      <c r="T277" s="272">
        <f t="shared" si="118"/>
        <v>0.39866185897450002</v>
      </c>
    </row>
    <row r="278" spans="1:22" x14ac:dyDescent="0.25">
      <c r="A278" s="113">
        <v>12</v>
      </c>
      <c r="B278" s="130" t="e">
        <f>+TEQUILA!#REF!</f>
        <v>#REF!</v>
      </c>
      <c r="C278" s="130"/>
      <c r="D278" s="131" t="e">
        <f>+TEQUILA!#REF!</f>
        <v>#REF!</v>
      </c>
      <c r="E278" s="132" t="e">
        <f>+TEQUILA!#REF!</f>
        <v>#REF!</v>
      </c>
      <c r="F278" s="132" t="e">
        <f t="shared" si="112"/>
        <v>#REF!</v>
      </c>
      <c r="G278" s="131" t="e">
        <f>+Tabla55572795152747376[[#This Row],[VENTA]]-Tabla55572795152747376[[#This Row],[ICO 8%]]</f>
        <v>#REF!</v>
      </c>
      <c r="H278" s="133" t="e">
        <f>+Tabla55572795152747376[[#This Row],[COSTO]]/Tabla55572795152747376[[#This Row],[BASE]]</f>
        <v>#REF!</v>
      </c>
      <c r="I278" s="134" t="e">
        <f>+Tabla55572795152747376[[#This Row],[BASE]]/Tabla55572795152747376[[#This Row],[COSTO]]</f>
        <v>#REF!</v>
      </c>
      <c r="J278" s="135" t="e">
        <f>+VLOOKUP(Tabla55572795152747376[[#This Row],[TEQUILA]],#REF!,2,0)</f>
        <v>#REF!</v>
      </c>
      <c r="K278" s="136" t="e">
        <f t="shared" si="119"/>
        <v>#REF!</v>
      </c>
      <c r="L278" s="131" t="e">
        <f t="shared" si="113"/>
        <v>#REF!</v>
      </c>
      <c r="M278" s="137" t="e">
        <f>+Tabla55572795152747376[[#This Row],[PRECIO SUGERIDO]]+Tabla55572795152747376[[#This Row],[ICO2]]</f>
        <v>#REF!</v>
      </c>
      <c r="N278" s="141">
        <v>64000</v>
      </c>
      <c r="O278" s="132">
        <f t="shared" si="114"/>
        <v>4740.7407407407409</v>
      </c>
      <c r="P278" s="139">
        <f t="shared" si="115"/>
        <v>59259.259259259255</v>
      </c>
      <c r="Q278" s="133" t="e">
        <f t="shared" si="116"/>
        <v>#REF!</v>
      </c>
      <c r="R278" s="194" t="e">
        <f t="shared" si="117"/>
        <v>#REF!</v>
      </c>
      <c r="S278" s="244">
        <v>79000</v>
      </c>
      <c r="T278" s="272" t="e">
        <f t="shared" si="118"/>
        <v>#REF!</v>
      </c>
    </row>
    <row r="279" spans="1:22" x14ac:dyDescent="0.25">
      <c r="A279" s="113">
        <v>13</v>
      </c>
      <c r="B279" s="130" t="e">
        <f>+TEQUILA!#REF!</f>
        <v>#REF!</v>
      </c>
      <c r="C279" s="130"/>
      <c r="D279" s="131" t="e">
        <f>+TEQUILA!#REF!</f>
        <v>#REF!</v>
      </c>
      <c r="E279" s="132" t="e">
        <f>+TEQUILA!#REF!</f>
        <v>#REF!</v>
      </c>
      <c r="F279" s="132" t="e">
        <f t="shared" si="112"/>
        <v>#REF!</v>
      </c>
      <c r="G279" s="131" t="e">
        <f>+Tabla55572795152747376[[#This Row],[VENTA]]-Tabla55572795152747376[[#This Row],[ICO 8%]]</f>
        <v>#REF!</v>
      </c>
      <c r="H279" s="133" t="e">
        <f>+Tabla55572795152747376[[#This Row],[COSTO]]/Tabla55572795152747376[[#This Row],[BASE]]</f>
        <v>#REF!</v>
      </c>
      <c r="I279" s="134" t="e">
        <f>+Tabla55572795152747376[[#This Row],[BASE]]/Tabla55572795152747376[[#This Row],[COSTO]]</f>
        <v>#REF!</v>
      </c>
      <c r="J279" s="135" t="e">
        <f>+VLOOKUP(Tabla55572795152747376[[#This Row],[TEQUILA]],#REF!,2,0)</f>
        <v>#REF!</v>
      </c>
      <c r="K279" s="136" t="e">
        <f t="shared" si="119"/>
        <v>#REF!</v>
      </c>
      <c r="L279" s="131" t="e">
        <f t="shared" si="113"/>
        <v>#REF!</v>
      </c>
      <c r="M279" s="137" t="e">
        <f>+Tabla55572795152747376[[#This Row],[PRECIO SUGERIDO]]+Tabla55572795152747376[[#This Row],[ICO2]]</f>
        <v>#REF!</v>
      </c>
      <c r="N279" s="141" t="e">
        <f>+Tabla55572795152747376[[#This Row],[VENTA]]</f>
        <v>#REF!</v>
      </c>
      <c r="O279" s="132" t="e">
        <f t="shared" si="114"/>
        <v>#REF!</v>
      </c>
      <c r="P279" s="139" t="e">
        <f t="shared" si="115"/>
        <v>#REF!</v>
      </c>
      <c r="Q279" s="133" t="e">
        <f t="shared" si="116"/>
        <v>#REF!</v>
      </c>
      <c r="R279" s="194" t="e">
        <f t="shared" si="117"/>
        <v>#REF!</v>
      </c>
      <c r="S279" s="244">
        <v>95000</v>
      </c>
      <c r="T279" s="272" t="e">
        <f t="shared" si="118"/>
        <v>#REF!</v>
      </c>
    </row>
    <row r="280" spans="1:22" x14ac:dyDescent="0.25">
      <c r="A280" s="113">
        <v>14</v>
      </c>
      <c r="B280" s="130" t="e">
        <f>+TEQUILA!#REF!</f>
        <v>#REF!</v>
      </c>
      <c r="C280" s="130"/>
      <c r="D280" s="131" t="e">
        <f>+TEQUILA!#REF!</f>
        <v>#REF!</v>
      </c>
      <c r="E280" s="132" t="e">
        <f>+TEQUILA!#REF!</f>
        <v>#REF!</v>
      </c>
      <c r="F280" s="132" t="e">
        <f t="shared" si="112"/>
        <v>#REF!</v>
      </c>
      <c r="G280" s="131" t="e">
        <f>+Tabla55572795152747376[[#This Row],[VENTA]]-Tabla55572795152747376[[#This Row],[ICO 8%]]</f>
        <v>#REF!</v>
      </c>
      <c r="H280" s="133" t="e">
        <f>+Tabla55572795152747376[[#This Row],[COSTO]]/Tabla55572795152747376[[#This Row],[BASE]]</f>
        <v>#REF!</v>
      </c>
      <c r="I280" s="134" t="e">
        <f>+Tabla55572795152747376[[#This Row],[BASE]]/Tabla55572795152747376[[#This Row],[COSTO]]</f>
        <v>#REF!</v>
      </c>
      <c r="J280" s="135" t="e">
        <f>+VLOOKUP(Tabla55572795152747376[[#This Row],[TEQUILA]],#REF!,2,0)</f>
        <v>#REF!</v>
      </c>
      <c r="K280" s="136" t="e">
        <f t="shared" si="119"/>
        <v>#REF!</v>
      </c>
      <c r="L280" s="131" t="e">
        <f t="shared" si="113"/>
        <v>#REF!</v>
      </c>
      <c r="M280" s="137" t="e">
        <f>+Tabla55572795152747376[[#This Row],[PRECIO SUGERIDO]]+Tabla55572795152747376[[#This Row],[ICO2]]</f>
        <v>#REF!</v>
      </c>
      <c r="N280" s="141" t="e">
        <f>+Tabla55572795152747376[[#This Row],[VENTA]]</f>
        <v>#REF!</v>
      </c>
      <c r="O280" s="132" t="e">
        <f t="shared" si="114"/>
        <v>#REF!</v>
      </c>
      <c r="P280" s="139" t="e">
        <f t="shared" si="115"/>
        <v>#REF!</v>
      </c>
      <c r="Q280" s="133" t="e">
        <f t="shared" si="116"/>
        <v>#REF!</v>
      </c>
      <c r="R280" s="194" t="e">
        <f t="shared" si="117"/>
        <v>#REF!</v>
      </c>
      <c r="S280" s="244">
        <v>72000</v>
      </c>
      <c r="T280" s="272" t="e">
        <f t="shared" si="118"/>
        <v>#REF!</v>
      </c>
    </row>
    <row r="281" spans="1:22" x14ac:dyDescent="0.25">
      <c r="A281" s="113">
        <v>15</v>
      </c>
      <c r="B281" s="130" t="e">
        <f>+TEQUILA!#REF!</f>
        <v>#REF!</v>
      </c>
      <c r="C281" s="130"/>
      <c r="D281" s="131" t="e">
        <f>+TEQUILA!#REF!</f>
        <v>#REF!</v>
      </c>
      <c r="E281" s="132" t="e">
        <f>+TEQUILA!#REF!</f>
        <v>#REF!</v>
      </c>
      <c r="F281" s="132" t="e">
        <f t="shared" si="112"/>
        <v>#REF!</v>
      </c>
      <c r="G281" s="131" t="e">
        <f>+Tabla55572795152747376[[#This Row],[VENTA]]-Tabla55572795152747376[[#This Row],[ICO 8%]]</f>
        <v>#REF!</v>
      </c>
      <c r="H281" s="133" t="e">
        <f>+Tabla55572795152747376[[#This Row],[COSTO]]/Tabla55572795152747376[[#This Row],[BASE]]</f>
        <v>#REF!</v>
      </c>
      <c r="I281" s="134" t="e">
        <f>+Tabla55572795152747376[[#This Row],[BASE]]/Tabla55572795152747376[[#This Row],[COSTO]]</f>
        <v>#REF!</v>
      </c>
      <c r="J281" s="135" t="e">
        <f>+VLOOKUP(Tabla55572795152747376[[#This Row],[TEQUILA]],#REF!,2,0)</f>
        <v>#REF!</v>
      </c>
      <c r="K281" s="136" t="e">
        <f t="shared" si="119"/>
        <v>#REF!</v>
      </c>
      <c r="L281" s="131" t="e">
        <f t="shared" si="113"/>
        <v>#REF!</v>
      </c>
      <c r="M281" s="137" t="e">
        <f>+Tabla55572795152747376[[#This Row],[PRECIO SUGERIDO]]+Tabla55572795152747376[[#This Row],[ICO2]]</f>
        <v>#REF!</v>
      </c>
      <c r="N281" s="141" t="e">
        <f>+Tabla55572795152747376[[#This Row],[VENTA]]</f>
        <v>#REF!</v>
      </c>
      <c r="O281" s="132" t="e">
        <f t="shared" si="114"/>
        <v>#REF!</v>
      </c>
      <c r="P281" s="139" t="e">
        <f t="shared" si="115"/>
        <v>#REF!</v>
      </c>
      <c r="Q281" s="133" t="e">
        <f t="shared" si="116"/>
        <v>#REF!</v>
      </c>
      <c r="R281" s="194" t="e">
        <f t="shared" si="117"/>
        <v>#REF!</v>
      </c>
      <c r="S281" s="308">
        <v>73000</v>
      </c>
      <c r="T281" s="272" t="e">
        <f t="shared" si="118"/>
        <v>#REF!</v>
      </c>
    </row>
    <row r="282" spans="1:22" x14ac:dyDescent="0.25">
      <c r="A282" s="113">
        <v>16</v>
      </c>
      <c r="B282" s="130" t="e">
        <f>+TEQUILA!#REF!</f>
        <v>#REF!</v>
      </c>
      <c r="C282" s="130"/>
      <c r="D282" s="131" t="e">
        <f>+TEQUILA!#REF!</f>
        <v>#REF!</v>
      </c>
      <c r="E282" s="132"/>
      <c r="F282" s="132">
        <f t="shared" si="112"/>
        <v>0</v>
      </c>
      <c r="G282" s="131">
        <f>+Tabla55572795152747376[[#This Row],[VENTA]]-Tabla55572795152747376[[#This Row],[ICO 8%]]</f>
        <v>0</v>
      </c>
      <c r="H282" s="133" t="e">
        <f>+Tabla55572795152747376[[#This Row],[COSTO]]/Tabla55572795152747376[[#This Row],[BASE]]</f>
        <v>#REF!</v>
      </c>
      <c r="I282" s="134" t="e">
        <f>+Tabla55572795152747376[[#This Row],[BASE]]/Tabla55572795152747376[[#This Row],[COSTO]]</f>
        <v>#REF!</v>
      </c>
      <c r="J282" s="135" t="e">
        <f>+VLOOKUP(Tabla55572795152747376[[#This Row],[TEQUILA]],#REF!,2,0)</f>
        <v>#REF!</v>
      </c>
      <c r="K282" s="136" t="e">
        <f>+D282/(100-65)*100</f>
        <v>#REF!</v>
      </c>
      <c r="L282" s="131" t="e">
        <f t="shared" si="113"/>
        <v>#REF!</v>
      </c>
      <c r="M282" s="137" t="e">
        <f>+Tabla55572795152747376[[#This Row],[PRECIO SUGERIDO]]+Tabla55572795152747376[[#This Row],[ICO2]]</f>
        <v>#REF!</v>
      </c>
      <c r="N282" s="141">
        <v>99000</v>
      </c>
      <c r="O282" s="132">
        <f t="shared" si="114"/>
        <v>7333.333333333333</v>
      </c>
      <c r="P282" s="139">
        <f t="shared" si="115"/>
        <v>91666.666666666672</v>
      </c>
      <c r="Q282" s="133" t="e">
        <f t="shared" si="116"/>
        <v>#REF!</v>
      </c>
      <c r="R282" s="194" t="e">
        <f t="shared" si="117"/>
        <v>#REF!</v>
      </c>
      <c r="S282" s="308">
        <v>90000</v>
      </c>
      <c r="T282" s="272" t="e">
        <f t="shared" si="118"/>
        <v>#REF!</v>
      </c>
    </row>
    <row r="283" spans="1:22" x14ac:dyDescent="0.25">
      <c r="A283" s="113">
        <v>17</v>
      </c>
      <c r="B283" s="130" t="e">
        <f>+TEQUILA!#REF!</f>
        <v>#REF!</v>
      </c>
      <c r="C283" s="130"/>
      <c r="D283" s="131" t="e">
        <f>+TEQUILA!#REF!</f>
        <v>#REF!</v>
      </c>
      <c r="E283" s="132"/>
      <c r="F283" s="132">
        <f t="shared" si="112"/>
        <v>0</v>
      </c>
      <c r="G283" s="131">
        <f>+Tabla55572795152747376[[#This Row],[VENTA]]-Tabla55572795152747376[[#This Row],[ICO 8%]]</f>
        <v>0</v>
      </c>
      <c r="H283" s="133" t="e">
        <f>+Tabla55572795152747376[[#This Row],[COSTO]]/Tabla55572795152747376[[#This Row],[BASE]]</f>
        <v>#REF!</v>
      </c>
      <c r="I283" s="134" t="e">
        <f>+Tabla55572795152747376[[#This Row],[BASE]]/Tabla55572795152747376[[#This Row],[COSTO]]</f>
        <v>#REF!</v>
      </c>
      <c r="J283" s="135" t="e">
        <f>+VLOOKUP(Tabla55572795152747376[[#This Row],[TEQUILA]],#REF!,2,0)</f>
        <v>#REF!</v>
      </c>
      <c r="K283" s="136" t="e">
        <f>+D283/(100-65)*100</f>
        <v>#REF!</v>
      </c>
      <c r="L283" s="131" t="e">
        <f t="shared" si="113"/>
        <v>#REF!</v>
      </c>
      <c r="M283" s="137" t="e">
        <f>+Tabla55572795152747376[[#This Row],[PRECIO SUGERIDO]]+Tabla55572795152747376[[#This Row],[ICO2]]</f>
        <v>#REF!</v>
      </c>
      <c r="N283" s="141">
        <v>73000</v>
      </c>
      <c r="O283" s="132">
        <f t="shared" si="114"/>
        <v>5407.4074074074069</v>
      </c>
      <c r="P283" s="139">
        <f t="shared" si="115"/>
        <v>67592.592592592599</v>
      </c>
      <c r="Q283" s="133" t="e">
        <f t="shared" si="116"/>
        <v>#REF!</v>
      </c>
      <c r="R283" s="194" t="e">
        <f t="shared" si="117"/>
        <v>#REF!</v>
      </c>
      <c r="S283" s="308">
        <v>69000</v>
      </c>
      <c r="T283" s="272" t="e">
        <f t="shared" si="118"/>
        <v>#REF!</v>
      </c>
    </row>
    <row r="284" spans="1:22" x14ac:dyDescent="0.25">
      <c r="A284" s="113">
        <v>18</v>
      </c>
      <c r="B284" s="130" t="e">
        <f>+TEQUILA!#REF!</f>
        <v>#REF!</v>
      </c>
      <c r="C284" s="130"/>
      <c r="D284" s="131" t="e">
        <f>+TEQUILA!#REF!</f>
        <v>#REF!</v>
      </c>
      <c r="E284" s="132"/>
      <c r="F284" s="132">
        <f t="shared" si="112"/>
        <v>0</v>
      </c>
      <c r="G284" s="131">
        <f>+Tabla55572795152747376[[#This Row],[VENTA]]-Tabla55572795152747376[[#This Row],[ICO 8%]]</f>
        <v>0</v>
      </c>
      <c r="H284" s="133" t="e">
        <f>+Tabla55572795152747376[[#This Row],[COSTO]]/Tabla55572795152747376[[#This Row],[BASE]]</f>
        <v>#REF!</v>
      </c>
      <c r="I284" s="134" t="e">
        <f>+Tabla55572795152747376[[#This Row],[BASE]]/Tabla55572795152747376[[#This Row],[COSTO]]</f>
        <v>#REF!</v>
      </c>
      <c r="J284" s="135" t="e">
        <f>+VLOOKUP(Tabla55572795152747376[[#This Row],[TEQUILA]],#REF!,2,0)</f>
        <v>#REF!</v>
      </c>
      <c r="K284" s="136" t="e">
        <f>+D284/(100-65)*100</f>
        <v>#REF!</v>
      </c>
      <c r="L284" s="131" t="e">
        <f t="shared" si="113"/>
        <v>#REF!</v>
      </c>
      <c r="M284" s="137" t="e">
        <f>+Tabla55572795152747376[[#This Row],[PRECIO SUGERIDO]]+Tabla55572795152747376[[#This Row],[ICO2]]</f>
        <v>#REF!</v>
      </c>
      <c r="N284" s="141">
        <v>65000</v>
      </c>
      <c r="O284" s="132">
        <f t="shared" si="114"/>
        <v>4814.8148148148148</v>
      </c>
      <c r="P284" s="139">
        <f t="shared" si="115"/>
        <v>60185.185185185182</v>
      </c>
      <c r="Q284" s="133" t="e">
        <f t="shared" si="116"/>
        <v>#REF!</v>
      </c>
      <c r="R284" s="194" t="e">
        <f t="shared" si="117"/>
        <v>#REF!</v>
      </c>
      <c r="S284" s="308">
        <v>59000</v>
      </c>
      <c r="T284" s="272" t="e">
        <f t="shared" si="118"/>
        <v>#REF!</v>
      </c>
    </row>
    <row r="285" spans="1:22" x14ac:dyDescent="0.25">
      <c r="A285" s="113">
        <v>19</v>
      </c>
      <c r="B285" s="130" t="e">
        <f>+TEQUILA!#REF!</f>
        <v>#REF!</v>
      </c>
      <c r="C285" s="130"/>
      <c r="D285" s="131" t="e">
        <f>+TEQUILA!#REF!</f>
        <v>#REF!</v>
      </c>
      <c r="E285" s="132" t="e">
        <f>+TEQUILA!#REF!</f>
        <v>#REF!</v>
      </c>
      <c r="F285" s="132" t="e">
        <f t="shared" si="112"/>
        <v>#REF!</v>
      </c>
      <c r="G285" s="131" t="e">
        <f>+Tabla55572795152747376[[#This Row],[VENTA]]-Tabla55572795152747376[[#This Row],[ICO 8%]]</f>
        <v>#REF!</v>
      </c>
      <c r="H285" s="133" t="e">
        <f>+Tabla55572795152747376[[#This Row],[COSTO]]/Tabla55572795152747376[[#This Row],[BASE]]</f>
        <v>#REF!</v>
      </c>
      <c r="I285" s="134" t="e">
        <f>+Tabla55572795152747376[[#This Row],[BASE]]/Tabla55572795152747376[[#This Row],[COSTO]]</f>
        <v>#REF!</v>
      </c>
      <c r="J285" s="135" t="e">
        <f>+VLOOKUP(Tabla55572795152747376[[#This Row],[TEQUILA]],#REF!,2,0)</f>
        <v>#REF!</v>
      </c>
      <c r="K285" s="136" t="e">
        <f>+D285/(100-40)*100</f>
        <v>#REF!</v>
      </c>
      <c r="L285" s="131" t="e">
        <f t="shared" si="113"/>
        <v>#REF!</v>
      </c>
      <c r="M285" s="137" t="e">
        <f>+Tabla55572795152747376[[#This Row],[PRECIO SUGERIDO]]+Tabla55572795152747376[[#This Row],[ICO2]]</f>
        <v>#REF!</v>
      </c>
      <c r="N285" s="141" t="e">
        <f>+Tabla55572795152747376[[#This Row],[VENTA]]</f>
        <v>#REF!</v>
      </c>
      <c r="O285" s="132" t="e">
        <f t="shared" si="114"/>
        <v>#REF!</v>
      </c>
      <c r="P285" s="139" t="e">
        <f t="shared" si="115"/>
        <v>#REF!</v>
      </c>
      <c r="Q285" s="133" t="e">
        <f t="shared" si="116"/>
        <v>#REF!</v>
      </c>
      <c r="R285" s="194" t="e">
        <f t="shared" si="117"/>
        <v>#REF!</v>
      </c>
      <c r="S285" s="244">
        <v>59000</v>
      </c>
      <c r="T285" s="272" t="e">
        <f t="shared" si="118"/>
        <v>#REF!</v>
      </c>
    </row>
    <row r="286" spans="1:22" x14ac:dyDescent="0.25">
      <c r="A286" s="113">
        <v>20</v>
      </c>
      <c r="B286" s="130" t="e">
        <f>+TEQUILA!#REF!</f>
        <v>#REF!</v>
      </c>
      <c r="C286" s="130"/>
      <c r="D286" s="131" t="e">
        <f>+TEQUILA!#REF!</f>
        <v>#REF!</v>
      </c>
      <c r="E286" s="132" t="e">
        <f>+TEQUILA!#REF!</f>
        <v>#REF!</v>
      </c>
      <c r="F286" s="132" t="e">
        <f t="shared" si="112"/>
        <v>#REF!</v>
      </c>
      <c r="G286" s="131" t="e">
        <f>+Tabla55572795152747376[[#This Row],[VENTA]]-Tabla55572795152747376[[#This Row],[ICO 8%]]</f>
        <v>#REF!</v>
      </c>
      <c r="H286" s="133" t="e">
        <f>+Tabla55572795152747376[[#This Row],[COSTO]]/Tabla55572795152747376[[#This Row],[BASE]]</f>
        <v>#REF!</v>
      </c>
      <c r="I286" s="134" t="e">
        <f>+Tabla55572795152747376[[#This Row],[BASE]]/Tabla55572795152747376[[#This Row],[COSTO]]</f>
        <v>#REF!</v>
      </c>
      <c r="J286" s="135" t="e">
        <f>+VLOOKUP(Tabla55572795152747376[[#This Row],[TEQUILA]],#REF!,2,0)</f>
        <v>#REF!</v>
      </c>
      <c r="K286" s="136" t="e">
        <f>+D286/(100-40)*100</f>
        <v>#REF!</v>
      </c>
      <c r="L286" s="131" t="e">
        <f t="shared" si="113"/>
        <v>#REF!</v>
      </c>
      <c r="M286" s="137" t="e">
        <f>+Tabla55572795152747376[[#This Row],[PRECIO SUGERIDO]]+Tabla55572795152747376[[#This Row],[ICO2]]</f>
        <v>#REF!</v>
      </c>
      <c r="N286" s="141" t="e">
        <f>+Tabla55572795152747376[[#This Row],[VENTA]]</f>
        <v>#REF!</v>
      </c>
      <c r="O286" s="132" t="e">
        <f t="shared" si="114"/>
        <v>#REF!</v>
      </c>
      <c r="P286" s="139" t="e">
        <f t="shared" si="115"/>
        <v>#REF!</v>
      </c>
      <c r="Q286" s="133" t="e">
        <f t="shared" si="116"/>
        <v>#REF!</v>
      </c>
      <c r="R286" s="194" t="e">
        <f t="shared" si="117"/>
        <v>#REF!</v>
      </c>
      <c r="S286" s="244">
        <v>62000</v>
      </c>
      <c r="T286" s="272" t="e">
        <f t="shared" si="118"/>
        <v>#REF!</v>
      </c>
    </row>
    <row r="287" spans="1:22" ht="13.8" thickBot="1" x14ac:dyDescent="0.3">
      <c r="A287" s="113">
        <v>21</v>
      </c>
      <c r="B287" s="130" t="e">
        <f>+TEQUILA!#REF!</f>
        <v>#REF!</v>
      </c>
      <c r="C287" s="130"/>
      <c r="D287" s="131" t="e">
        <f>+TEQUILA!#REF!</f>
        <v>#REF!</v>
      </c>
      <c r="E287" s="132" t="e">
        <f>+TEQUILA!#REF!</f>
        <v>#REF!</v>
      </c>
      <c r="F287" s="132" t="e">
        <f t="shared" si="112"/>
        <v>#REF!</v>
      </c>
      <c r="G287" s="131" t="e">
        <f>+Tabla55572795152747376[[#This Row],[VENTA]]-Tabla55572795152747376[[#This Row],[ICO 8%]]</f>
        <v>#REF!</v>
      </c>
      <c r="H287" s="133" t="e">
        <f>+Tabla55572795152747376[[#This Row],[COSTO]]/Tabla55572795152747376[[#This Row],[BASE]]</f>
        <v>#REF!</v>
      </c>
      <c r="I287" s="134" t="e">
        <f>+Tabla55572795152747376[[#This Row],[BASE]]/Tabla55572795152747376[[#This Row],[COSTO]]</f>
        <v>#REF!</v>
      </c>
      <c r="J287" s="135" t="e">
        <f>+VLOOKUP(Tabla55572795152747376[[#This Row],[TEQUILA]],#REF!,2,0)</f>
        <v>#REF!</v>
      </c>
      <c r="K287" s="136" t="e">
        <f>+D287/(100-40)*100</f>
        <v>#REF!</v>
      </c>
      <c r="L287" s="131" t="e">
        <f t="shared" si="113"/>
        <v>#REF!</v>
      </c>
      <c r="M287" s="137" t="e">
        <f>+Tabla55572795152747376[[#This Row],[PRECIO SUGERIDO]]+Tabla55572795152747376[[#This Row],[ICO2]]</f>
        <v>#REF!</v>
      </c>
      <c r="N287" s="141" t="e">
        <f>+Tabla55572795152747376[[#This Row],[VENTA]]</f>
        <v>#REF!</v>
      </c>
      <c r="O287" s="132" t="e">
        <f t="shared" si="114"/>
        <v>#REF!</v>
      </c>
      <c r="P287" s="139" t="e">
        <f t="shared" si="115"/>
        <v>#REF!</v>
      </c>
      <c r="Q287" s="133" t="e">
        <f t="shared" si="116"/>
        <v>#REF!</v>
      </c>
      <c r="R287" s="194" t="e">
        <f t="shared" si="117"/>
        <v>#REF!</v>
      </c>
      <c r="S287" s="244">
        <v>62000</v>
      </c>
      <c r="T287" s="272" t="e">
        <f t="shared" si="118"/>
        <v>#REF!</v>
      </c>
    </row>
    <row r="288" spans="1:22" ht="13.8" thickBot="1" x14ac:dyDescent="0.3">
      <c r="B288" s="153" t="s">
        <v>35</v>
      </c>
      <c r="C288" s="181"/>
      <c r="D288" s="155"/>
      <c r="E288" s="156"/>
      <c r="F288" s="156"/>
      <c r="G288" s="155"/>
      <c r="H288" s="158" t="e">
        <f>SUBTOTAL(101,Tabla55572795152747376[%])</f>
        <v>#DIV/0!</v>
      </c>
      <c r="I288" s="156"/>
      <c r="J288" s="156"/>
      <c r="K288" s="159"/>
      <c r="L288" s="155"/>
      <c r="M288" s="156"/>
      <c r="N288" s="160"/>
      <c r="O288" s="156"/>
      <c r="P288" s="155"/>
      <c r="Q288" s="161"/>
      <c r="R288" s="162" t="e">
        <f>SUBTOTAL(109,Tabla55572795152747376[RATION])</f>
        <v>#REF!</v>
      </c>
      <c r="S288" s="232"/>
      <c r="T288" s="275"/>
    </row>
    <row r="291" spans="1:20" x14ac:dyDescent="0.25">
      <c r="E291" s="117" t="s">
        <v>25</v>
      </c>
      <c r="F291" s="114"/>
      <c r="G291" s="118"/>
      <c r="H291" s="114"/>
      <c r="I291" s="114"/>
      <c r="J291" s="70"/>
      <c r="K291" s="396" t="s">
        <v>29</v>
      </c>
      <c r="L291" s="396"/>
      <c r="M291" s="396"/>
      <c r="N291" s="395" t="s">
        <v>1090</v>
      </c>
      <c r="O291" s="395"/>
      <c r="P291" s="395"/>
      <c r="Q291" s="395"/>
    </row>
    <row r="292" spans="1:20" x14ac:dyDescent="0.25">
      <c r="B292" s="183" t="s">
        <v>375</v>
      </c>
      <c r="C292" s="184" t="s">
        <v>316</v>
      </c>
      <c r="D292" s="185" t="s">
        <v>7</v>
      </c>
      <c r="E292" s="186" t="s">
        <v>20</v>
      </c>
      <c r="F292" s="187" t="s">
        <v>33</v>
      </c>
      <c r="G292" s="185" t="s">
        <v>26</v>
      </c>
      <c r="H292" s="188" t="s">
        <v>21</v>
      </c>
      <c r="I292" s="189" t="s">
        <v>22</v>
      </c>
      <c r="J292" s="189" t="s">
        <v>23</v>
      </c>
      <c r="K292" s="189" t="s">
        <v>27</v>
      </c>
      <c r="L292" s="185" t="s">
        <v>32</v>
      </c>
      <c r="M292" s="189" t="s">
        <v>28</v>
      </c>
      <c r="N292" s="190" t="s">
        <v>30</v>
      </c>
      <c r="O292" s="185" t="s">
        <v>34</v>
      </c>
      <c r="P292" s="185" t="s">
        <v>25</v>
      </c>
      <c r="Q292" s="191" t="s">
        <v>31</v>
      </c>
      <c r="R292" s="192" t="s">
        <v>24</v>
      </c>
      <c r="S292" s="234" t="s">
        <v>1262</v>
      </c>
      <c r="T292" s="276" t="s">
        <v>1263</v>
      </c>
    </row>
    <row r="293" spans="1:20" x14ac:dyDescent="0.25">
      <c r="B293" s="130" t="str">
        <f>+VODKA!B29</f>
        <v xml:space="preserve">GREY GOOSE </v>
      </c>
      <c r="C293" s="130"/>
      <c r="D293" s="131">
        <f>+VODKA!I32</f>
        <v>218320</v>
      </c>
      <c r="E293" s="132"/>
      <c r="F293" s="132">
        <f t="shared" ref="F293:F298" si="120">+E293/1.08*0.08</f>
        <v>0</v>
      </c>
      <c r="G293" s="131">
        <f>+Tabla55572795152747383[[#This Row],[VENTA]]-Tabla55572795152747383[[#This Row],[ICO 8%]]</f>
        <v>0</v>
      </c>
      <c r="H293" s="133" t="e">
        <f>+Tabla55572795152747383[[#This Row],[COSTO]]/Tabla55572795152747383[[#This Row],[BASE]]</f>
        <v>#DIV/0!</v>
      </c>
      <c r="I293" s="134">
        <f>+Tabla55572795152747383[[#This Row],[BASE]]/Tabla55572795152747383[[#This Row],[COSTO]]</f>
        <v>0</v>
      </c>
      <c r="J293" s="135" t="e">
        <f>+VLOOKUP(Tabla55572795152747383[[#This Row],[VODKA]],#REF!,2,0)</f>
        <v>#REF!</v>
      </c>
      <c r="K293" s="136">
        <f t="shared" ref="K293:K298" si="121">+D293/(100-75)*100</f>
        <v>873279.99999999988</v>
      </c>
      <c r="L293" s="131">
        <f t="shared" ref="L293:L298" si="122">+K293/1.08*0.08</f>
        <v>64687.407407407401</v>
      </c>
      <c r="M293" s="137">
        <f>+Tabla55572795152747383[[#This Row],[PRECIO SUGERIDO]]+Tabla55572795152747383[[#This Row],[ICO2]]</f>
        <v>937967.4074074073</v>
      </c>
      <c r="N293" s="141"/>
      <c r="O293" s="132">
        <f t="shared" ref="O293:O298" si="123">+N293/1.08*0.08</f>
        <v>0</v>
      </c>
      <c r="P293" s="139">
        <f t="shared" ref="P293:P298" si="124">+N293-O293</f>
        <v>0</v>
      </c>
      <c r="Q293" s="281" t="e">
        <f t="shared" ref="Q293:Q298" si="125">+D293/P293</f>
        <v>#DIV/0!</v>
      </c>
      <c r="R293" s="194">
        <f t="shared" ref="R293:R298" si="126">+P293/D293</f>
        <v>0</v>
      </c>
      <c r="S293" s="308">
        <v>550000</v>
      </c>
      <c r="T293" s="272">
        <f t="shared" ref="T293:T298" si="127">+D293/S293</f>
        <v>0.39694545454545455</v>
      </c>
    </row>
    <row r="294" spans="1:20" x14ac:dyDescent="0.25">
      <c r="B294" s="130" t="e">
        <f>+VODKA!#REF!</f>
        <v>#REF!</v>
      </c>
      <c r="C294" s="130"/>
      <c r="D294" s="131" t="e">
        <f>+VODKA!#REF!</f>
        <v>#REF!</v>
      </c>
      <c r="E294" s="132"/>
      <c r="F294" s="132">
        <f t="shared" si="120"/>
        <v>0</v>
      </c>
      <c r="G294" s="131">
        <f>+Tabla55572795152747383[[#This Row],[VENTA]]-Tabla55572795152747383[[#This Row],[ICO 8%]]</f>
        <v>0</v>
      </c>
      <c r="H294" s="133" t="e">
        <f>+Tabla55572795152747383[[#This Row],[COSTO]]/Tabla55572795152747383[[#This Row],[BASE]]</f>
        <v>#REF!</v>
      </c>
      <c r="I294" s="134" t="e">
        <f>+Tabla55572795152747383[[#This Row],[BASE]]/Tabla55572795152747383[[#This Row],[COSTO]]</f>
        <v>#REF!</v>
      </c>
      <c r="J294" s="135" t="e">
        <f>+VLOOKUP(Tabla55572795152747383[[#This Row],[VODKA]],#REF!,2,0)</f>
        <v>#REF!</v>
      </c>
      <c r="K294" s="136" t="e">
        <f t="shared" si="121"/>
        <v>#REF!</v>
      </c>
      <c r="L294" s="131" t="e">
        <f t="shared" si="122"/>
        <v>#REF!</v>
      </c>
      <c r="M294" s="137" t="e">
        <f>+Tabla55572795152747383[[#This Row],[PRECIO SUGERIDO]]+Tabla55572795152747383[[#This Row],[ICO2]]</f>
        <v>#REF!</v>
      </c>
      <c r="N294" s="141"/>
      <c r="O294" s="132">
        <f t="shared" si="123"/>
        <v>0</v>
      </c>
      <c r="P294" s="139">
        <f t="shared" si="124"/>
        <v>0</v>
      </c>
      <c r="Q294" s="281" t="e">
        <f t="shared" si="125"/>
        <v>#REF!</v>
      </c>
      <c r="R294" s="194" t="e">
        <f t="shared" si="126"/>
        <v>#REF!</v>
      </c>
      <c r="S294" s="308">
        <v>67000</v>
      </c>
      <c r="T294" s="272" t="e">
        <f t="shared" si="127"/>
        <v>#REF!</v>
      </c>
    </row>
    <row r="295" spans="1:20" x14ac:dyDescent="0.25">
      <c r="B295" s="130" t="e">
        <f>+VODKA!#REF!</f>
        <v>#REF!</v>
      </c>
      <c r="C295" s="130"/>
      <c r="D295" s="131" t="e">
        <f>+VODKA!#REF!</f>
        <v>#REF!</v>
      </c>
      <c r="E295" s="132" t="e">
        <f>+VODKA!#REF!</f>
        <v>#REF!</v>
      </c>
      <c r="F295" s="132" t="e">
        <f t="shared" si="120"/>
        <v>#REF!</v>
      </c>
      <c r="G295" s="131" t="e">
        <f>+Tabla55572795152747383[[#This Row],[VENTA]]-Tabla55572795152747383[[#This Row],[ICO 8%]]</f>
        <v>#REF!</v>
      </c>
      <c r="H295" s="133" t="e">
        <f>+Tabla55572795152747383[[#This Row],[COSTO]]/Tabla55572795152747383[[#This Row],[BASE]]</f>
        <v>#REF!</v>
      </c>
      <c r="I295" s="134" t="e">
        <f>+Tabla55572795152747383[[#This Row],[BASE]]/Tabla55572795152747383[[#This Row],[COSTO]]</f>
        <v>#REF!</v>
      </c>
      <c r="J295" s="135" t="e">
        <f>+VLOOKUP(Tabla55572795152747383[[#This Row],[VODKA]],#REF!,2,0)</f>
        <v>#REF!</v>
      </c>
      <c r="K295" s="136" t="e">
        <f t="shared" si="121"/>
        <v>#REF!</v>
      </c>
      <c r="L295" s="131" t="e">
        <f t="shared" si="122"/>
        <v>#REF!</v>
      </c>
      <c r="M295" s="137" t="e">
        <f>+Tabla55572795152747383[[#This Row],[PRECIO SUGERIDO]]+Tabla55572795152747383[[#This Row],[ICO2]]</f>
        <v>#REF!</v>
      </c>
      <c r="N295" s="138">
        <v>19000</v>
      </c>
      <c r="O295" s="132">
        <f t="shared" si="123"/>
        <v>1407.4074074074074</v>
      </c>
      <c r="P295" s="139">
        <f t="shared" si="124"/>
        <v>17592.592592592591</v>
      </c>
      <c r="Q295" s="133" t="e">
        <f t="shared" si="125"/>
        <v>#REF!</v>
      </c>
      <c r="R295" s="194" t="e">
        <f t="shared" si="126"/>
        <v>#REF!</v>
      </c>
      <c r="S295" s="308">
        <v>29000</v>
      </c>
      <c r="T295" s="272" t="e">
        <f t="shared" si="127"/>
        <v>#REF!</v>
      </c>
    </row>
    <row r="296" spans="1:20" x14ac:dyDescent="0.25">
      <c r="B296" s="143" t="e">
        <f>+VODKA!#REF!</f>
        <v>#REF!</v>
      </c>
      <c r="C296" s="143"/>
      <c r="D296" s="144" t="e">
        <f>+VODKA!#REF!</f>
        <v>#REF!</v>
      </c>
      <c r="E296" s="145" t="e">
        <f>+VODKA!#REF!</f>
        <v>#REF!</v>
      </c>
      <c r="F296" s="145" t="e">
        <f t="shared" si="120"/>
        <v>#REF!</v>
      </c>
      <c r="G296" s="144" t="e">
        <f>+Tabla55572795152747383[[#This Row],[VENTA]]-Tabla55572795152747383[[#This Row],[ICO 8%]]</f>
        <v>#REF!</v>
      </c>
      <c r="H296" s="146" t="e">
        <f>+Tabla55572795152747383[[#This Row],[COSTO]]/Tabla55572795152747383[[#This Row],[BASE]]</f>
        <v>#REF!</v>
      </c>
      <c r="I296" s="147" t="e">
        <f>+Tabla55572795152747383[[#This Row],[BASE]]/Tabla55572795152747383[[#This Row],[COSTO]]</f>
        <v>#REF!</v>
      </c>
      <c r="J296" s="148" t="e">
        <f>+VLOOKUP(Tabla55572795152747383[[#This Row],[VODKA]],#REF!,2,0)</f>
        <v>#REF!</v>
      </c>
      <c r="K296" s="149" t="e">
        <f t="shared" si="121"/>
        <v>#REF!</v>
      </c>
      <c r="L296" s="144" t="e">
        <f t="shared" si="122"/>
        <v>#REF!</v>
      </c>
      <c r="M296" s="150" t="e">
        <f>+Tabla55572795152747383[[#This Row],[PRECIO SUGERIDO]]+Tabla55572795152747383[[#This Row],[ICO2]]</f>
        <v>#REF!</v>
      </c>
      <c r="N296" s="141" t="e">
        <f>+Tabla55572795152747383[[#This Row],[VENTA]]</f>
        <v>#REF!</v>
      </c>
      <c r="O296" s="145" t="e">
        <f t="shared" si="123"/>
        <v>#REF!</v>
      </c>
      <c r="P296" s="151" t="e">
        <f t="shared" si="124"/>
        <v>#REF!</v>
      </c>
      <c r="Q296" s="146" t="e">
        <f t="shared" si="125"/>
        <v>#REF!</v>
      </c>
      <c r="R296" s="196" t="e">
        <f t="shared" si="126"/>
        <v>#REF!</v>
      </c>
      <c r="S296" s="308">
        <v>65000</v>
      </c>
      <c r="T296" s="272" t="e">
        <f t="shared" si="127"/>
        <v>#REF!</v>
      </c>
    </row>
    <row r="297" spans="1:20" x14ac:dyDescent="0.25">
      <c r="B297" s="171" t="str">
        <f>+VODKA!B17</f>
        <v>VODKA ABSOLUT</v>
      </c>
      <c r="C297" s="171"/>
      <c r="D297" s="172">
        <f>+VODKA!I20</f>
        <v>83700</v>
      </c>
      <c r="E297" s="173">
        <f>+VODKA!I21</f>
        <v>230000</v>
      </c>
      <c r="F297" s="173">
        <f t="shared" si="120"/>
        <v>17037.037037037036</v>
      </c>
      <c r="G297" s="172">
        <f>+Tabla55572795152747383[[#This Row],[VENTA]]-Tabla55572795152747383[[#This Row],[ICO 8%]]</f>
        <v>212962.96296296298</v>
      </c>
      <c r="H297" s="174">
        <f>+Tabla55572795152747383[[#This Row],[COSTO]]/Tabla55572795152747383[[#This Row],[BASE]]</f>
        <v>0.39302608695652169</v>
      </c>
      <c r="I297" s="175">
        <f>+Tabla55572795152747383[[#This Row],[BASE]]/Tabla55572795152747383[[#This Row],[COSTO]]</f>
        <v>2.544360369927873</v>
      </c>
      <c r="J297" s="113" t="e">
        <f>+VLOOKUP(Tabla55572795152747383[[#This Row],[VODKA]],#REF!,2,0)</f>
        <v>#REF!</v>
      </c>
      <c r="K297" s="176">
        <f t="shared" si="121"/>
        <v>334800</v>
      </c>
      <c r="L297" s="172">
        <f t="shared" si="122"/>
        <v>24800</v>
      </c>
      <c r="M297" s="177">
        <f>+Tabla55572795152747383[[#This Row],[PRECIO SUGERIDO]]+Tabla55572795152747383[[#This Row],[ICO2]]</f>
        <v>359600</v>
      </c>
      <c r="N297" s="268">
        <f>+Tabla55572795152747383[[#This Row],[VENTA]]</f>
        <v>230000</v>
      </c>
      <c r="O297" s="173">
        <f t="shared" si="123"/>
        <v>17037.037037037036</v>
      </c>
      <c r="P297" s="179">
        <f t="shared" si="124"/>
        <v>212962.96296296298</v>
      </c>
      <c r="Q297" s="174">
        <f t="shared" si="125"/>
        <v>0.39302608695652169</v>
      </c>
      <c r="R297" s="180">
        <f t="shared" si="126"/>
        <v>2.544360369927873</v>
      </c>
      <c r="S297" s="308">
        <v>210000</v>
      </c>
      <c r="T297" s="272">
        <f t="shared" si="127"/>
        <v>0.39857142857142858</v>
      </c>
    </row>
    <row r="298" spans="1:20" ht="13.8" thickBot="1" x14ac:dyDescent="0.3">
      <c r="B298" s="171" t="str">
        <f>+VODKA!B6</f>
        <v>VODKA SMIRNOFF</v>
      </c>
      <c r="C298" s="171"/>
      <c r="D298" s="172">
        <f>+VODKA!I9</f>
        <v>193996</v>
      </c>
      <c r="E298" s="173">
        <f>+VODKA!I10</f>
        <v>240000</v>
      </c>
      <c r="F298" s="173">
        <f t="shared" si="120"/>
        <v>17777.777777777777</v>
      </c>
      <c r="G298" s="172">
        <f>+Tabla55572795152747383[[#This Row],[VENTA]]-Tabla55572795152747383[[#This Row],[ICO 8%]]</f>
        <v>222222.22222222222</v>
      </c>
      <c r="H298" s="174">
        <f>+Tabla55572795152747383[[#This Row],[COSTO]]/Tabla55572795152747383[[#This Row],[BASE]]</f>
        <v>0.87298200000000004</v>
      </c>
      <c r="I298" s="175">
        <f>+Tabla55572795152747383[[#This Row],[BASE]]/Tabla55572795152747383[[#This Row],[COSTO]]</f>
        <v>1.145498990815389</v>
      </c>
      <c r="J298" s="113" t="e">
        <f>+VLOOKUP(Tabla55572795152747383[[#This Row],[VODKA]],#REF!,2,0)</f>
        <v>#REF!</v>
      </c>
      <c r="K298" s="176">
        <f t="shared" si="121"/>
        <v>775984</v>
      </c>
      <c r="L298" s="172">
        <f t="shared" si="122"/>
        <v>57480.296296296299</v>
      </c>
      <c r="M298" s="177">
        <f>+Tabla55572795152747383[[#This Row],[PRECIO SUGERIDO]]+Tabla55572795152747383[[#This Row],[ICO2]]</f>
        <v>833464.29629629629</v>
      </c>
      <c r="N298" s="268">
        <f>+Tabla55572795152747383[[#This Row],[VENTA]]</f>
        <v>240000</v>
      </c>
      <c r="O298" s="173">
        <f t="shared" si="123"/>
        <v>17777.777777777777</v>
      </c>
      <c r="P298" s="179">
        <f t="shared" si="124"/>
        <v>222222.22222222222</v>
      </c>
      <c r="Q298" s="174">
        <f t="shared" si="125"/>
        <v>0.87298200000000004</v>
      </c>
      <c r="R298" s="180">
        <f t="shared" si="126"/>
        <v>1.145498990815389</v>
      </c>
      <c r="S298" s="308">
        <v>490000</v>
      </c>
      <c r="T298" s="272">
        <f t="shared" si="127"/>
        <v>0.39591020408163263</v>
      </c>
    </row>
    <row r="299" spans="1:20" ht="13.8" thickBot="1" x14ac:dyDescent="0.3">
      <c r="B299" s="153" t="s">
        <v>35</v>
      </c>
      <c r="C299" s="181"/>
      <c r="D299" s="155"/>
      <c r="E299" s="156"/>
      <c r="F299" s="156"/>
      <c r="G299" s="155"/>
      <c r="H299" s="158" t="e">
        <f>SUBTOTAL(101,Tabla55572795152747383[%])</f>
        <v>#DIV/0!</v>
      </c>
      <c r="I299" s="156"/>
      <c r="J299" s="156"/>
      <c r="K299" s="159"/>
      <c r="L299" s="155"/>
      <c r="M299" s="156"/>
      <c r="N299" s="160"/>
      <c r="O299" s="156"/>
      <c r="P299" s="155"/>
      <c r="Q299" s="161" t="e">
        <f>SUBTOTAL(101,Tabla55572795152747383[% ])</f>
        <v>#DIV/0!</v>
      </c>
      <c r="R299" s="162" t="e">
        <f>SUBTOTAL(109,Tabla55572795152747383[RATION])</f>
        <v>#REF!</v>
      </c>
      <c r="S299" s="232"/>
      <c r="T299" s="275"/>
    </row>
    <row r="301" spans="1:20" x14ac:dyDescent="0.25">
      <c r="E301" s="117" t="s">
        <v>25</v>
      </c>
      <c r="F301" s="114"/>
      <c r="G301" s="118"/>
      <c r="H301" s="114"/>
      <c r="I301" s="114"/>
      <c r="J301" s="70"/>
      <c r="K301" s="396" t="s">
        <v>29</v>
      </c>
      <c r="L301" s="396"/>
      <c r="M301" s="396"/>
      <c r="N301" s="395" t="s">
        <v>1090</v>
      </c>
      <c r="O301" s="395"/>
      <c r="P301" s="395"/>
      <c r="Q301" s="395"/>
    </row>
    <row r="302" spans="1:20" x14ac:dyDescent="0.25">
      <c r="B302" s="183" t="s">
        <v>376</v>
      </c>
      <c r="C302" s="184" t="s">
        <v>316</v>
      </c>
      <c r="D302" s="185" t="s">
        <v>7</v>
      </c>
      <c r="E302" s="186" t="s">
        <v>20</v>
      </c>
      <c r="F302" s="187" t="s">
        <v>33</v>
      </c>
      <c r="G302" s="185" t="s">
        <v>26</v>
      </c>
      <c r="H302" s="188" t="s">
        <v>21</v>
      </c>
      <c r="I302" s="189" t="s">
        <v>22</v>
      </c>
      <c r="J302" s="189" t="s">
        <v>23</v>
      </c>
      <c r="K302" s="189" t="s">
        <v>27</v>
      </c>
      <c r="L302" s="185" t="s">
        <v>32</v>
      </c>
      <c r="M302" s="189" t="s">
        <v>28</v>
      </c>
      <c r="N302" s="190" t="s">
        <v>30</v>
      </c>
      <c r="O302" s="185" t="s">
        <v>34</v>
      </c>
      <c r="P302" s="185" t="s">
        <v>25</v>
      </c>
      <c r="Q302" s="191" t="s">
        <v>31</v>
      </c>
      <c r="R302" s="192" t="s">
        <v>24</v>
      </c>
      <c r="S302" s="234" t="s">
        <v>1262</v>
      </c>
      <c r="T302" s="276" t="s">
        <v>1263</v>
      </c>
    </row>
    <row r="303" spans="1:20" s="242" customFormat="1" x14ac:dyDescent="0.25">
      <c r="A303" s="241"/>
      <c r="B303" s="199" t="str">
        <f>+WISKHY!B108</f>
        <v xml:space="preserve"> RED LABEL</v>
      </c>
      <c r="C303" s="199"/>
      <c r="D303" s="254">
        <f>+WISKHY!I111</f>
        <v>63856.000000100001</v>
      </c>
      <c r="E303" s="255"/>
      <c r="F303" s="255">
        <f t="shared" ref="F303:F318" si="128">+E303/1.08*0.08</f>
        <v>0</v>
      </c>
      <c r="G303" s="254">
        <f>+Tabla55572795152747384[[#This Row],[VENTA]]-Tabla55572795152747384[[#This Row],[ICO 8%]]</f>
        <v>0</v>
      </c>
      <c r="H303" s="256" t="e">
        <f>+Tabla55572795152747384[[#This Row],[COSTO]]/Tabla55572795152747384[[#This Row],[BASE]]</f>
        <v>#DIV/0!</v>
      </c>
      <c r="I303" s="257">
        <f>+Tabla55572795152747384[[#This Row],[BASE]]/Tabla55572795152747384[[#This Row],[COSTO]]</f>
        <v>0</v>
      </c>
      <c r="J303" s="258" t="e">
        <f>+VLOOKUP(Tabla55572795152747384[[#This Row],[WISKHY]],#REF!,2,0)</f>
        <v>#REF!</v>
      </c>
      <c r="K303" s="259">
        <f t="shared" ref="K303:K318" si="129">+D303/(100-60)*100</f>
        <v>159640.00000025</v>
      </c>
      <c r="L303" s="254">
        <f t="shared" ref="L303:L318" si="130">+K303/1.08*0.08</f>
        <v>11825.185185203703</v>
      </c>
      <c r="M303" s="260">
        <f>+Tabla55572795152747384[[#This Row],[PRECIO SUGERIDO]]+Tabla55572795152747384[[#This Row],[ICO2]]</f>
        <v>171465.18518545371</v>
      </c>
      <c r="N303" s="261">
        <f>+Tabla55572795152747384[[#This Row],[VENTA]]</f>
        <v>0</v>
      </c>
      <c r="O303" s="255">
        <f t="shared" ref="O303:O318" si="131">+N303/1.08*0.08</f>
        <v>0</v>
      </c>
      <c r="P303" s="254">
        <f t="shared" ref="P303:P318" si="132">+N303-O303</f>
        <v>0</v>
      </c>
      <c r="Q303" s="286" t="e">
        <f t="shared" ref="Q303:Q318" si="133">+D303/P303</f>
        <v>#DIV/0!</v>
      </c>
      <c r="R303" s="262">
        <f t="shared" ref="R303:R318" si="134">+P303/D303</f>
        <v>0</v>
      </c>
      <c r="S303" s="244">
        <v>160000</v>
      </c>
      <c r="T303" s="278">
        <f t="shared" ref="T303:T318" si="135">+D303/S303</f>
        <v>0.39910000000062501</v>
      </c>
    </row>
    <row r="304" spans="1:20" x14ac:dyDescent="0.25">
      <c r="B304" s="130" t="str">
        <f>+WISKHY!B6</f>
        <v>BUCHANANS 12 AÑOS</v>
      </c>
      <c r="C304" s="130"/>
      <c r="D304" s="131">
        <f>+WISKHY!I9</f>
        <v>170170</v>
      </c>
      <c r="E304" s="132">
        <f>+WISKHY!I10</f>
        <v>313000</v>
      </c>
      <c r="F304" s="132">
        <f t="shared" si="128"/>
        <v>23185.185185185182</v>
      </c>
      <c r="G304" s="131">
        <f>+Tabla55572795152747384[[#This Row],[VENTA]]-Tabla55572795152747384[[#This Row],[ICO 8%]]</f>
        <v>289814.81481481483</v>
      </c>
      <c r="H304" s="133">
        <f>+Tabla55572795152747384[[#This Row],[COSTO]]/Tabla55572795152747384[[#This Row],[BASE]]</f>
        <v>0.5871680511182108</v>
      </c>
      <c r="I304" s="134">
        <f>+Tabla55572795152747384[[#This Row],[BASE]]/Tabla55572795152747384[[#This Row],[COSTO]]</f>
        <v>1.7030899383840561</v>
      </c>
      <c r="J304" s="135" t="e">
        <f>+VLOOKUP(Tabla55572795152747384[[#This Row],[WISKHY]],#REF!,2,0)</f>
        <v>#REF!</v>
      </c>
      <c r="K304" s="136">
        <f t="shared" si="129"/>
        <v>425425</v>
      </c>
      <c r="L304" s="131">
        <f t="shared" si="130"/>
        <v>31512.962962962964</v>
      </c>
      <c r="M304" s="137">
        <f>+Tabla55572795152747384[[#This Row],[PRECIO SUGERIDO]]+Tabla55572795152747384[[#This Row],[ICO2]]</f>
        <v>456937.96296296298</v>
      </c>
      <c r="N304" s="141">
        <f>+Tabla55572795152747384[[#This Row],[VENTA]]</f>
        <v>313000</v>
      </c>
      <c r="O304" s="132">
        <f t="shared" si="131"/>
        <v>23185.185185185182</v>
      </c>
      <c r="P304" s="139">
        <f t="shared" si="132"/>
        <v>289814.81481481483</v>
      </c>
      <c r="Q304" s="133">
        <f t="shared" si="133"/>
        <v>0.5871680511182108</v>
      </c>
      <c r="R304" s="194">
        <f t="shared" si="134"/>
        <v>1.7030899383840561</v>
      </c>
      <c r="S304" s="244">
        <v>425000</v>
      </c>
      <c r="T304" s="272">
        <f t="shared" si="135"/>
        <v>0.40039999999999998</v>
      </c>
    </row>
    <row r="305" spans="1:22" x14ac:dyDescent="0.25">
      <c r="B305" s="130" t="str">
        <f>+WISKHY!B28</f>
        <v>BUCHANANS 18 AÑOS</v>
      </c>
      <c r="C305" s="130"/>
      <c r="D305" s="131">
        <f>+WISKHY!I31</f>
        <v>357522</v>
      </c>
      <c r="E305" s="132">
        <f>+WISKHY!I32</f>
        <v>723000</v>
      </c>
      <c r="F305" s="132">
        <f t="shared" si="128"/>
        <v>53555.555555555555</v>
      </c>
      <c r="G305" s="131">
        <f>+Tabla55572795152747384[[#This Row],[VENTA]]-Tabla55572795152747384[[#This Row],[ICO 8%]]</f>
        <v>669444.4444444445</v>
      </c>
      <c r="H305" s="133">
        <f>+Tabla55572795152747384[[#This Row],[COSTO]]/Tabla55572795152747384[[#This Row],[BASE]]</f>
        <v>0.53405775933609956</v>
      </c>
      <c r="I305" s="134">
        <f>+Tabla55572795152747384[[#This Row],[BASE]]/Tabla55572795152747384[[#This Row],[COSTO]]</f>
        <v>1.8724566444706745</v>
      </c>
      <c r="J305" s="135" t="e">
        <f>+VLOOKUP(Tabla55572795152747384[[#This Row],[WISKHY]],#REF!,2,0)</f>
        <v>#REF!</v>
      </c>
      <c r="K305" s="136">
        <f t="shared" si="129"/>
        <v>893804.99999999988</v>
      </c>
      <c r="L305" s="131">
        <f t="shared" si="130"/>
        <v>66207.777777777766</v>
      </c>
      <c r="M305" s="137">
        <f>+Tabla55572795152747384[[#This Row],[PRECIO SUGERIDO]]+Tabla55572795152747384[[#This Row],[ICO2]]</f>
        <v>960012.77777777764</v>
      </c>
      <c r="N305" s="141">
        <f>+Tabla55572795152747384[[#This Row],[VENTA]]</f>
        <v>723000</v>
      </c>
      <c r="O305" s="132">
        <f t="shared" si="131"/>
        <v>53555.555555555555</v>
      </c>
      <c r="P305" s="139">
        <f t="shared" si="132"/>
        <v>669444.4444444445</v>
      </c>
      <c r="Q305" s="133">
        <f t="shared" si="133"/>
        <v>0.53405775933609956</v>
      </c>
      <c r="R305" s="194">
        <f t="shared" si="134"/>
        <v>1.8724566444706745</v>
      </c>
      <c r="S305" s="244">
        <v>890000</v>
      </c>
      <c r="T305" s="272">
        <f t="shared" si="135"/>
        <v>0.40171011235955056</v>
      </c>
    </row>
    <row r="306" spans="1:22" x14ac:dyDescent="0.25">
      <c r="B306" s="130" t="str">
        <f>+WISKHY!B40</f>
        <v>BUCHANANS MASTER</v>
      </c>
      <c r="C306" s="130"/>
      <c r="D306" s="131">
        <f>+WISKHY!I43</f>
        <v>171248</v>
      </c>
      <c r="E306" s="239">
        <f>+WISKHY!I44</f>
        <v>369000</v>
      </c>
      <c r="F306" s="132">
        <f t="shared" si="128"/>
        <v>27333.333333333332</v>
      </c>
      <c r="G306" s="131">
        <f>+Tabla55572795152747384[[#This Row],[VENTA]]-Tabla55572795152747384[[#This Row],[ICO 8%]]</f>
        <v>341666.66666666669</v>
      </c>
      <c r="H306" s="133">
        <f>+Tabla55572795152747384[[#This Row],[COSTO]]/Tabla55572795152747384[[#This Row],[BASE]]</f>
        <v>0.50121365853658528</v>
      </c>
      <c r="I306" s="134">
        <f>+Tabla55572795152747384[[#This Row],[BASE]]/Tabla55572795152747384[[#This Row],[COSTO]]</f>
        <v>1.9951571210564016</v>
      </c>
      <c r="J306" s="135" t="e">
        <f>+VLOOKUP(Tabla55572795152747384[[#This Row],[WISKHY]],#REF!,2,0)</f>
        <v>#REF!</v>
      </c>
      <c r="K306" s="136">
        <f t="shared" si="129"/>
        <v>428120</v>
      </c>
      <c r="L306" s="131">
        <f t="shared" si="130"/>
        <v>31712.592592592588</v>
      </c>
      <c r="M306" s="137">
        <f>+Tabla55572795152747384[[#This Row],[PRECIO SUGERIDO]]+Tabla55572795152747384[[#This Row],[ICO2]]</f>
        <v>459832.59259259258</v>
      </c>
      <c r="N306" s="141">
        <f>+Tabla55572795152747384[[#This Row],[VENTA]]</f>
        <v>369000</v>
      </c>
      <c r="O306" s="132">
        <f t="shared" si="131"/>
        <v>27333.333333333332</v>
      </c>
      <c r="P306" s="139">
        <f t="shared" si="132"/>
        <v>341666.66666666669</v>
      </c>
      <c r="Q306" s="133">
        <f t="shared" si="133"/>
        <v>0.50121365853658528</v>
      </c>
      <c r="R306" s="194">
        <f t="shared" si="134"/>
        <v>1.9951571210564016</v>
      </c>
      <c r="S306" s="244">
        <v>440000</v>
      </c>
      <c r="T306" s="272">
        <f t="shared" si="135"/>
        <v>0.38919999999999999</v>
      </c>
      <c r="V306" s="50" t="s">
        <v>1296</v>
      </c>
    </row>
    <row r="307" spans="1:22" x14ac:dyDescent="0.25">
      <c r="B307" s="130" t="str">
        <f>+WISKHY!B78</f>
        <v xml:space="preserve">BULLEIT BOURBON </v>
      </c>
      <c r="C307" s="130"/>
      <c r="D307" s="131">
        <f>+WISKHY!I81</f>
        <v>149893.99999991999</v>
      </c>
      <c r="E307" s="239">
        <f>+WISKHY!I82</f>
        <v>327000</v>
      </c>
      <c r="F307" s="132">
        <f t="shared" si="128"/>
        <v>24222.222222222219</v>
      </c>
      <c r="G307" s="131">
        <f>+Tabla55572795152747384[[#This Row],[VENTA]]-Tabla55572795152747384[[#This Row],[ICO 8%]]</f>
        <v>302777.77777777775</v>
      </c>
      <c r="H307" s="133">
        <f>+Tabla55572795152747384[[#This Row],[COSTO]]/Tabla55572795152747384[[#This Row],[BASE]]</f>
        <v>0.49506275229331376</v>
      </c>
      <c r="I307" s="134">
        <f>+Tabla55572795152747384[[#This Row],[BASE]]/Tabla55572795152747384[[#This Row],[COSTO]]</f>
        <v>2.019945946988801</v>
      </c>
      <c r="J307" s="135" t="e">
        <f>+VLOOKUP(Tabla55572795152747384[[#This Row],[WISKHY]],#REF!,2,0)</f>
        <v>#REF!</v>
      </c>
      <c r="K307" s="136">
        <f t="shared" si="129"/>
        <v>374734.9999998</v>
      </c>
      <c r="L307" s="131">
        <f t="shared" si="130"/>
        <v>27758.148148133332</v>
      </c>
      <c r="M307" s="137">
        <f>+Tabla55572795152747384[[#This Row],[PRECIO SUGERIDO]]+Tabla55572795152747384[[#This Row],[ICO2]]</f>
        <v>402493.1481479333</v>
      </c>
      <c r="N307" s="141">
        <f>+Tabla55572795152747384[[#This Row],[VENTA]]</f>
        <v>327000</v>
      </c>
      <c r="O307" s="132">
        <f t="shared" si="131"/>
        <v>24222.222222222219</v>
      </c>
      <c r="P307" s="139">
        <f t="shared" si="132"/>
        <v>302777.77777777775</v>
      </c>
      <c r="Q307" s="133">
        <f t="shared" si="133"/>
        <v>0.49506275229331376</v>
      </c>
      <c r="R307" s="194">
        <f t="shared" si="134"/>
        <v>2.019945946988801</v>
      </c>
      <c r="S307" s="244">
        <v>372000</v>
      </c>
      <c r="T307" s="272">
        <f t="shared" si="135"/>
        <v>0.40294086021483871</v>
      </c>
    </row>
    <row r="308" spans="1:22" x14ac:dyDescent="0.25">
      <c r="B308" s="130" t="str">
        <f>+WISKHY!B64</f>
        <v>JOHNNIE WALKER BLACK LABEL</v>
      </c>
      <c r="C308" s="130"/>
      <c r="D308" s="131">
        <f>+WISKHY!I67</f>
        <v>134953.99999994002</v>
      </c>
      <c r="E308" s="239">
        <f>+WISKHY!I68</f>
        <v>330000</v>
      </c>
      <c r="F308" s="132">
        <f t="shared" si="128"/>
        <v>24444.444444444445</v>
      </c>
      <c r="G308" s="131">
        <f>+Tabla55572795152747384[[#This Row],[VENTA]]-Tabla55572795152747384[[#This Row],[ICO 8%]]</f>
        <v>305555.55555555556</v>
      </c>
      <c r="H308" s="133">
        <f>+Tabla55572795152747384[[#This Row],[COSTO]]/Tabla55572795152747384[[#This Row],[BASE]]</f>
        <v>0.44166763636344003</v>
      </c>
      <c r="I308" s="134">
        <f>+Tabla55572795152747384[[#This Row],[BASE]]/Tabla55572795152747384[[#This Row],[COSTO]]</f>
        <v>2.2641459723734854</v>
      </c>
      <c r="J308" s="135" t="e">
        <f>+VLOOKUP(Tabla55572795152747384[[#This Row],[WISKHY]],#REF!,2,0)</f>
        <v>#REF!</v>
      </c>
      <c r="K308" s="136">
        <f t="shared" si="129"/>
        <v>337384.99999985006</v>
      </c>
      <c r="L308" s="131">
        <f t="shared" si="130"/>
        <v>24991.481481470371</v>
      </c>
      <c r="M308" s="137">
        <f>+Tabla55572795152747384[[#This Row],[PRECIO SUGERIDO]]+Tabla55572795152747384[[#This Row],[ICO2]]</f>
        <v>362376.48148132046</v>
      </c>
      <c r="N308" s="141">
        <f>+Tabla55572795152747384[[#This Row],[VENTA]]</f>
        <v>330000</v>
      </c>
      <c r="O308" s="132">
        <f t="shared" si="131"/>
        <v>24444.444444444445</v>
      </c>
      <c r="P308" s="139">
        <f t="shared" si="132"/>
        <v>305555.55555555556</v>
      </c>
      <c r="Q308" s="133">
        <f t="shared" si="133"/>
        <v>0.44166763636344003</v>
      </c>
      <c r="R308" s="194">
        <f t="shared" si="134"/>
        <v>2.2641459723734854</v>
      </c>
      <c r="S308" s="244">
        <v>340000</v>
      </c>
      <c r="T308" s="272">
        <f t="shared" si="135"/>
        <v>0.39692352941158826</v>
      </c>
    </row>
    <row r="309" spans="1:22" x14ac:dyDescent="0.25">
      <c r="B309" s="130" t="str">
        <f>+WISKHY!B17</f>
        <v>MEDIA BUCHANANS 12 AÑOS</v>
      </c>
      <c r="C309" s="130"/>
      <c r="D309" s="131">
        <f>+WISKHY!I20</f>
        <v>100385</v>
      </c>
      <c r="E309" s="239">
        <f>+WISKHY!I21</f>
        <v>180000</v>
      </c>
      <c r="F309" s="132">
        <f t="shared" si="128"/>
        <v>13333.333333333332</v>
      </c>
      <c r="G309" s="131">
        <f>+Tabla55572795152747384[[#This Row],[VENTA]]-Tabla55572795152747384[[#This Row],[ICO 8%]]</f>
        <v>166666.66666666666</v>
      </c>
      <c r="H309" s="133">
        <f>+Tabla55572795152747384[[#This Row],[COSTO]]/Tabla55572795152747384[[#This Row],[BASE]]</f>
        <v>0.60231000000000001</v>
      </c>
      <c r="I309" s="134">
        <f>+Tabla55572795152747384[[#This Row],[BASE]]/Tabla55572795152747384[[#This Row],[COSTO]]</f>
        <v>1.660274609420398</v>
      </c>
      <c r="J309" s="135" t="e">
        <f>+VLOOKUP(Tabla55572795152747384[[#This Row],[WISKHY]],#REF!,2,0)</f>
        <v>#REF!</v>
      </c>
      <c r="K309" s="136">
        <f t="shared" si="129"/>
        <v>250962.5</v>
      </c>
      <c r="L309" s="131">
        <f t="shared" si="130"/>
        <v>18589.814814814814</v>
      </c>
      <c r="M309" s="137">
        <f>+Tabla55572795152747384[[#This Row],[PRECIO SUGERIDO]]+Tabla55572795152747384[[#This Row],[ICO2]]</f>
        <v>269552.31481481483</v>
      </c>
      <c r="N309" s="141">
        <f>+Tabla55572795152747384[[#This Row],[VENTA]]</f>
        <v>180000</v>
      </c>
      <c r="O309" s="132">
        <f t="shared" si="131"/>
        <v>13333.333333333332</v>
      </c>
      <c r="P309" s="139">
        <f t="shared" si="132"/>
        <v>166666.66666666666</v>
      </c>
      <c r="Q309" s="133">
        <f t="shared" si="133"/>
        <v>0.60231000000000001</v>
      </c>
      <c r="R309" s="194">
        <f t="shared" si="134"/>
        <v>1.660274609420398</v>
      </c>
      <c r="S309" s="244">
        <v>250000</v>
      </c>
      <c r="T309" s="272">
        <f t="shared" si="135"/>
        <v>0.40154000000000001</v>
      </c>
    </row>
    <row r="310" spans="1:22" x14ac:dyDescent="0.25">
      <c r="B310" s="130" t="e">
        <f>+WISKHY!#REF!</f>
        <v>#REF!</v>
      </c>
      <c r="C310" s="130"/>
      <c r="D310" s="131" t="e">
        <f>+WISKHY!#REF!</f>
        <v>#REF!</v>
      </c>
      <c r="E310" s="239">
        <v>250000</v>
      </c>
      <c r="F310" s="132">
        <f t="shared" si="128"/>
        <v>18518.518518518518</v>
      </c>
      <c r="G310" s="131">
        <f>+Tabla55572795152747384[[#This Row],[VENTA]]-Tabla55572795152747384[[#This Row],[ICO 8%]]</f>
        <v>231481.48148148149</v>
      </c>
      <c r="H310" s="133" t="e">
        <f>+Tabla55572795152747384[[#This Row],[COSTO]]/Tabla55572795152747384[[#This Row],[BASE]]</f>
        <v>#REF!</v>
      </c>
      <c r="I310" s="134" t="e">
        <f>+Tabla55572795152747384[[#This Row],[BASE]]/Tabla55572795152747384[[#This Row],[COSTO]]</f>
        <v>#REF!</v>
      </c>
      <c r="J310" s="135" t="e">
        <f>+VLOOKUP(Tabla55572795152747384[[#This Row],[WISKHY]],#REF!,2,0)</f>
        <v>#REF!</v>
      </c>
      <c r="K310" s="136" t="e">
        <f t="shared" si="129"/>
        <v>#REF!</v>
      </c>
      <c r="L310" s="131" t="e">
        <f t="shared" si="130"/>
        <v>#REF!</v>
      </c>
      <c r="M310" s="137" t="e">
        <f>+Tabla55572795152747384[[#This Row],[PRECIO SUGERIDO]]+Tabla55572795152747384[[#This Row],[ICO2]]</f>
        <v>#REF!</v>
      </c>
      <c r="N310" s="141">
        <f>+Tabla55572795152747384[[#This Row],[VENTA]]</f>
        <v>250000</v>
      </c>
      <c r="O310" s="132">
        <f t="shared" si="131"/>
        <v>18518.518518518518</v>
      </c>
      <c r="P310" s="139">
        <f t="shared" si="132"/>
        <v>231481.48148148149</v>
      </c>
      <c r="Q310" s="133" t="e">
        <f t="shared" si="133"/>
        <v>#REF!</v>
      </c>
      <c r="R310" s="194" t="e">
        <f t="shared" si="134"/>
        <v>#REF!</v>
      </c>
      <c r="S310" s="244">
        <v>280000</v>
      </c>
      <c r="T310" s="272" t="e">
        <f t="shared" si="135"/>
        <v>#REF!</v>
      </c>
    </row>
    <row r="311" spans="1:22" x14ac:dyDescent="0.25">
      <c r="B311" s="130" t="str">
        <f>+WISKHY!B93</f>
        <v>OLD PARR</v>
      </c>
      <c r="C311" s="130"/>
      <c r="D311" s="131">
        <f>+WISKHY!I96</f>
        <v>133500</v>
      </c>
      <c r="E311" s="239">
        <v>350000</v>
      </c>
      <c r="F311" s="132">
        <f t="shared" si="128"/>
        <v>25925.925925925923</v>
      </c>
      <c r="G311" s="131">
        <f>+Tabla55572795152747384[[#This Row],[VENTA]]-Tabla55572795152747384[[#This Row],[ICO 8%]]</f>
        <v>324074.0740740741</v>
      </c>
      <c r="H311" s="133">
        <f>+Tabla55572795152747384[[#This Row],[COSTO]]/Tabla55572795152747384[[#This Row],[BASE]]</f>
        <v>0.41194285714285711</v>
      </c>
      <c r="I311" s="134">
        <f>+Tabla55572795152747384[[#This Row],[BASE]]/Tabla55572795152747384[[#This Row],[COSTO]]</f>
        <v>2.4275211541129145</v>
      </c>
      <c r="J311" s="135" t="e">
        <f>+VLOOKUP(Tabla55572795152747384[[#This Row],[WISKHY]],#REF!,2,0)</f>
        <v>#REF!</v>
      </c>
      <c r="K311" s="136">
        <f t="shared" si="129"/>
        <v>333750</v>
      </c>
      <c r="L311" s="131">
        <f t="shared" si="130"/>
        <v>24722.222222222219</v>
      </c>
      <c r="M311" s="137">
        <f>+Tabla55572795152747384[[#This Row],[PRECIO SUGERIDO]]+Tabla55572795152747384[[#This Row],[ICO2]]</f>
        <v>358472.22222222225</v>
      </c>
      <c r="N311" s="141">
        <f>+Tabla55572795152747384[[#This Row],[VENTA]]</f>
        <v>350000</v>
      </c>
      <c r="O311" s="132">
        <f t="shared" si="131"/>
        <v>25925.925925925923</v>
      </c>
      <c r="P311" s="139">
        <f t="shared" si="132"/>
        <v>324074.0740740741</v>
      </c>
      <c r="Q311" s="133">
        <f t="shared" si="133"/>
        <v>0.41194285714285711</v>
      </c>
      <c r="R311" s="194">
        <f t="shared" si="134"/>
        <v>2.4275211541129145</v>
      </c>
      <c r="S311" s="244">
        <v>350000</v>
      </c>
      <c r="T311" s="272">
        <f t="shared" si="135"/>
        <v>0.38142857142857145</v>
      </c>
    </row>
    <row r="312" spans="1:22" x14ac:dyDescent="0.25">
      <c r="B312" s="130" t="e">
        <f>+WISKHY!#REF!</f>
        <v>#REF!</v>
      </c>
      <c r="C312" s="130"/>
      <c r="D312" s="131" t="e">
        <f>+WISKHY!#REF!</f>
        <v>#REF!</v>
      </c>
      <c r="E312" s="239" t="e">
        <f>+WISKHY!#REF!</f>
        <v>#REF!</v>
      </c>
      <c r="F312" s="132" t="e">
        <f t="shared" si="128"/>
        <v>#REF!</v>
      </c>
      <c r="G312" s="131" t="e">
        <f>+Tabla55572795152747384[[#This Row],[VENTA]]-Tabla55572795152747384[[#This Row],[ICO 8%]]</f>
        <v>#REF!</v>
      </c>
      <c r="H312" s="133" t="e">
        <f>+Tabla55572795152747384[[#This Row],[COSTO]]/Tabla55572795152747384[[#This Row],[BASE]]</f>
        <v>#REF!</v>
      </c>
      <c r="I312" s="134" t="e">
        <f>+Tabla55572795152747384[[#This Row],[BASE]]/Tabla55572795152747384[[#This Row],[COSTO]]</f>
        <v>#REF!</v>
      </c>
      <c r="J312" s="135" t="e">
        <f>+VLOOKUP(Tabla55572795152747384[[#This Row],[WISKHY]],#REF!,2,0)</f>
        <v>#REF!</v>
      </c>
      <c r="K312" s="136" t="e">
        <f t="shared" si="129"/>
        <v>#REF!</v>
      </c>
      <c r="L312" s="131" t="e">
        <f t="shared" si="130"/>
        <v>#REF!</v>
      </c>
      <c r="M312" s="137" t="e">
        <f>+Tabla55572795152747384[[#This Row],[PRECIO SUGERIDO]]+Tabla55572795152747384[[#This Row],[ICO2]]</f>
        <v>#REF!</v>
      </c>
      <c r="N312" s="138">
        <v>33000</v>
      </c>
      <c r="O312" s="132">
        <f t="shared" si="131"/>
        <v>2444.4444444444443</v>
      </c>
      <c r="P312" s="139">
        <f t="shared" si="132"/>
        <v>30555.555555555555</v>
      </c>
      <c r="Q312" s="133" t="e">
        <f t="shared" si="133"/>
        <v>#REF!</v>
      </c>
      <c r="R312" s="194" t="e">
        <f t="shared" si="134"/>
        <v>#REF!</v>
      </c>
      <c r="S312" s="244">
        <v>52000</v>
      </c>
      <c r="T312" s="272" t="e">
        <f t="shared" si="135"/>
        <v>#REF!</v>
      </c>
    </row>
    <row r="313" spans="1:22" x14ac:dyDescent="0.25">
      <c r="B313" s="130" t="e">
        <f>+WISKHY!#REF!</f>
        <v>#REF!</v>
      </c>
      <c r="C313" s="130"/>
      <c r="D313" s="131" t="e">
        <f>+WISKHY!#REF!</f>
        <v>#REF!</v>
      </c>
      <c r="E313" s="239" t="e">
        <f>+WISKHY!#REF!</f>
        <v>#REF!</v>
      </c>
      <c r="F313" s="132" t="e">
        <f t="shared" si="128"/>
        <v>#REF!</v>
      </c>
      <c r="G313" s="131" t="e">
        <f>+Tabla55572795152747384[[#This Row],[VENTA]]-Tabla55572795152747384[[#This Row],[ICO 8%]]</f>
        <v>#REF!</v>
      </c>
      <c r="H313" s="133" t="e">
        <f>+Tabla55572795152747384[[#This Row],[COSTO]]/Tabla55572795152747384[[#This Row],[BASE]]</f>
        <v>#REF!</v>
      </c>
      <c r="I313" s="134" t="e">
        <f>+Tabla55572795152747384[[#This Row],[BASE]]/Tabla55572795152747384[[#This Row],[COSTO]]</f>
        <v>#REF!</v>
      </c>
      <c r="J313" s="135" t="e">
        <f>+VLOOKUP(Tabla55572795152747384[[#This Row],[WISKHY]],#REF!,2,0)</f>
        <v>#REF!</v>
      </c>
      <c r="K313" s="136" t="e">
        <f t="shared" si="129"/>
        <v>#REF!</v>
      </c>
      <c r="L313" s="131" t="e">
        <f t="shared" si="130"/>
        <v>#REF!</v>
      </c>
      <c r="M313" s="137" t="e">
        <f>+Tabla55572795152747384[[#This Row],[PRECIO SUGERIDO]]+Tabla55572795152747384[[#This Row],[ICO2]]</f>
        <v>#REF!</v>
      </c>
      <c r="N313" s="138">
        <v>74000</v>
      </c>
      <c r="O313" s="132">
        <f t="shared" si="131"/>
        <v>5481.4814814814808</v>
      </c>
      <c r="P313" s="139">
        <f t="shared" si="132"/>
        <v>68518.518518518526</v>
      </c>
      <c r="Q313" s="133" t="e">
        <f t="shared" si="133"/>
        <v>#REF!</v>
      </c>
      <c r="R313" s="194" t="e">
        <f t="shared" si="134"/>
        <v>#REF!</v>
      </c>
      <c r="S313" s="244">
        <v>105000</v>
      </c>
      <c r="T313" s="272" t="e">
        <f t="shared" si="135"/>
        <v>#REF!</v>
      </c>
    </row>
    <row r="314" spans="1:22" x14ac:dyDescent="0.25">
      <c r="B314" s="130" t="e">
        <f>+WISKHY!#REF!</f>
        <v>#REF!</v>
      </c>
      <c r="C314" s="130"/>
      <c r="D314" s="131" t="e">
        <f>+WISKHY!#REF!</f>
        <v>#REF!</v>
      </c>
      <c r="E314" s="239" t="e">
        <f>+WISKHY!#REF!</f>
        <v>#REF!</v>
      </c>
      <c r="F314" s="132" t="e">
        <f t="shared" si="128"/>
        <v>#REF!</v>
      </c>
      <c r="G314" s="131" t="e">
        <f>+Tabla55572795152747384[[#This Row],[VENTA]]-Tabla55572795152747384[[#This Row],[ICO 8%]]</f>
        <v>#REF!</v>
      </c>
      <c r="H314" s="133" t="e">
        <f>+Tabla55572795152747384[[#This Row],[COSTO]]/Tabla55572795152747384[[#This Row],[BASE]]</f>
        <v>#REF!</v>
      </c>
      <c r="I314" s="134" t="e">
        <f>+Tabla55572795152747384[[#This Row],[BASE]]/Tabla55572795152747384[[#This Row],[COSTO]]</f>
        <v>#REF!</v>
      </c>
      <c r="J314" s="135" t="e">
        <f>+VLOOKUP(Tabla55572795152747384[[#This Row],[WISKHY]],#REF!,2,0)</f>
        <v>#REF!</v>
      </c>
      <c r="K314" s="136" t="e">
        <f t="shared" si="129"/>
        <v>#REF!</v>
      </c>
      <c r="L314" s="131" t="e">
        <f t="shared" si="130"/>
        <v>#REF!</v>
      </c>
      <c r="M314" s="137" t="e">
        <f>+Tabla55572795152747384[[#This Row],[PRECIO SUGERIDO]]+Tabla55572795152747384[[#This Row],[ICO2]]</f>
        <v>#REF!</v>
      </c>
      <c r="N314" s="138">
        <v>38000</v>
      </c>
      <c r="O314" s="132">
        <f t="shared" si="131"/>
        <v>2814.8148148148148</v>
      </c>
      <c r="P314" s="139">
        <f t="shared" si="132"/>
        <v>35185.185185185182</v>
      </c>
      <c r="Q314" s="133" t="e">
        <f t="shared" si="133"/>
        <v>#REF!</v>
      </c>
      <c r="R314" s="194" t="e">
        <f t="shared" si="134"/>
        <v>#REF!</v>
      </c>
      <c r="S314" s="244">
        <v>53000</v>
      </c>
      <c r="T314" s="272" t="e">
        <f t="shared" si="135"/>
        <v>#REF!</v>
      </c>
    </row>
    <row r="315" spans="1:22" x14ac:dyDescent="0.25">
      <c r="B315" s="130" t="e">
        <f>+WISKHY!#REF!</f>
        <v>#REF!</v>
      </c>
      <c r="C315" s="130"/>
      <c r="D315" s="131" t="e">
        <f>+WISKHY!#REF!</f>
        <v>#REF!</v>
      </c>
      <c r="E315" s="239" t="e">
        <f>+WISKHY!#REF!</f>
        <v>#REF!</v>
      </c>
      <c r="F315" s="132" t="e">
        <f t="shared" si="128"/>
        <v>#REF!</v>
      </c>
      <c r="G315" s="131" t="e">
        <f>+Tabla55572795152747384[[#This Row],[VENTA]]-Tabla55572795152747384[[#This Row],[ICO 8%]]</f>
        <v>#REF!</v>
      </c>
      <c r="H315" s="133" t="e">
        <f>+Tabla55572795152747384[[#This Row],[COSTO]]/Tabla55572795152747384[[#This Row],[BASE]]</f>
        <v>#REF!</v>
      </c>
      <c r="I315" s="134" t="e">
        <f>+Tabla55572795152747384[[#This Row],[BASE]]/Tabla55572795152747384[[#This Row],[COSTO]]</f>
        <v>#REF!</v>
      </c>
      <c r="J315" s="135" t="e">
        <f>+VLOOKUP(Tabla55572795152747384[[#This Row],[WISKHY]],#REF!,2,0)</f>
        <v>#REF!</v>
      </c>
      <c r="K315" s="136" t="e">
        <f t="shared" si="129"/>
        <v>#REF!</v>
      </c>
      <c r="L315" s="131" t="e">
        <f t="shared" si="130"/>
        <v>#REF!</v>
      </c>
      <c r="M315" s="137" t="e">
        <f>+Tabla55572795152747384[[#This Row],[PRECIO SUGERIDO]]+Tabla55572795152747384[[#This Row],[ICO2]]</f>
        <v>#REF!</v>
      </c>
      <c r="N315" s="138">
        <v>34000</v>
      </c>
      <c r="O315" s="132">
        <f t="shared" si="131"/>
        <v>2518.5185185185182</v>
      </c>
      <c r="P315" s="139">
        <f t="shared" si="132"/>
        <v>31481.481481481482</v>
      </c>
      <c r="Q315" s="133" t="e">
        <f t="shared" si="133"/>
        <v>#REF!</v>
      </c>
      <c r="R315" s="194" t="e">
        <f t="shared" si="134"/>
        <v>#REF!</v>
      </c>
      <c r="S315" s="244">
        <v>41000</v>
      </c>
      <c r="T315" s="272" t="e">
        <f t="shared" si="135"/>
        <v>#REF!</v>
      </c>
    </row>
    <row r="316" spans="1:22" x14ac:dyDescent="0.25">
      <c r="B316" s="143" t="e">
        <f>+WISKHY!#REF!</f>
        <v>#REF!</v>
      </c>
      <c r="C316" s="143"/>
      <c r="D316" s="144" t="e">
        <f>+WISKHY!#REF!</f>
        <v>#REF!</v>
      </c>
      <c r="E316" s="240" t="e">
        <f>+WISKHY!#REF!</f>
        <v>#REF!</v>
      </c>
      <c r="F316" s="145" t="e">
        <f t="shared" si="128"/>
        <v>#REF!</v>
      </c>
      <c r="G316" s="144" t="e">
        <f>+Tabla55572795152747384[[#This Row],[VENTA]]-Tabla55572795152747384[[#This Row],[ICO 8%]]</f>
        <v>#REF!</v>
      </c>
      <c r="H316" s="146" t="e">
        <f>+Tabla55572795152747384[[#This Row],[COSTO]]/Tabla55572795152747384[[#This Row],[BASE]]</f>
        <v>#REF!</v>
      </c>
      <c r="I316" s="147" t="e">
        <f>+Tabla55572795152747384[[#This Row],[BASE]]/Tabla55572795152747384[[#This Row],[COSTO]]</f>
        <v>#REF!</v>
      </c>
      <c r="J316" s="148" t="e">
        <f>+VLOOKUP(Tabla55572795152747384[[#This Row],[WISKHY]],#REF!,2,0)</f>
        <v>#REF!</v>
      </c>
      <c r="K316" s="149" t="e">
        <f t="shared" si="129"/>
        <v>#REF!</v>
      </c>
      <c r="L316" s="144" t="e">
        <f t="shared" si="130"/>
        <v>#REF!</v>
      </c>
      <c r="M316" s="150" t="e">
        <f>+Tabla55572795152747384[[#This Row],[PRECIO SUGERIDO]]+Tabla55572795152747384[[#This Row],[ICO2]]</f>
        <v>#REF!</v>
      </c>
      <c r="N316" s="197">
        <v>30000</v>
      </c>
      <c r="O316" s="145">
        <f t="shared" si="131"/>
        <v>2222.2222222222222</v>
      </c>
      <c r="P316" s="151">
        <f t="shared" si="132"/>
        <v>27777.777777777777</v>
      </c>
      <c r="Q316" s="146" t="e">
        <f t="shared" si="133"/>
        <v>#REF!</v>
      </c>
      <c r="R316" s="196" t="e">
        <f t="shared" si="134"/>
        <v>#REF!</v>
      </c>
      <c r="S316" s="244">
        <v>42000</v>
      </c>
      <c r="T316" s="272" t="e">
        <f t="shared" si="135"/>
        <v>#REF!</v>
      </c>
    </row>
    <row r="317" spans="1:22" x14ac:dyDescent="0.25">
      <c r="B317" s="171" t="e">
        <f>+WISKHY!#REF!</f>
        <v>#REF!</v>
      </c>
      <c r="C317" s="171"/>
      <c r="D317" s="172" t="e">
        <f>+WISKHY!#REF!</f>
        <v>#REF!</v>
      </c>
      <c r="E317" s="266">
        <v>35000</v>
      </c>
      <c r="F317" s="173">
        <f t="shared" si="128"/>
        <v>2592.5925925925926</v>
      </c>
      <c r="G317" s="172">
        <f>+Tabla55572795152747384[[#This Row],[VENTA]]-Tabla55572795152747384[[#This Row],[ICO 8%]]</f>
        <v>32407.407407407409</v>
      </c>
      <c r="H317" s="174" t="e">
        <f>+Tabla55572795152747384[[#This Row],[COSTO]]/Tabla55572795152747384[[#This Row],[BASE]]</f>
        <v>#REF!</v>
      </c>
      <c r="I317" s="175" t="e">
        <f>+Tabla55572795152747384[[#This Row],[BASE]]/Tabla55572795152747384[[#This Row],[COSTO]]</f>
        <v>#REF!</v>
      </c>
      <c r="J317" s="113" t="e">
        <f>+VLOOKUP(Tabla55572795152747384[[#This Row],[WISKHY]],#REF!,2,0)</f>
        <v>#REF!</v>
      </c>
      <c r="K317" s="176" t="e">
        <f t="shared" si="129"/>
        <v>#REF!</v>
      </c>
      <c r="L317" s="172" t="e">
        <f t="shared" si="130"/>
        <v>#REF!</v>
      </c>
      <c r="M317" s="177" t="e">
        <f>+Tabla55572795152747384[[#This Row],[PRECIO SUGERIDO]]+Tabla55572795152747384[[#This Row],[ICO2]]</f>
        <v>#REF!</v>
      </c>
      <c r="N317" s="178">
        <v>30000</v>
      </c>
      <c r="O317" s="173">
        <f t="shared" si="131"/>
        <v>2222.2222222222222</v>
      </c>
      <c r="P317" s="179">
        <f t="shared" si="132"/>
        <v>27777.777777777777</v>
      </c>
      <c r="Q317" s="174" t="e">
        <f t="shared" si="133"/>
        <v>#REF!</v>
      </c>
      <c r="R317" s="180" t="e">
        <f t="shared" si="134"/>
        <v>#REF!</v>
      </c>
      <c r="S317" s="244">
        <v>39000</v>
      </c>
      <c r="T317" s="272" t="e">
        <f t="shared" si="135"/>
        <v>#REF!</v>
      </c>
    </row>
    <row r="318" spans="1:22" s="242" customFormat="1" ht="13.8" thickBot="1" x14ac:dyDescent="0.3">
      <c r="A318" s="241"/>
      <c r="B318" s="287" t="e">
        <f>+WISKHY!#REF!</f>
        <v>#REF!</v>
      </c>
      <c r="C318" s="287"/>
      <c r="D318" s="288" t="e">
        <f>+WISKHY!#REF!</f>
        <v>#REF!</v>
      </c>
      <c r="E318" s="264"/>
      <c r="F318" s="264">
        <f t="shared" si="128"/>
        <v>0</v>
      </c>
      <c r="G318" s="288">
        <f>+Tabla55572795152747384[[#This Row],[VENTA]]-Tabla55572795152747384[[#This Row],[ICO 8%]]</f>
        <v>0</v>
      </c>
      <c r="H318" s="289" t="e">
        <f>+Tabla55572795152747384[[#This Row],[COSTO]]/Tabla55572795152747384[[#This Row],[BASE]]</f>
        <v>#REF!</v>
      </c>
      <c r="I318" s="290" t="e">
        <f>+Tabla55572795152747384[[#This Row],[BASE]]/Tabla55572795152747384[[#This Row],[COSTO]]</f>
        <v>#REF!</v>
      </c>
      <c r="J318" s="241" t="e">
        <f>+VLOOKUP(Tabla55572795152747384[[#This Row],[WISKHY]],#REF!,2,0)</f>
        <v>#REF!</v>
      </c>
      <c r="K318" s="291" t="e">
        <f t="shared" si="129"/>
        <v>#REF!</v>
      </c>
      <c r="L318" s="288" t="e">
        <f t="shared" si="130"/>
        <v>#REF!</v>
      </c>
      <c r="M318" s="292" t="e">
        <f>+Tabla55572795152747384[[#This Row],[PRECIO SUGERIDO]]+Tabla55572795152747384[[#This Row],[ICO2]]</f>
        <v>#REF!</v>
      </c>
      <c r="N318" s="293">
        <f>+Tabla55572795152747384[[#This Row],[VENTA]]</f>
        <v>0</v>
      </c>
      <c r="O318" s="264">
        <f t="shared" si="131"/>
        <v>0</v>
      </c>
      <c r="P318" s="288">
        <f t="shared" si="132"/>
        <v>0</v>
      </c>
      <c r="Q318" s="294" t="e">
        <f t="shared" si="133"/>
        <v>#REF!</v>
      </c>
      <c r="R318" s="295" t="e">
        <f t="shared" si="134"/>
        <v>#REF!</v>
      </c>
      <c r="S318" s="244">
        <v>21000</v>
      </c>
      <c r="T318" s="278" t="e">
        <f t="shared" si="135"/>
        <v>#REF!</v>
      </c>
    </row>
    <row r="319" spans="1:22" ht="13.8" thickBot="1" x14ac:dyDescent="0.3">
      <c r="B319" s="153" t="s">
        <v>35</v>
      </c>
      <c r="C319" s="181"/>
      <c r="D319" s="155"/>
      <c r="E319" s="156"/>
      <c r="F319" s="156"/>
      <c r="G319" s="155"/>
      <c r="H319" s="158" t="e">
        <f>SUBTOTAL(101,Tabla55572795152747384[%])</f>
        <v>#DIV/0!</v>
      </c>
      <c r="I319" s="156"/>
      <c r="J319" s="156"/>
      <c r="K319" s="159"/>
      <c r="L319" s="155"/>
      <c r="M319" s="156"/>
      <c r="N319" s="160"/>
      <c r="O319" s="156"/>
      <c r="P319" s="155"/>
      <c r="Q319" s="161"/>
      <c r="R319" s="162" t="e">
        <f>SUBTOTAL(109,Tabla55572795152747384[RATION])</f>
        <v>#REF!</v>
      </c>
      <c r="S319" s="232"/>
      <c r="T319" s="275"/>
    </row>
    <row r="322" spans="1:20" x14ac:dyDescent="0.25">
      <c r="E322" s="117" t="s">
        <v>25</v>
      </c>
      <c r="F322" s="114"/>
      <c r="G322" s="118"/>
      <c r="H322" s="114"/>
      <c r="I322" s="114"/>
      <c r="J322" s="70"/>
      <c r="K322" s="396" t="s">
        <v>29</v>
      </c>
      <c r="L322" s="396"/>
      <c r="M322" s="396"/>
      <c r="N322" s="395" t="s">
        <v>1090</v>
      </c>
      <c r="O322" s="395"/>
      <c r="P322" s="395"/>
      <c r="Q322" s="395"/>
    </row>
    <row r="323" spans="1:20" x14ac:dyDescent="0.25">
      <c r="B323" s="183" t="s">
        <v>391</v>
      </c>
      <c r="C323" s="184" t="s">
        <v>316</v>
      </c>
      <c r="D323" s="185" t="s">
        <v>7</v>
      </c>
      <c r="E323" s="186" t="s">
        <v>20</v>
      </c>
      <c r="F323" s="187" t="s">
        <v>33</v>
      </c>
      <c r="G323" s="185" t="s">
        <v>26</v>
      </c>
      <c r="H323" s="188" t="s">
        <v>21</v>
      </c>
      <c r="I323" s="189" t="s">
        <v>22</v>
      </c>
      <c r="J323" s="189" t="s">
        <v>23</v>
      </c>
      <c r="K323" s="189" t="s">
        <v>27</v>
      </c>
      <c r="L323" s="185" t="s">
        <v>32</v>
      </c>
      <c r="M323" s="189" t="s">
        <v>28</v>
      </c>
      <c r="N323" s="190" t="s">
        <v>30</v>
      </c>
      <c r="O323" s="185" t="s">
        <v>34</v>
      </c>
      <c r="P323" s="185" t="s">
        <v>25</v>
      </c>
      <c r="Q323" s="191" t="s">
        <v>31</v>
      </c>
      <c r="R323" s="192" t="s">
        <v>24</v>
      </c>
      <c r="S323" s="234" t="s">
        <v>1262</v>
      </c>
      <c r="T323" s="276" t="s">
        <v>1263</v>
      </c>
    </row>
    <row r="324" spans="1:20" x14ac:dyDescent="0.25">
      <c r="B324" s="130" t="str">
        <f>+MALTAS!B6</f>
        <v>THE SINGLETON MALT</v>
      </c>
      <c r="C324" s="130"/>
      <c r="D324" s="131">
        <f>+MALTAS!I9</f>
        <v>90118.333333400005</v>
      </c>
      <c r="E324" s="132">
        <f>+MALTAS!I10</f>
        <v>310000</v>
      </c>
      <c r="F324" s="132">
        <f>+E324/1.08*0.08</f>
        <v>22962.962962962964</v>
      </c>
      <c r="G324" s="131">
        <f>+Tabla55572795152747385[[#This Row],[VENTA]]-Tabla55572795152747385[[#This Row],[ICO 8%]]</f>
        <v>287037.03703703702</v>
      </c>
      <c r="H324" s="133">
        <f>+Tabla55572795152747385[[#This Row],[COSTO]]/Tabla55572795152747385[[#This Row],[BASE]]</f>
        <v>0.31396064516152261</v>
      </c>
      <c r="I324" s="134">
        <f>+Tabla55572795152747385[[#This Row],[BASE]]/Tabla55572795152747385[[#This Row],[COSTO]]</f>
        <v>3.1851125783154517</v>
      </c>
      <c r="J324" s="135" t="e">
        <f>+VLOOKUP(Tabla55572795152747385[[#This Row],[MALTAS]],#REF!,2,0)</f>
        <v>#REF!</v>
      </c>
      <c r="K324" s="136">
        <f t="shared" ref="K324:K328" si="136">+D324/(100-50)*100</f>
        <v>180236.66666680001</v>
      </c>
      <c r="L324" s="131">
        <f>+K324/1.08*0.08</f>
        <v>13350.864197540739</v>
      </c>
      <c r="M324" s="137">
        <f>+Tabla55572795152747385[[#This Row],[PRECIO SUGERIDO]]+Tabla55572795152747385[[#This Row],[ICO2]]</f>
        <v>193587.53086434075</v>
      </c>
      <c r="N324" s="141">
        <f>+Tabla55572795152747385[[#This Row],[VENTA]]</f>
        <v>310000</v>
      </c>
      <c r="O324" s="132">
        <f>+N324/1.08*0.08</f>
        <v>22962.962962962964</v>
      </c>
      <c r="P324" s="139">
        <f t="shared" ref="P324" si="137">+N324-O324</f>
        <v>287037.03703703702</v>
      </c>
      <c r="Q324" s="133">
        <f t="shared" ref="Q324:Q328" si="138">+D324/P324</f>
        <v>0.31396064516152261</v>
      </c>
      <c r="R324" s="194">
        <f t="shared" ref="R324:R325" si="139">+P324/D324</f>
        <v>3.1851125783154517</v>
      </c>
      <c r="S324" s="244">
        <v>350000</v>
      </c>
      <c r="T324" s="272">
        <f t="shared" ref="T324:T328" si="140">+D324/S324</f>
        <v>0.25748095238114288</v>
      </c>
    </row>
    <row r="325" spans="1:20" x14ac:dyDescent="0.25">
      <c r="B325" s="130" t="str">
        <f>+MALTAS!K6</f>
        <v>TRAGO THE SINGLETON MALT</v>
      </c>
      <c r="C325" s="130"/>
      <c r="D325" s="131">
        <f>+MALTAS!R9</f>
        <v>9913.0166666740006</v>
      </c>
      <c r="E325" s="132">
        <f>+MALTAS!R10</f>
        <v>32000</v>
      </c>
      <c r="F325" s="132">
        <f t="shared" ref="F325" si="141">+E325/1.08*0.08</f>
        <v>2370.3703703703704</v>
      </c>
      <c r="G325" s="131">
        <f>+Tabla55572795152747385[[#This Row],[VENTA]]-Tabla55572795152747385[[#This Row],[ICO 8%]]</f>
        <v>29629.629629629628</v>
      </c>
      <c r="H325" s="133">
        <f>+Tabla55572795152747385[[#This Row],[COSTO]]/Tabla55572795152747385[[#This Row],[BASE]]</f>
        <v>0.33456431250024754</v>
      </c>
      <c r="I325" s="134">
        <f>+Tabla55572795152747385[[#This Row],[BASE]]/Tabla55572795152747385[[#This Row],[COSTO]]</f>
        <v>2.9889619503253506</v>
      </c>
      <c r="J325" s="135" t="e">
        <f>+VLOOKUP(Tabla55572795152747385[[#This Row],[MALTAS]],#REF!,2,0)</f>
        <v>#REF!</v>
      </c>
      <c r="K325" s="136">
        <f t="shared" si="136"/>
        <v>19826.033333348001</v>
      </c>
      <c r="L325" s="131">
        <f t="shared" ref="L325" si="142">+K325/1.08*0.08</f>
        <v>1468.5950617294814</v>
      </c>
      <c r="M325" s="137">
        <f>+Tabla55572795152747385[[#This Row],[PRECIO SUGERIDO]]+Tabla55572795152747385[[#This Row],[ICO2]]</f>
        <v>21294.628395077481</v>
      </c>
      <c r="N325" s="141">
        <f>+Tabla55572795152747385[[#This Row],[VENTA]]</f>
        <v>32000</v>
      </c>
      <c r="O325" s="132">
        <f t="shared" ref="O325" si="143">+N325/1.08*0.08</f>
        <v>2370.3703703703704</v>
      </c>
      <c r="P325" s="139">
        <f t="shared" ref="P325" si="144">+N325-O325</f>
        <v>29629.629629629628</v>
      </c>
      <c r="Q325" s="133">
        <f t="shared" si="138"/>
        <v>0.33456431250024754</v>
      </c>
      <c r="R325" s="194">
        <f t="shared" si="139"/>
        <v>2.9889619503253506</v>
      </c>
      <c r="S325" s="244">
        <v>36000</v>
      </c>
      <c r="T325" s="272">
        <f t="shared" si="140"/>
        <v>0.2753615740742778</v>
      </c>
    </row>
    <row r="326" spans="1:20" s="242" customFormat="1" x14ac:dyDescent="0.25">
      <c r="A326" s="241"/>
      <c r="B326" s="199" t="str">
        <f>+MALTAS!B23</f>
        <v xml:space="preserve"> GLENMORANGIE 10 AÑOS</v>
      </c>
      <c r="C326" s="199"/>
      <c r="D326" s="254">
        <f>+MALTAS!I26</f>
        <v>0</v>
      </c>
      <c r="E326" s="255">
        <f>+MALTAS!I27</f>
        <v>0</v>
      </c>
      <c r="F326" s="255">
        <f>+E326/1.08*0.08</f>
        <v>0</v>
      </c>
      <c r="G326" s="254">
        <f>+Tabla55572795152747385[[#This Row],[VENTA]]-Tabla55572795152747385[[#This Row],[ICO 8%]]</f>
        <v>0</v>
      </c>
      <c r="H326" s="256" t="e">
        <f>+Tabla55572795152747385[[#This Row],[COSTO]]/Tabla55572795152747385[[#This Row],[BASE]]</f>
        <v>#DIV/0!</v>
      </c>
      <c r="I326" s="257" t="e">
        <f>+Tabla55572795152747385[[#This Row],[BASE]]/Tabla55572795152747385[[#This Row],[COSTO]]</f>
        <v>#DIV/0!</v>
      </c>
      <c r="J326" s="258" t="e">
        <f>+VLOOKUP(Tabla55572795152747385[[#This Row],[MALTAS]],#REF!,2,0)</f>
        <v>#REF!</v>
      </c>
      <c r="K326" s="259">
        <f t="shared" si="136"/>
        <v>0</v>
      </c>
      <c r="L326" s="254">
        <f>+K326/1.08*0.08</f>
        <v>0</v>
      </c>
      <c r="M326" s="260">
        <f>+Tabla55572795152747385[[#This Row],[PRECIO SUGERIDO]]+Tabla55572795152747385[[#This Row],[ICO2]]</f>
        <v>0</v>
      </c>
      <c r="N326" s="267">
        <v>56000</v>
      </c>
      <c r="O326" s="255">
        <f>+N326/1.08*0.08</f>
        <v>4148.1481481481478</v>
      </c>
      <c r="P326" s="254">
        <f>+N326-O326</f>
        <v>51851.851851851854</v>
      </c>
      <c r="Q326" s="256">
        <f t="shared" si="138"/>
        <v>0</v>
      </c>
      <c r="R326" s="262" t="e">
        <f>+P326/D326</f>
        <v>#DIV/0!</v>
      </c>
      <c r="S326" s="244">
        <f>+Tabla55572795152747385[[#This Row],[VENTA]]*13%+Tabla55572795152747385[[#This Row],[VENTA]]</f>
        <v>0</v>
      </c>
      <c r="T326" s="278" t="e">
        <f t="shared" si="140"/>
        <v>#DIV/0!</v>
      </c>
    </row>
    <row r="327" spans="1:20" s="242" customFormat="1" x14ac:dyDescent="0.25">
      <c r="A327" s="241"/>
      <c r="B327" s="199" t="str">
        <f>+MALTAS!B36</f>
        <v xml:space="preserve"> GLENMORANGIE 12 AÑOS</v>
      </c>
      <c r="C327" s="199"/>
      <c r="D327" s="254">
        <f>+MALTAS!I39</f>
        <v>0</v>
      </c>
      <c r="E327" s="255">
        <f>+MALTAS!I40</f>
        <v>0</v>
      </c>
      <c r="F327" s="255">
        <f>+E327/1.08*0.08</f>
        <v>0</v>
      </c>
      <c r="G327" s="254">
        <f>+Tabla55572795152747385[[#This Row],[VENTA]]-Tabla55572795152747385[[#This Row],[ICO 8%]]</f>
        <v>0</v>
      </c>
      <c r="H327" s="256" t="e">
        <f>+Tabla55572795152747385[[#This Row],[COSTO]]/Tabla55572795152747385[[#This Row],[BASE]]</f>
        <v>#DIV/0!</v>
      </c>
      <c r="I327" s="257" t="e">
        <f>+Tabla55572795152747385[[#This Row],[BASE]]/Tabla55572795152747385[[#This Row],[COSTO]]</f>
        <v>#DIV/0!</v>
      </c>
      <c r="J327" s="258" t="e">
        <f>+VLOOKUP(Tabla55572795152747385[[#This Row],[MALTAS]],#REF!,2,0)</f>
        <v>#REF!</v>
      </c>
      <c r="K327" s="259">
        <f t="shared" si="136"/>
        <v>0</v>
      </c>
      <c r="L327" s="254">
        <f>+K327/1.08*0.08</f>
        <v>0</v>
      </c>
      <c r="M327" s="260">
        <f>+Tabla55572795152747385[[#This Row],[PRECIO SUGERIDO]]+Tabla55572795152747385[[#This Row],[ICO2]]</f>
        <v>0</v>
      </c>
      <c r="N327" s="267">
        <v>56000</v>
      </c>
      <c r="O327" s="255">
        <f>+N327/1.08*0.08</f>
        <v>4148.1481481481478</v>
      </c>
      <c r="P327" s="254">
        <f>+N327-O327</f>
        <v>51851.851851851854</v>
      </c>
      <c r="Q327" s="256">
        <f t="shared" si="138"/>
        <v>0</v>
      </c>
      <c r="R327" s="262" t="e">
        <f>+P327/D327</f>
        <v>#DIV/0!</v>
      </c>
      <c r="S327" s="244">
        <f>+Tabla55572795152747385[[#This Row],[VENTA]]*13%+Tabla55572795152747385[[#This Row],[VENTA]]</f>
        <v>0</v>
      </c>
      <c r="T327" s="278" t="e">
        <f t="shared" si="140"/>
        <v>#DIV/0!</v>
      </c>
    </row>
    <row r="328" spans="1:20" s="242" customFormat="1" ht="13.8" thickBot="1" x14ac:dyDescent="0.3">
      <c r="A328" s="241"/>
      <c r="B328" s="269" t="str">
        <f>+MALTAS!B47</f>
        <v xml:space="preserve"> GLENMORANGIE 14 AÑOS</v>
      </c>
      <c r="C328" s="269"/>
      <c r="D328" s="296">
        <f>+MALTAS!I50</f>
        <v>0</v>
      </c>
      <c r="E328" s="297">
        <f>+MALTAS!I51</f>
        <v>0</v>
      </c>
      <c r="F328" s="297">
        <f>+E328/1.08*0.08</f>
        <v>0</v>
      </c>
      <c r="G328" s="296">
        <f>+Tabla55572795152747385[[#This Row],[VENTA]]-Tabla55572795152747385[[#This Row],[ICO 8%]]</f>
        <v>0</v>
      </c>
      <c r="H328" s="298" t="e">
        <f>+Tabla55572795152747385[[#This Row],[COSTO]]/Tabla55572795152747385[[#This Row],[BASE]]</f>
        <v>#DIV/0!</v>
      </c>
      <c r="I328" s="299" t="e">
        <f>+Tabla55572795152747385[[#This Row],[BASE]]/Tabla55572795152747385[[#This Row],[COSTO]]</f>
        <v>#DIV/0!</v>
      </c>
      <c r="J328" s="300" t="e">
        <f>+VLOOKUP(Tabla55572795152747385[[#This Row],[MALTAS]],#REF!,2,0)</f>
        <v>#REF!</v>
      </c>
      <c r="K328" s="301">
        <f t="shared" si="136"/>
        <v>0</v>
      </c>
      <c r="L328" s="296">
        <f>+K328/1.08*0.08</f>
        <v>0</v>
      </c>
      <c r="M328" s="302">
        <f>+Tabla55572795152747385[[#This Row],[PRECIO SUGERIDO]]+Tabla55572795152747385[[#This Row],[ICO2]]</f>
        <v>0</v>
      </c>
      <c r="N328" s="303">
        <v>56000</v>
      </c>
      <c r="O328" s="297">
        <f>+N328/1.08*0.08</f>
        <v>4148.1481481481478</v>
      </c>
      <c r="P328" s="296">
        <f>+N328-O328</f>
        <v>51851.851851851854</v>
      </c>
      <c r="Q328" s="256">
        <f t="shared" si="138"/>
        <v>0</v>
      </c>
      <c r="R328" s="304" t="e">
        <f>+P328/D328</f>
        <v>#DIV/0!</v>
      </c>
      <c r="S328" s="244">
        <f>+Tabla55572795152747385[[#This Row],[VENTA]]*13%+Tabla55572795152747385[[#This Row],[VENTA]]</f>
        <v>0</v>
      </c>
      <c r="T328" s="278" t="e">
        <f t="shared" si="140"/>
        <v>#DIV/0!</v>
      </c>
    </row>
    <row r="329" spans="1:20" ht="13.8" thickBot="1" x14ac:dyDescent="0.3">
      <c r="B329" s="153" t="s">
        <v>35</v>
      </c>
      <c r="C329" s="181"/>
      <c r="D329" s="155"/>
      <c r="E329" s="156"/>
      <c r="F329" s="156"/>
      <c r="G329" s="155"/>
      <c r="H329" s="158" t="e">
        <f>SUBTOTAL(101,Tabla55572795152747385[%])</f>
        <v>#DIV/0!</v>
      </c>
      <c r="I329" s="156"/>
      <c r="J329" s="156"/>
      <c r="K329" s="159"/>
      <c r="L329" s="155"/>
      <c r="M329" s="156"/>
      <c r="N329" s="160"/>
      <c r="O329" s="156"/>
      <c r="P329" s="155"/>
      <c r="Q329" s="161"/>
      <c r="R329" s="162" t="e">
        <f>SUBTOTAL(109,Tabla55572795152747385[RATION])</f>
        <v>#DIV/0!</v>
      </c>
      <c r="S329" s="232"/>
      <c r="T329" s="275"/>
    </row>
    <row r="331" spans="1:20" x14ac:dyDescent="0.25">
      <c r="E331" s="117" t="s">
        <v>25</v>
      </c>
      <c r="F331" s="114"/>
      <c r="G331" s="118"/>
      <c r="H331" s="114"/>
      <c r="I331" s="114"/>
      <c r="J331" s="70"/>
      <c r="K331" s="396" t="s">
        <v>29</v>
      </c>
      <c r="L331" s="396"/>
      <c r="M331" s="396"/>
      <c r="N331" s="395" t="s">
        <v>1090</v>
      </c>
      <c r="O331" s="395"/>
      <c r="P331" s="395"/>
      <c r="Q331" s="395"/>
    </row>
    <row r="332" spans="1:20" x14ac:dyDescent="0.25">
      <c r="B332" s="183" t="s">
        <v>392</v>
      </c>
      <c r="C332" s="184" t="s">
        <v>316</v>
      </c>
      <c r="D332" s="185" t="s">
        <v>7</v>
      </c>
      <c r="E332" s="186" t="s">
        <v>20</v>
      </c>
      <c r="F332" s="187" t="s">
        <v>33</v>
      </c>
      <c r="G332" s="185" t="s">
        <v>26</v>
      </c>
      <c r="H332" s="188" t="s">
        <v>21</v>
      </c>
      <c r="I332" s="189" t="s">
        <v>22</v>
      </c>
      <c r="J332" s="189" t="s">
        <v>23</v>
      </c>
      <c r="K332" s="189" t="s">
        <v>27</v>
      </c>
      <c r="L332" s="185" t="s">
        <v>32</v>
      </c>
      <c r="M332" s="189" t="s">
        <v>28</v>
      </c>
      <c r="N332" s="190" t="s">
        <v>30</v>
      </c>
      <c r="O332" s="185" t="s">
        <v>34</v>
      </c>
      <c r="P332" s="185" t="s">
        <v>25</v>
      </c>
      <c r="Q332" s="191" t="s">
        <v>31</v>
      </c>
      <c r="R332" s="192" t="s">
        <v>24</v>
      </c>
      <c r="S332" s="234" t="s">
        <v>1262</v>
      </c>
      <c r="T332" s="276" t="s">
        <v>1263</v>
      </c>
    </row>
    <row r="333" spans="1:20" x14ac:dyDescent="0.25">
      <c r="B333" s="199" t="str">
        <f>+GINEBRA!B44</f>
        <v>BULLDOG GIN</v>
      </c>
      <c r="C333" s="199"/>
      <c r="D333" s="254">
        <f>+GINEBRA!I47</f>
        <v>150480</v>
      </c>
      <c r="E333" s="255">
        <f>+GINEBRA!I48</f>
        <v>290000</v>
      </c>
      <c r="F333" s="255">
        <f t="shared" ref="F333:F340" si="145">+E333/1.08*0.08</f>
        <v>21481.481481481478</v>
      </c>
      <c r="G333" s="254">
        <f>+Tabla555727951527473112[[#This Row],[VENTA]]-Tabla555727951527473112[[#This Row],[ICO 8%]]</f>
        <v>268518.51851851854</v>
      </c>
      <c r="H333" s="256">
        <f>+Tabla555727951527473112[[#This Row],[COSTO]]/Tabla555727951527473112[[#This Row],[BASE]]</f>
        <v>0.56040827586206887</v>
      </c>
      <c r="I333" s="257">
        <f>+Tabla555727951527473112[[#This Row],[BASE]]/Tabla555727951527473112[[#This Row],[COSTO]]</f>
        <v>1.7844133341209365</v>
      </c>
      <c r="J333" s="258" t="e">
        <f>+VLOOKUP(Tabla555727951527473112[[#This Row],[GINEBRA]],#REF!,2,0)</f>
        <v>#REF!</v>
      </c>
      <c r="K333" s="259">
        <f t="shared" ref="K333:K340" si="146">+D333/(100-50)*100</f>
        <v>300960</v>
      </c>
      <c r="L333" s="254">
        <f t="shared" ref="L333:L340" si="147">+K333/1.08*0.08</f>
        <v>22293.333333333332</v>
      </c>
      <c r="M333" s="260">
        <f>+Tabla555727951527473112[[#This Row],[PRECIO SUGERIDO]]+Tabla555727951527473112[[#This Row],[ICO2]]</f>
        <v>323253.33333333331</v>
      </c>
      <c r="N333" s="267">
        <v>290000</v>
      </c>
      <c r="O333" s="255">
        <f t="shared" ref="O333:O340" si="148">+N333/1.08*0.08</f>
        <v>21481.481481481478</v>
      </c>
      <c r="P333" s="254">
        <f t="shared" ref="P333" si="149">+N333-O333</f>
        <v>268518.51851851854</v>
      </c>
      <c r="Q333" s="256">
        <f t="shared" ref="Q333:Q340" si="150">+D333/P333</f>
        <v>0.56040827586206887</v>
      </c>
      <c r="R333" s="262">
        <f t="shared" ref="R333:R340" si="151">+P333/D333</f>
        <v>1.7844133341209365</v>
      </c>
      <c r="S333" s="308">
        <v>380000</v>
      </c>
      <c r="T333" s="278">
        <f t="shared" ref="T333:T340" si="152">+D333/S333</f>
        <v>0.39600000000000002</v>
      </c>
    </row>
    <row r="334" spans="1:20" x14ac:dyDescent="0.25">
      <c r="B334" s="130" t="str">
        <f>+GINEBRA!B32</f>
        <v>GINEBRA HENDRICKS</v>
      </c>
      <c r="C334" s="130"/>
      <c r="D334" s="131">
        <f>+GINEBRA!I35</f>
        <v>214236</v>
      </c>
      <c r="E334" s="132">
        <f>+GINEBRA!I36</f>
        <v>445000</v>
      </c>
      <c r="F334" s="132">
        <f t="shared" si="145"/>
        <v>32962.962962962964</v>
      </c>
      <c r="G334" s="131">
        <f>+Tabla555727951527473112[[#This Row],[VENTA]]-Tabla555727951527473112[[#This Row],[ICO 8%]]</f>
        <v>412037.03703703702</v>
      </c>
      <c r="H334" s="133">
        <f>+Tabla555727951527473112[[#This Row],[COSTO]]/Tabla555727951527473112[[#This Row],[BASE]]</f>
        <v>0.51994355056179775</v>
      </c>
      <c r="I334" s="134">
        <f>+Tabla555727951527473112[[#This Row],[BASE]]/Tabla555727951527473112[[#This Row],[COSTO]]</f>
        <v>1.9232857084572015</v>
      </c>
      <c r="J334" s="135" t="e">
        <f>+VLOOKUP(Tabla555727951527473112[[#This Row],[GINEBRA]],#REF!,2,0)</f>
        <v>#REF!</v>
      </c>
      <c r="K334" s="136">
        <f t="shared" si="146"/>
        <v>428472</v>
      </c>
      <c r="L334" s="131">
        <f t="shared" si="147"/>
        <v>31738.666666666664</v>
      </c>
      <c r="M334" s="137">
        <f>+Tabla555727951527473112[[#This Row],[PRECIO SUGERIDO]]+Tabla555727951527473112[[#This Row],[ICO2]]</f>
        <v>460210.66666666669</v>
      </c>
      <c r="N334" s="138">
        <v>445000</v>
      </c>
      <c r="O334" s="132">
        <f t="shared" si="148"/>
        <v>32962.962962962964</v>
      </c>
      <c r="P334" s="139">
        <f t="shared" ref="P334:P340" si="153">+N334-O334</f>
        <v>412037.03703703702</v>
      </c>
      <c r="Q334" s="133">
        <f t="shared" si="150"/>
        <v>0.51994355056179775</v>
      </c>
      <c r="R334" s="194">
        <f t="shared" si="151"/>
        <v>1.9232857084572015</v>
      </c>
      <c r="S334" s="244">
        <v>530000</v>
      </c>
      <c r="T334" s="272">
        <f t="shared" si="152"/>
        <v>0.40421886792452832</v>
      </c>
    </row>
    <row r="335" spans="1:20" x14ac:dyDescent="0.25">
      <c r="B335" s="130" t="str">
        <f>+GINEBRA!B58</f>
        <v>SELVA</v>
      </c>
      <c r="C335" s="130"/>
      <c r="D335" s="131">
        <f>+GINEBRA!I61</f>
        <v>137001.00000003999</v>
      </c>
      <c r="E335" s="132">
        <f>+GINEBRA!I62</f>
        <v>290000</v>
      </c>
      <c r="F335" s="132">
        <f t="shared" si="145"/>
        <v>21481.481481481478</v>
      </c>
      <c r="G335" s="131">
        <f>+Tabla555727951527473112[[#This Row],[VENTA]]-Tabla555727951527473112[[#This Row],[ICO 8%]]</f>
        <v>268518.51851851854</v>
      </c>
      <c r="H335" s="133">
        <f>+Tabla555727951527473112[[#This Row],[COSTO]]/Tabla555727951527473112[[#This Row],[BASE]]</f>
        <v>0.51021062068980405</v>
      </c>
      <c r="I335" s="134">
        <f>+Tabla555727951527473112[[#This Row],[BASE]]/Tabla555727951527473112[[#This Row],[COSTO]]</f>
        <v>1.9599748798800021</v>
      </c>
      <c r="J335" s="135" t="e">
        <f>+VLOOKUP(Tabla555727951527473112[[#This Row],[GINEBRA]],#REF!,2,0)</f>
        <v>#REF!</v>
      </c>
      <c r="K335" s="136">
        <f t="shared" si="146"/>
        <v>274002.00000007998</v>
      </c>
      <c r="L335" s="131">
        <f t="shared" si="147"/>
        <v>20296.444444450368</v>
      </c>
      <c r="M335" s="137">
        <f>+Tabla555727951527473112[[#This Row],[PRECIO SUGERIDO]]+Tabla555727951527473112[[#This Row],[ICO2]]</f>
        <v>294298.44444453035</v>
      </c>
      <c r="N335" s="138">
        <v>290000</v>
      </c>
      <c r="O335" s="132">
        <f t="shared" si="148"/>
        <v>21481.481481481478</v>
      </c>
      <c r="P335" s="139">
        <f t="shared" si="153"/>
        <v>268518.51851851854</v>
      </c>
      <c r="Q335" s="133">
        <f t="shared" si="150"/>
        <v>0.51021062068980405</v>
      </c>
      <c r="R335" s="194">
        <f t="shared" si="151"/>
        <v>1.9599748798800021</v>
      </c>
      <c r="S335" s="244">
        <v>340000</v>
      </c>
      <c r="T335" s="272">
        <f t="shared" si="152"/>
        <v>0.40294411764717641</v>
      </c>
    </row>
    <row r="336" spans="1:20" x14ac:dyDescent="0.25">
      <c r="B336" s="130" t="str">
        <f>+GINEBRA!B19</f>
        <v>TANQUERAY LONDON</v>
      </c>
      <c r="C336" s="130"/>
      <c r="D336" s="131">
        <f>+GINEBRA!I22</f>
        <v>131340</v>
      </c>
      <c r="E336" s="132">
        <f>+GINEBRA!I23</f>
        <v>280000</v>
      </c>
      <c r="F336" s="132">
        <f t="shared" si="145"/>
        <v>20740.740740740741</v>
      </c>
      <c r="G336" s="131">
        <f>+Tabla555727951527473112[[#This Row],[VENTA]]-Tabla555727951527473112[[#This Row],[ICO 8%]]</f>
        <v>259259.25925925927</v>
      </c>
      <c r="H336" s="133">
        <f>+Tabla555727951527473112[[#This Row],[COSTO]]/Tabla555727951527473112[[#This Row],[BASE]]</f>
        <v>0.50659714285714286</v>
      </c>
      <c r="I336" s="134">
        <f>+Tabla555727951527473112[[#This Row],[BASE]]/Tabla555727951527473112[[#This Row],[COSTO]]</f>
        <v>1.9739550727825435</v>
      </c>
      <c r="J336" s="135" t="e">
        <f>+VLOOKUP(Tabla555727951527473112[[#This Row],[GINEBRA]],#REF!,2,0)</f>
        <v>#REF!</v>
      </c>
      <c r="K336" s="136">
        <f t="shared" si="146"/>
        <v>262680</v>
      </c>
      <c r="L336" s="131">
        <f t="shared" si="147"/>
        <v>19457.777777777777</v>
      </c>
      <c r="M336" s="137">
        <f>+Tabla555727951527473112[[#This Row],[PRECIO SUGERIDO]]+Tabla555727951527473112[[#This Row],[ICO2]]</f>
        <v>282137.77777777775</v>
      </c>
      <c r="N336" s="141">
        <v>280000</v>
      </c>
      <c r="O336" s="132">
        <f t="shared" si="148"/>
        <v>20740.740740740741</v>
      </c>
      <c r="P336" s="139">
        <f t="shared" si="153"/>
        <v>259259.25925925927</v>
      </c>
      <c r="Q336" s="133">
        <f t="shared" si="150"/>
        <v>0.50659714285714286</v>
      </c>
      <c r="R336" s="194">
        <f t="shared" si="151"/>
        <v>1.9739550727825435</v>
      </c>
      <c r="S336" s="244">
        <v>325000</v>
      </c>
      <c r="T336" s="272">
        <f t="shared" si="152"/>
        <v>0.40412307692307692</v>
      </c>
    </row>
    <row r="337" spans="2:20" x14ac:dyDescent="0.25">
      <c r="B337" s="199" t="e">
        <f>+GINEBRA!#REF!</f>
        <v>#REF!</v>
      </c>
      <c r="C337" s="199"/>
      <c r="D337" s="254" t="e">
        <f>+GINEBRA!#REF!</f>
        <v>#REF!</v>
      </c>
      <c r="E337" s="255" t="e">
        <f>+GINEBRA!#REF!</f>
        <v>#REF!</v>
      </c>
      <c r="F337" s="255" t="e">
        <f t="shared" si="145"/>
        <v>#REF!</v>
      </c>
      <c r="G337" s="254" t="e">
        <f>+Tabla555727951527473112[[#This Row],[VENTA]]-Tabla555727951527473112[[#This Row],[ICO 8%]]</f>
        <v>#REF!</v>
      </c>
      <c r="H337" s="256" t="e">
        <f>+Tabla555727951527473112[[#This Row],[COSTO]]/Tabla555727951527473112[[#This Row],[BASE]]</f>
        <v>#REF!</v>
      </c>
      <c r="I337" s="257" t="e">
        <f>+Tabla555727951527473112[[#This Row],[BASE]]/Tabla555727951527473112[[#This Row],[COSTO]]</f>
        <v>#REF!</v>
      </c>
      <c r="J337" s="258" t="e">
        <f>+VLOOKUP(Tabla555727951527473112[[#This Row],[GINEBRA]],#REF!,2,0)</f>
        <v>#REF!</v>
      </c>
      <c r="K337" s="259" t="e">
        <f t="shared" si="146"/>
        <v>#REF!</v>
      </c>
      <c r="L337" s="254" t="e">
        <f t="shared" si="147"/>
        <v>#REF!</v>
      </c>
      <c r="M337" s="260" t="e">
        <f>+Tabla555727951527473112[[#This Row],[PRECIO SUGERIDO]]+Tabla555727951527473112[[#This Row],[ICO2]]</f>
        <v>#REF!</v>
      </c>
      <c r="N337" s="267">
        <v>30000</v>
      </c>
      <c r="O337" s="255">
        <f t="shared" si="148"/>
        <v>2222.2222222222222</v>
      </c>
      <c r="P337" s="254">
        <f t="shared" si="153"/>
        <v>27777.777777777777</v>
      </c>
      <c r="Q337" s="256" t="e">
        <f t="shared" si="150"/>
        <v>#REF!</v>
      </c>
      <c r="R337" s="262" t="e">
        <f t="shared" si="151"/>
        <v>#REF!</v>
      </c>
      <c r="S337" s="244">
        <v>45000</v>
      </c>
      <c r="T337" s="272" t="e">
        <f t="shared" si="152"/>
        <v>#REF!</v>
      </c>
    </row>
    <row r="338" spans="2:20" x14ac:dyDescent="0.25">
      <c r="B338" s="130" t="e">
        <f>+GINEBRA!#REF!</f>
        <v>#REF!</v>
      </c>
      <c r="C338" s="130"/>
      <c r="D338" s="131" t="e">
        <f>+GINEBRA!#REF!</f>
        <v>#REF!</v>
      </c>
      <c r="E338" s="132" t="e">
        <f>+GINEBRA!#REF!</f>
        <v>#REF!</v>
      </c>
      <c r="F338" s="132" t="e">
        <f t="shared" si="145"/>
        <v>#REF!</v>
      </c>
      <c r="G338" s="131" t="e">
        <f>+Tabla555727951527473112[[#This Row],[VENTA]]-Tabla555727951527473112[[#This Row],[ICO 8%]]</f>
        <v>#REF!</v>
      </c>
      <c r="H338" s="133" t="e">
        <f>+Tabla555727951527473112[[#This Row],[COSTO]]/Tabla555727951527473112[[#This Row],[BASE]]</f>
        <v>#REF!</v>
      </c>
      <c r="I338" s="134" t="e">
        <f>+Tabla555727951527473112[[#This Row],[BASE]]/Tabla555727951527473112[[#This Row],[COSTO]]</f>
        <v>#REF!</v>
      </c>
      <c r="J338" s="135" t="e">
        <f>+VLOOKUP(Tabla555727951527473112[[#This Row],[GINEBRA]],#REF!,2,0)</f>
        <v>#REF!</v>
      </c>
      <c r="K338" s="136" t="e">
        <f t="shared" si="146"/>
        <v>#REF!</v>
      </c>
      <c r="L338" s="131" t="e">
        <f t="shared" si="147"/>
        <v>#REF!</v>
      </c>
      <c r="M338" s="137" t="e">
        <f>+Tabla555727951527473112[[#This Row],[PRECIO SUGERIDO]]+Tabla555727951527473112[[#This Row],[ICO2]]</f>
        <v>#REF!</v>
      </c>
      <c r="N338" s="141">
        <v>40000</v>
      </c>
      <c r="O338" s="132">
        <f t="shared" si="148"/>
        <v>2962.962962962963</v>
      </c>
      <c r="P338" s="139">
        <f t="shared" si="153"/>
        <v>37037.037037037036</v>
      </c>
      <c r="Q338" s="133" t="e">
        <f t="shared" si="150"/>
        <v>#REF!</v>
      </c>
      <c r="R338" s="194" t="e">
        <f t="shared" si="151"/>
        <v>#REF!</v>
      </c>
      <c r="S338" s="244">
        <v>63000</v>
      </c>
      <c r="T338" s="272" t="e">
        <f t="shared" si="152"/>
        <v>#REF!</v>
      </c>
    </row>
    <row r="339" spans="2:20" x14ac:dyDescent="0.25">
      <c r="B339" s="130" t="e">
        <f>+GINEBRA!#REF!</f>
        <v>#REF!</v>
      </c>
      <c r="C339" s="130"/>
      <c r="D339" s="131" t="e">
        <f>+GINEBRA!#REF!</f>
        <v>#REF!</v>
      </c>
      <c r="E339" s="132" t="e">
        <f>+GINEBRA!#REF!</f>
        <v>#REF!</v>
      </c>
      <c r="F339" s="132" t="e">
        <f t="shared" si="145"/>
        <v>#REF!</v>
      </c>
      <c r="G339" s="131" t="e">
        <f>+Tabla555727951527473112[[#This Row],[VENTA]]-Tabla555727951527473112[[#This Row],[ICO 8%]]</f>
        <v>#REF!</v>
      </c>
      <c r="H339" s="133" t="e">
        <f>+Tabla555727951527473112[[#This Row],[COSTO]]/Tabla555727951527473112[[#This Row],[BASE]]</f>
        <v>#REF!</v>
      </c>
      <c r="I339" s="134" t="e">
        <f>+Tabla555727951527473112[[#This Row],[BASE]]/Tabla555727951527473112[[#This Row],[COSTO]]</f>
        <v>#REF!</v>
      </c>
      <c r="J339" s="135" t="e">
        <f>+VLOOKUP(Tabla555727951527473112[[#This Row],[GINEBRA]],#REF!,2,0)</f>
        <v>#REF!</v>
      </c>
      <c r="K339" s="136" t="e">
        <f t="shared" si="146"/>
        <v>#REF!</v>
      </c>
      <c r="L339" s="131" t="e">
        <f t="shared" si="147"/>
        <v>#REF!</v>
      </c>
      <c r="M339" s="137" t="e">
        <f>+Tabla555727951527473112[[#This Row],[PRECIO SUGERIDO]]+Tabla555727951527473112[[#This Row],[ICO2]]</f>
        <v>#REF!</v>
      </c>
      <c r="N339" s="138">
        <v>28000</v>
      </c>
      <c r="O339" s="132">
        <f t="shared" si="148"/>
        <v>2074.0740740740739</v>
      </c>
      <c r="P339" s="139">
        <f t="shared" si="153"/>
        <v>25925.925925925927</v>
      </c>
      <c r="Q339" s="133" t="e">
        <f t="shared" si="150"/>
        <v>#REF!</v>
      </c>
      <c r="R339" s="194" t="e">
        <f t="shared" si="151"/>
        <v>#REF!</v>
      </c>
      <c r="S339" s="244">
        <v>41000</v>
      </c>
      <c r="T339" s="272" t="e">
        <f t="shared" si="152"/>
        <v>#REF!</v>
      </c>
    </row>
    <row r="340" spans="2:20" ht="13.8" thickBot="1" x14ac:dyDescent="0.3">
      <c r="B340" s="130" t="e">
        <f>+GINEBRA!#REF!</f>
        <v>#REF!</v>
      </c>
      <c r="C340" s="130"/>
      <c r="D340" s="131" t="e">
        <f>+GINEBRA!#REF!</f>
        <v>#REF!</v>
      </c>
      <c r="E340" s="132" t="e">
        <f>+GINEBRA!#REF!</f>
        <v>#REF!</v>
      </c>
      <c r="F340" s="132" t="e">
        <f t="shared" si="145"/>
        <v>#REF!</v>
      </c>
      <c r="G340" s="131" t="e">
        <f>+Tabla555727951527473112[[#This Row],[VENTA]]-Tabla555727951527473112[[#This Row],[ICO 8%]]</f>
        <v>#REF!</v>
      </c>
      <c r="H340" s="133" t="e">
        <f>+Tabla555727951527473112[[#This Row],[COSTO]]/Tabla555727951527473112[[#This Row],[BASE]]</f>
        <v>#REF!</v>
      </c>
      <c r="I340" s="134" t="e">
        <f>+Tabla555727951527473112[[#This Row],[BASE]]/Tabla555727951527473112[[#This Row],[COSTO]]</f>
        <v>#REF!</v>
      </c>
      <c r="J340" s="135" t="e">
        <f>+VLOOKUP(Tabla555727951527473112[[#This Row],[GINEBRA]],#REF!,2,0)</f>
        <v>#REF!</v>
      </c>
      <c r="K340" s="136" t="e">
        <f t="shared" si="146"/>
        <v>#REF!</v>
      </c>
      <c r="L340" s="131" t="e">
        <f t="shared" si="147"/>
        <v>#REF!</v>
      </c>
      <c r="M340" s="137" t="e">
        <f>+Tabla555727951527473112[[#This Row],[PRECIO SUGERIDO]]+Tabla555727951527473112[[#This Row],[ICO2]]</f>
        <v>#REF!</v>
      </c>
      <c r="N340" s="141">
        <v>29000</v>
      </c>
      <c r="O340" s="132">
        <f t="shared" si="148"/>
        <v>2148.1481481481483</v>
      </c>
      <c r="P340" s="139">
        <f t="shared" si="153"/>
        <v>26851.85185185185</v>
      </c>
      <c r="Q340" s="133" t="e">
        <f t="shared" si="150"/>
        <v>#REF!</v>
      </c>
      <c r="R340" s="194" t="e">
        <f t="shared" si="151"/>
        <v>#REF!</v>
      </c>
      <c r="S340" s="244">
        <v>45000</v>
      </c>
      <c r="T340" s="272" t="e">
        <f t="shared" si="152"/>
        <v>#REF!</v>
      </c>
    </row>
    <row r="341" spans="2:20" ht="13.8" thickBot="1" x14ac:dyDescent="0.3">
      <c r="B341" s="153" t="s">
        <v>35</v>
      </c>
      <c r="C341" s="181"/>
      <c r="D341" s="155"/>
      <c r="E341" s="156"/>
      <c r="F341" s="156"/>
      <c r="G341" s="155"/>
      <c r="H341" s="158" t="e">
        <f>SUBTOTAL(101,Tabla555727951527473112[%])</f>
        <v>#REF!</v>
      </c>
      <c r="I341" s="156"/>
      <c r="J341" s="156"/>
      <c r="K341" s="159"/>
      <c r="L341" s="155"/>
      <c r="M341" s="156"/>
      <c r="N341" s="160"/>
      <c r="O341" s="156"/>
      <c r="P341" s="155"/>
      <c r="Q341" s="161"/>
      <c r="R341" s="162" t="e">
        <f>SUBTOTAL(109,Tabla555727951527473112[RATION])</f>
        <v>#REF!</v>
      </c>
      <c r="S341" s="232"/>
      <c r="T341" s="275"/>
    </row>
    <row r="344" spans="2:20" x14ac:dyDescent="0.25">
      <c r="E344" s="117" t="s">
        <v>25</v>
      </c>
      <c r="F344" s="114"/>
      <c r="G344" s="118"/>
      <c r="H344" s="114"/>
      <c r="I344" s="114"/>
      <c r="J344" s="70"/>
      <c r="K344" s="396" t="s">
        <v>29</v>
      </c>
      <c r="L344" s="396"/>
      <c r="M344" s="396"/>
      <c r="N344" s="395" t="s">
        <v>1090</v>
      </c>
      <c r="O344" s="395"/>
      <c r="P344" s="395"/>
      <c r="Q344" s="395"/>
    </row>
    <row r="345" spans="2:20" x14ac:dyDescent="0.25">
      <c r="B345" s="183" t="s">
        <v>401</v>
      </c>
      <c r="C345" s="184" t="s">
        <v>316</v>
      </c>
      <c r="D345" s="185" t="s">
        <v>7</v>
      </c>
      <c r="E345" s="186" t="s">
        <v>20</v>
      </c>
      <c r="F345" s="187" t="s">
        <v>33</v>
      </c>
      <c r="G345" s="185" t="s">
        <v>26</v>
      </c>
      <c r="H345" s="188" t="s">
        <v>21</v>
      </c>
      <c r="I345" s="189" t="s">
        <v>22</v>
      </c>
      <c r="J345" s="189" t="s">
        <v>23</v>
      </c>
      <c r="K345" s="189" t="s">
        <v>27</v>
      </c>
      <c r="L345" s="185" t="s">
        <v>32</v>
      </c>
      <c r="M345" s="189" t="s">
        <v>28</v>
      </c>
      <c r="N345" s="190" t="s">
        <v>30</v>
      </c>
      <c r="O345" s="185" t="s">
        <v>34</v>
      </c>
      <c r="P345" s="185" t="s">
        <v>25</v>
      </c>
      <c r="Q345" s="191" t="s">
        <v>31</v>
      </c>
      <c r="R345" s="192" t="s">
        <v>24</v>
      </c>
      <c r="S345" s="234" t="s">
        <v>1262</v>
      </c>
      <c r="T345" s="276" t="s">
        <v>1263</v>
      </c>
    </row>
    <row r="346" spans="2:20" x14ac:dyDescent="0.25">
      <c r="B346" s="130" t="str">
        <f>+AGUARDIENTE!B21</f>
        <v>MEDIA AGUARDIENTE AZUL</v>
      </c>
      <c r="C346" s="130"/>
      <c r="D346" s="131">
        <f>+AGUARDIENTE!I24</f>
        <v>24402.1</v>
      </c>
      <c r="E346" s="132">
        <f>+AGUARDIENTE!I25</f>
        <v>80000</v>
      </c>
      <c r="F346" s="132">
        <f t="shared" ref="F346:F350" si="154">+E346/1.08*0.08</f>
        <v>5925.9259259259261</v>
      </c>
      <c r="G346" s="131">
        <f>+Tabla555727951527473113[[#This Row],[VENTA]]-Tabla555727951527473113[[#This Row],[ICO 8%]]</f>
        <v>74074.074074074073</v>
      </c>
      <c r="H346" s="133">
        <f>+Tabla555727951527473113[[#This Row],[COSTO]]/Tabla555727951527473113[[#This Row],[BASE]]</f>
        <v>0.32942834999999998</v>
      </c>
      <c r="I346" s="134">
        <f>+Tabla555727951527473113[[#This Row],[BASE]]/Tabla555727951527473113[[#This Row],[COSTO]]</f>
        <v>3.035561450615893</v>
      </c>
      <c r="J346" s="135" t="e">
        <f>+VLOOKUP(Tabla555727951527473113[[#This Row],[AGUARDIENTE]],#REF!,2,0)</f>
        <v>#REF!</v>
      </c>
      <c r="K346" s="136">
        <f t="shared" ref="K346:K350" si="155">+D346/(100-75)*100</f>
        <v>97608.4</v>
      </c>
      <c r="L346" s="131">
        <f t="shared" ref="L346:L350" si="156">+K346/1.08*0.08</f>
        <v>7230.2518518518509</v>
      </c>
      <c r="M346" s="137">
        <f>+Tabla555727951527473113[[#This Row],[PRECIO SUGERIDO]]+Tabla555727951527473113[[#This Row],[ICO2]]</f>
        <v>104838.65185185184</v>
      </c>
      <c r="N346" s="141">
        <v>68000</v>
      </c>
      <c r="O346" s="132">
        <f t="shared" ref="O346:O350" si="157">+N346/1.08*0.08</f>
        <v>5037.0370370370365</v>
      </c>
      <c r="P346" s="139">
        <f t="shared" ref="P346" si="158">+N346-O346</f>
        <v>62962.962962962964</v>
      </c>
      <c r="Q346" s="133">
        <f t="shared" ref="Q346:Q350" si="159">+D346/P346</f>
        <v>0.3875627647058823</v>
      </c>
      <c r="R346" s="194">
        <f t="shared" ref="R346:R350" si="160">+P346/D346</f>
        <v>2.5802272330235088</v>
      </c>
      <c r="S346" s="244">
        <v>95000</v>
      </c>
      <c r="T346" s="272">
        <f t="shared" ref="T346:T351" si="161">+D346/S346</f>
        <v>0.25686421052631575</v>
      </c>
    </row>
    <row r="347" spans="2:20" x14ac:dyDescent="0.25">
      <c r="B347" s="130" t="str">
        <f>+AGUARDIENTE!B6</f>
        <v>MEDIA AGUARDIENTE ROJO</v>
      </c>
      <c r="C347" s="130"/>
      <c r="D347" s="131">
        <f>+AGUARDIENTE!I9</f>
        <v>22770</v>
      </c>
      <c r="E347" s="132">
        <f>+AGUARDIENTE!I10</f>
        <v>80000</v>
      </c>
      <c r="F347" s="132">
        <f t="shared" si="154"/>
        <v>5925.9259259259261</v>
      </c>
      <c r="G347" s="131">
        <f>+Tabla555727951527473113[[#This Row],[VENTA]]-Tabla555727951527473113[[#This Row],[ICO 8%]]</f>
        <v>74074.074074074073</v>
      </c>
      <c r="H347" s="133">
        <f>+Tabla555727951527473113[[#This Row],[COSTO]]/Tabla555727951527473113[[#This Row],[BASE]]</f>
        <v>0.30739500000000003</v>
      </c>
      <c r="I347" s="134">
        <f>+Tabla555727951527473113[[#This Row],[BASE]]/Tabla555727951527473113[[#This Row],[COSTO]]</f>
        <v>3.2531433497617073</v>
      </c>
      <c r="J347" s="135" t="e">
        <f>+VLOOKUP(Tabla555727951527473113[[#This Row],[AGUARDIENTE]],#REF!,2,0)</f>
        <v>#REF!</v>
      </c>
      <c r="K347" s="136">
        <f t="shared" si="155"/>
        <v>91080</v>
      </c>
      <c r="L347" s="131">
        <f t="shared" si="156"/>
        <v>6746.6666666666661</v>
      </c>
      <c r="M347" s="137">
        <f>+Tabla555727951527473113[[#This Row],[PRECIO SUGERIDO]]+Tabla555727951527473113[[#This Row],[ICO2]]</f>
        <v>97826.666666666672</v>
      </c>
      <c r="N347" s="141">
        <v>68000</v>
      </c>
      <c r="O347" s="132">
        <f t="shared" si="157"/>
        <v>5037.0370370370365</v>
      </c>
      <c r="P347" s="139">
        <f t="shared" ref="P347:P350" si="162">+N347-O347</f>
        <v>62962.962962962964</v>
      </c>
      <c r="Q347" s="133">
        <f t="shared" si="159"/>
        <v>0.36164117647058824</v>
      </c>
      <c r="R347" s="194">
        <f t="shared" si="160"/>
        <v>2.7651718472974514</v>
      </c>
      <c r="S347" s="244">
        <v>95000</v>
      </c>
      <c r="T347" s="272">
        <f t="shared" si="161"/>
        <v>0.23968421052631578</v>
      </c>
    </row>
    <row r="348" spans="2:20" x14ac:dyDescent="0.25">
      <c r="B348" s="130" t="str">
        <f>+AGUARDIENTE!B34</f>
        <v>MEDIA AGUARDIENTE VERDE</v>
      </c>
      <c r="C348" s="130"/>
      <c r="D348" s="131">
        <f>+AGUARDIENTE!I37</f>
        <v>21480</v>
      </c>
      <c r="E348" s="132">
        <f>+AGUARDIENTE!I38</f>
        <v>80000</v>
      </c>
      <c r="F348" s="132">
        <f t="shared" si="154"/>
        <v>5925.9259259259261</v>
      </c>
      <c r="G348" s="131">
        <f>+Tabla555727951527473113[[#This Row],[VENTA]]-Tabla555727951527473113[[#This Row],[ICO 8%]]</f>
        <v>74074.074074074073</v>
      </c>
      <c r="H348" s="133">
        <f>+Tabla555727951527473113[[#This Row],[COSTO]]/Tabla555727951527473113[[#This Row],[BASE]]</f>
        <v>0.28998000000000002</v>
      </c>
      <c r="I348" s="134">
        <f>+Tabla555727951527473113[[#This Row],[BASE]]/Tabla555727951527473113[[#This Row],[COSTO]]</f>
        <v>3.4485136905993516</v>
      </c>
      <c r="J348" s="135" t="e">
        <f>+VLOOKUP(Tabla555727951527473113[[#This Row],[AGUARDIENTE]],#REF!,2,0)</f>
        <v>#REF!</v>
      </c>
      <c r="K348" s="136">
        <f t="shared" si="155"/>
        <v>85920</v>
      </c>
      <c r="L348" s="131">
        <f t="shared" si="156"/>
        <v>6364.4444444444443</v>
      </c>
      <c r="M348" s="137">
        <f>+Tabla555727951527473113[[#This Row],[PRECIO SUGERIDO]]+Tabla555727951527473113[[#This Row],[ICO2]]</f>
        <v>92284.444444444438</v>
      </c>
      <c r="N348" s="141">
        <v>68000</v>
      </c>
      <c r="O348" s="132">
        <f t="shared" si="157"/>
        <v>5037.0370370370365</v>
      </c>
      <c r="P348" s="139">
        <f t="shared" si="162"/>
        <v>62962.962962962964</v>
      </c>
      <c r="Q348" s="133">
        <f t="shared" si="159"/>
        <v>0.3411529411764706</v>
      </c>
      <c r="R348" s="194">
        <f t="shared" si="160"/>
        <v>2.9312366370094489</v>
      </c>
      <c r="S348" s="244">
        <v>95000</v>
      </c>
      <c r="T348" s="272">
        <f t="shared" si="161"/>
        <v>0.22610526315789473</v>
      </c>
    </row>
    <row r="349" spans="2:20" x14ac:dyDescent="0.25">
      <c r="B349" s="130" t="e">
        <f>+AGUARDIENTE!#REF!</f>
        <v>#REF!</v>
      </c>
      <c r="C349" s="130"/>
      <c r="D349" s="203" t="e">
        <f>+AGUARDIENTE!#REF!</f>
        <v>#REF!</v>
      </c>
      <c r="E349" s="132" t="e">
        <f>+AGUARDIENTE!#REF!</f>
        <v>#REF!</v>
      </c>
      <c r="F349" s="132" t="e">
        <f t="shared" si="154"/>
        <v>#REF!</v>
      </c>
      <c r="G349" s="131" t="e">
        <f>+Tabla555727951527473113[[#This Row],[VENTA]]-Tabla555727951527473113[[#This Row],[ICO 8%]]</f>
        <v>#REF!</v>
      </c>
      <c r="H349" s="133" t="e">
        <f>+Tabla555727951527473113[[#This Row],[COSTO]]/Tabla555727951527473113[[#This Row],[BASE]]</f>
        <v>#REF!</v>
      </c>
      <c r="I349" s="134" t="e">
        <f>+Tabla555727951527473113[[#This Row],[BASE]]/Tabla555727951527473113[[#This Row],[COSTO]]</f>
        <v>#REF!</v>
      </c>
      <c r="J349" s="135" t="e">
        <f>+VLOOKUP(Tabla555727951527473113[[#This Row],[AGUARDIENTE]],#REF!,2,0)</f>
        <v>#REF!</v>
      </c>
      <c r="K349" s="136" t="e">
        <f t="shared" si="155"/>
        <v>#REF!</v>
      </c>
      <c r="L349" s="131" t="e">
        <f t="shared" si="156"/>
        <v>#REF!</v>
      </c>
      <c r="M349" s="137" t="e">
        <f>+Tabla555727951527473113[[#This Row],[PRECIO SUGERIDO]]+Tabla555727951527473113[[#This Row],[ICO2]]</f>
        <v>#REF!</v>
      </c>
      <c r="N349" s="138">
        <v>14000</v>
      </c>
      <c r="O349" s="132">
        <f t="shared" si="157"/>
        <v>1037.037037037037</v>
      </c>
      <c r="P349" s="139">
        <f t="shared" si="162"/>
        <v>12962.962962962964</v>
      </c>
      <c r="Q349" s="133" t="e">
        <f t="shared" si="159"/>
        <v>#REF!</v>
      </c>
      <c r="R349" s="194" t="e">
        <f t="shared" si="160"/>
        <v>#REF!</v>
      </c>
      <c r="S349" s="244">
        <v>13000</v>
      </c>
      <c r="T349" s="272" t="e">
        <f t="shared" si="161"/>
        <v>#REF!</v>
      </c>
    </row>
    <row r="350" spans="2:20" x14ac:dyDescent="0.25">
      <c r="B350" s="143" t="e">
        <f>+AGUARDIENTE!#REF!</f>
        <v>#REF!</v>
      </c>
      <c r="C350" s="143"/>
      <c r="D350" s="144" t="e">
        <f>+AGUARDIENTE!#REF!</f>
        <v>#REF!</v>
      </c>
      <c r="E350" s="145" t="e">
        <f>+AGUARDIENTE!#REF!</f>
        <v>#REF!</v>
      </c>
      <c r="F350" s="145" t="e">
        <f t="shared" si="154"/>
        <v>#REF!</v>
      </c>
      <c r="G350" s="144" t="e">
        <f>+Tabla555727951527473113[[#This Row],[VENTA]]-Tabla555727951527473113[[#This Row],[ICO 8%]]</f>
        <v>#REF!</v>
      </c>
      <c r="H350" s="146" t="e">
        <f>+Tabla555727951527473113[[#This Row],[COSTO]]/Tabla555727951527473113[[#This Row],[BASE]]</f>
        <v>#REF!</v>
      </c>
      <c r="I350" s="147" t="e">
        <f>+Tabla555727951527473113[[#This Row],[BASE]]/Tabla555727951527473113[[#This Row],[COSTO]]</f>
        <v>#REF!</v>
      </c>
      <c r="J350" s="148" t="e">
        <f>+VLOOKUP(Tabla555727951527473113[[#This Row],[AGUARDIENTE]],#REF!,2,0)</f>
        <v>#REF!</v>
      </c>
      <c r="K350" s="149" t="e">
        <f t="shared" si="155"/>
        <v>#REF!</v>
      </c>
      <c r="L350" s="144" t="e">
        <f t="shared" si="156"/>
        <v>#REF!</v>
      </c>
      <c r="M350" s="150" t="e">
        <f>+Tabla555727951527473113[[#This Row],[PRECIO SUGERIDO]]+Tabla555727951527473113[[#This Row],[ICO2]]</f>
        <v>#REF!</v>
      </c>
      <c r="N350" s="195">
        <v>14000</v>
      </c>
      <c r="O350" s="145">
        <f t="shared" si="157"/>
        <v>1037.037037037037</v>
      </c>
      <c r="P350" s="151">
        <f t="shared" si="162"/>
        <v>12962.962962962964</v>
      </c>
      <c r="Q350" s="146" t="e">
        <f t="shared" si="159"/>
        <v>#REF!</v>
      </c>
      <c r="R350" s="196" t="e">
        <f t="shared" si="160"/>
        <v>#REF!</v>
      </c>
      <c r="S350" s="244">
        <v>13000</v>
      </c>
      <c r="T350" s="272" t="e">
        <f t="shared" si="161"/>
        <v>#REF!</v>
      </c>
    </row>
    <row r="351" spans="2:20" ht="13.8" thickBot="1" x14ac:dyDescent="0.3">
      <c r="B351" s="143" t="e">
        <f>+AGUARDIENTE!#REF!</f>
        <v>#REF!</v>
      </c>
      <c r="C351" s="143"/>
      <c r="D351" s="144" t="e">
        <f>+AGUARDIENTE!#REF!</f>
        <v>#REF!</v>
      </c>
      <c r="E351" s="145"/>
      <c r="F351" s="145">
        <f>+E351/1.08*0.08</f>
        <v>0</v>
      </c>
      <c r="G351" s="144">
        <f>+Tabla555727951527473113[[#This Row],[VENTA]]-Tabla555727951527473113[[#This Row],[ICO 8%]]</f>
        <v>0</v>
      </c>
      <c r="H351" s="146" t="e">
        <f>+Tabla555727951527473113[[#This Row],[COSTO]]/Tabla555727951527473113[[#This Row],[BASE]]</f>
        <v>#REF!</v>
      </c>
      <c r="I351" s="147" t="e">
        <f>+Tabla555727951527473113[[#This Row],[BASE]]/Tabla555727951527473113[[#This Row],[COSTO]]</f>
        <v>#REF!</v>
      </c>
      <c r="J351" s="148" t="e">
        <f>+VLOOKUP(Tabla555727951527473113[[#This Row],[AGUARDIENTE]],#REF!,2,0)</f>
        <v>#REF!</v>
      </c>
      <c r="K351" s="149" t="e">
        <f>+D351/(100-75)*100</f>
        <v>#REF!</v>
      </c>
      <c r="L351" s="144" t="e">
        <f>+K351/1.08*0.08</f>
        <v>#REF!</v>
      </c>
      <c r="M351" s="150" t="e">
        <f>+Tabla555727951527473113[[#This Row],[PRECIO SUGERIDO]]+Tabla555727951527473113[[#This Row],[ICO2]]</f>
        <v>#REF!</v>
      </c>
      <c r="N351" s="195"/>
      <c r="O351" s="145">
        <f>+N351/1.08*0.08</f>
        <v>0</v>
      </c>
      <c r="P351" s="151">
        <f>+N351-O351</f>
        <v>0</v>
      </c>
      <c r="Q351" s="305" t="e">
        <f>+D351/P351</f>
        <v>#REF!</v>
      </c>
      <c r="R351" s="196" t="e">
        <f>+P351/D351</f>
        <v>#REF!</v>
      </c>
      <c r="S351" s="244">
        <v>13000</v>
      </c>
      <c r="T351" s="272" t="e">
        <f t="shared" si="161"/>
        <v>#REF!</v>
      </c>
    </row>
    <row r="352" spans="2:20" ht="13.8" thickBot="1" x14ac:dyDescent="0.3">
      <c r="B352" s="153" t="s">
        <v>35</v>
      </c>
      <c r="C352" s="181"/>
      <c r="D352" s="155"/>
      <c r="E352" s="156"/>
      <c r="F352" s="156"/>
      <c r="G352" s="155"/>
      <c r="H352" s="158" t="e">
        <f>SUBTOTAL(101,Tabla555727951527473113[%])</f>
        <v>#REF!</v>
      </c>
      <c r="I352" s="156"/>
      <c r="J352" s="156"/>
      <c r="K352" s="159"/>
      <c r="L352" s="155"/>
      <c r="M352" s="156"/>
      <c r="N352" s="160"/>
      <c r="O352" s="156"/>
      <c r="P352" s="155"/>
      <c r="Q352" s="161"/>
      <c r="R352" s="162" t="e">
        <f>SUBTOTAL(109,Tabla555727951527473113[RATION])</f>
        <v>#REF!</v>
      </c>
      <c r="S352" s="232"/>
      <c r="T352" s="275"/>
    </row>
    <row r="355" spans="2:20" x14ac:dyDescent="0.25">
      <c r="E355" s="117" t="s">
        <v>25</v>
      </c>
      <c r="F355" s="114"/>
      <c r="G355" s="118"/>
      <c r="H355" s="114"/>
      <c r="I355" s="114"/>
      <c r="J355" s="70"/>
      <c r="K355" s="396" t="s">
        <v>29</v>
      </c>
      <c r="L355" s="396"/>
      <c r="M355" s="396"/>
      <c r="N355" s="395" t="s">
        <v>1090</v>
      </c>
      <c r="O355" s="395"/>
      <c r="P355" s="395"/>
      <c r="Q355" s="395"/>
    </row>
    <row r="356" spans="2:20" x14ac:dyDescent="0.25">
      <c r="B356" s="183" t="s">
        <v>407</v>
      </c>
      <c r="C356" s="184" t="s">
        <v>316</v>
      </c>
      <c r="D356" s="185" t="s">
        <v>7</v>
      </c>
      <c r="E356" s="186" t="s">
        <v>20</v>
      </c>
      <c r="F356" s="187" t="s">
        <v>33</v>
      </c>
      <c r="G356" s="185" t="s">
        <v>26</v>
      </c>
      <c r="H356" s="188" t="s">
        <v>21</v>
      </c>
      <c r="I356" s="189" t="s">
        <v>22</v>
      </c>
      <c r="J356" s="189" t="s">
        <v>23</v>
      </c>
      <c r="K356" s="189" t="s">
        <v>27</v>
      </c>
      <c r="L356" s="185" t="s">
        <v>32</v>
      </c>
      <c r="M356" s="189" t="s">
        <v>28</v>
      </c>
      <c r="N356" s="190" t="s">
        <v>30</v>
      </c>
      <c r="O356" s="185" t="s">
        <v>34</v>
      </c>
      <c r="P356" s="185" t="s">
        <v>25</v>
      </c>
      <c r="Q356" s="191" t="s">
        <v>31</v>
      </c>
      <c r="R356" s="192" t="s">
        <v>24</v>
      </c>
      <c r="S356" s="234" t="s">
        <v>1262</v>
      </c>
      <c r="T356" s="276" t="s">
        <v>1263</v>
      </c>
    </row>
    <row r="357" spans="2:20" x14ac:dyDescent="0.25">
      <c r="B357" s="130" t="str">
        <f>+MEZCAL!B6</f>
        <v xml:space="preserve"> 400 CONEJOS </v>
      </c>
      <c r="C357" s="130"/>
      <c r="D357" s="131">
        <f>+MEZCAL!I9</f>
        <v>221000</v>
      </c>
      <c r="E357" s="132">
        <f>+MEZCAL!I10</f>
        <v>390000</v>
      </c>
      <c r="F357" s="132">
        <f>+E357/1.08*0.08</f>
        <v>28888.888888888887</v>
      </c>
      <c r="G357" s="131">
        <f>+Tabla555727951527473113407[[#This Row],[VENTA]]-Tabla555727951527473113407[[#This Row],[ICO 8%]]</f>
        <v>361111.11111111112</v>
      </c>
      <c r="H357" s="133">
        <f>+Tabla555727951527473113407[[#This Row],[COSTO]]/Tabla555727951527473113407[[#This Row],[BASE]]</f>
        <v>0.61199999999999999</v>
      </c>
      <c r="I357" s="134">
        <f>+Tabla555727951527473113407[[#This Row],[BASE]]/Tabla555727951527473113407[[#This Row],[COSTO]]</f>
        <v>1.6339869281045751</v>
      </c>
      <c r="J357" s="135" t="e">
        <f>+VLOOKUP(Tabla555727951527473113407[[#This Row],[MEZCAL]],#REF!,2,0)</f>
        <v>#REF!</v>
      </c>
      <c r="K357" s="136">
        <f t="shared" ref="K357:K358" si="163">+D357/(100-75)*100</f>
        <v>884000</v>
      </c>
      <c r="L357" s="131">
        <f>+K357/1.08*0.08</f>
        <v>65481.481481481474</v>
      </c>
      <c r="M357" s="137">
        <f>+Tabla555727951527473113407[[#This Row],[PRECIO SUGERIDO]]+Tabla555727951527473113407[[#This Row],[ICO2]]</f>
        <v>949481.48148148146</v>
      </c>
      <c r="N357" s="141">
        <v>390000</v>
      </c>
      <c r="O357" s="132">
        <f>+N357/1.08*0.08</f>
        <v>28888.888888888887</v>
      </c>
      <c r="P357" s="139">
        <f t="shared" ref="P357" si="164">+N357-O357</f>
        <v>361111.11111111112</v>
      </c>
      <c r="Q357" s="133">
        <f t="shared" ref="Q357:Q358" si="165">+D357/P357</f>
        <v>0.61199999999999999</v>
      </c>
      <c r="R357" s="194">
        <f t="shared" ref="R357:R358" si="166">+P357/D357</f>
        <v>1.6339869281045751</v>
      </c>
      <c r="S357" s="308">
        <v>550000</v>
      </c>
      <c r="T357" s="272">
        <f t="shared" ref="T357:T360" si="167">+D357/S357</f>
        <v>0.4018181818181818</v>
      </c>
    </row>
    <row r="358" spans="2:20" x14ac:dyDescent="0.25">
      <c r="B358" s="143" t="e">
        <f>+MEZCAL!#REF!</f>
        <v>#REF!</v>
      </c>
      <c r="C358" s="143"/>
      <c r="D358" s="144" t="e">
        <f>+MEZCAL!#REF!</f>
        <v>#REF!</v>
      </c>
      <c r="E358" s="145" t="e">
        <f>+MEZCAL!#REF!</f>
        <v>#REF!</v>
      </c>
      <c r="F358" s="145" t="e">
        <f t="shared" ref="F358" si="168">+E358/1.08*0.08</f>
        <v>#REF!</v>
      </c>
      <c r="G358" s="144" t="e">
        <f>+Tabla555727951527473113407[[#This Row],[VENTA]]-Tabla555727951527473113407[[#This Row],[ICO 8%]]</f>
        <v>#REF!</v>
      </c>
      <c r="H358" s="146" t="e">
        <f>+Tabla555727951527473113407[[#This Row],[COSTO]]/Tabla555727951527473113407[[#This Row],[BASE]]</f>
        <v>#REF!</v>
      </c>
      <c r="I358" s="147" t="e">
        <f>+Tabla555727951527473113407[[#This Row],[BASE]]/Tabla555727951527473113407[[#This Row],[COSTO]]</f>
        <v>#REF!</v>
      </c>
      <c r="J358" s="148" t="e">
        <f>+VLOOKUP(Tabla555727951527473113407[[#This Row],[MEZCAL]],#REF!,2,0)</f>
        <v>#REF!</v>
      </c>
      <c r="K358" s="149" t="e">
        <f t="shared" si="163"/>
        <v>#REF!</v>
      </c>
      <c r="L358" s="144" t="e">
        <f t="shared" ref="L358" si="169">+K358/1.08*0.08</f>
        <v>#REF!</v>
      </c>
      <c r="M358" s="150" t="e">
        <f>+Tabla555727951527473113407[[#This Row],[PRECIO SUGERIDO]]+Tabla555727951527473113407[[#This Row],[ICO2]]</f>
        <v>#REF!</v>
      </c>
      <c r="N358" s="195">
        <v>40000</v>
      </c>
      <c r="O358" s="145">
        <f t="shared" ref="O358" si="170">+N358/1.08*0.08</f>
        <v>2962.962962962963</v>
      </c>
      <c r="P358" s="151">
        <f t="shared" ref="P358" si="171">+N358-O358</f>
        <v>37037.037037037036</v>
      </c>
      <c r="Q358" s="146" t="e">
        <f t="shared" si="165"/>
        <v>#REF!</v>
      </c>
      <c r="R358" s="196" t="e">
        <f t="shared" si="166"/>
        <v>#REF!</v>
      </c>
      <c r="S358" s="308">
        <v>65000</v>
      </c>
      <c r="T358" s="272" t="e">
        <f t="shared" si="167"/>
        <v>#REF!</v>
      </c>
    </row>
    <row r="359" spans="2:20" x14ac:dyDescent="0.25">
      <c r="B359" s="171" t="str">
        <f>+MEZCAL!B21</f>
        <v>MEZCAL UNION</v>
      </c>
      <c r="C359" s="171"/>
      <c r="D359" s="172">
        <f>+MEZCAL!I24</f>
        <v>156675</v>
      </c>
      <c r="E359" s="173"/>
      <c r="F359" s="173">
        <f>+E359/1.08*0.08</f>
        <v>0</v>
      </c>
      <c r="G359" s="172">
        <f>+Tabla555727951527473113407[[#This Row],[VENTA]]-Tabla555727951527473113407[[#This Row],[ICO 8%]]</f>
        <v>0</v>
      </c>
      <c r="H359" s="174" t="e">
        <f>+Tabla555727951527473113407[[#This Row],[COSTO]]/Tabla555727951527473113407[[#This Row],[BASE]]</f>
        <v>#DIV/0!</v>
      </c>
      <c r="I359" s="175">
        <f>+Tabla555727951527473113407[[#This Row],[BASE]]/Tabla555727951527473113407[[#This Row],[COSTO]]</f>
        <v>0</v>
      </c>
      <c r="J359" s="113" t="e">
        <f>+VLOOKUP(Tabla555727951527473113407[[#This Row],[MEZCAL]],#REF!,2,0)</f>
        <v>#REF!</v>
      </c>
      <c r="K359" s="176">
        <f>+D359/(100-75)*100</f>
        <v>626700</v>
      </c>
      <c r="L359" s="172">
        <f>+K359/1.08*0.08</f>
        <v>46422.222222222219</v>
      </c>
      <c r="M359" s="177">
        <f>+Tabla555727951527473113407[[#This Row],[PRECIO SUGERIDO]]+Tabla555727951527473113407[[#This Row],[ICO2]]</f>
        <v>673122.22222222225</v>
      </c>
      <c r="N359" s="268"/>
      <c r="O359" s="173">
        <f>+N359/1.08*0.08</f>
        <v>0</v>
      </c>
      <c r="P359" s="179">
        <f>+N359-O359</f>
        <v>0</v>
      </c>
      <c r="Q359" s="250" t="e">
        <f>+D359/P359</f>
        <v>#DIV/0!</v>
      </c>
      <c r="R359" s="180">
        <f>+P359/D359</f>
        <v>0</v>
      </c>
      <c r="S359" s="308">
        <v>390000</v>
      </c>
      <c r="T359" s="272">
        <f t="shared" si="167"/>
        <v>0.40173076923076922</v>
      </c>
    </row>
    <row r="360" spans="2:20" ht="13.8" thickBot="1" x14ac:dyDescent="0.3">
      <c r="B360" s="171" t="e">
        <f>+MEZCAL!#REF!</f>
        <v>#REF!</v>
      </c>
      <c r="C360" s="171"/>
      <c r="D360" s="172" t="e">
        <f>+MEZCAL!#REF!</f>
        <v>#REF!</v>
      </c>
      <c r="E360" s="173"/>
      <c r="F360" s="173">
        <f>+E360/1.08*0.08</f>
        <v>0</v>
      </c>
      <c r="G360" s="172">
        <f>+Tabla555727951527473113407[[#This Row],[VENTA]]-Tabla555727951527473113407[[#This Row],[ICO 8%]]</f>
        <v>0</v>
      </c>
      <c r="H360" s="174" t="e">
        <f>+Tabla555727951527473113407[[#This Row],[COSTO]]/Tabla555727951527473113407[[#This Row],[BASE]]</f>
        <v>#REF!</v>
      </c>
      <c r="I360" s="175" t="e">
        <f>+Tabla555727951527473113407[[#This Row],[BASE]]/Tabla555727951527473113407[[#This Row],[COSTO]]</f>
        <v>#REF!</v>
      </c>
      <c r="J360" s="113" t="e">
        <f>+VLOOKUP(Tabla555727951527473113407[[#This Row],[MEZCAL]],#REF!,2,0)</f>
        <v>#REF!</v>
      </c>
      <c r="K360" s="176" t="e">
        <f>+D360/(100-75)*100</f>
        <v>#REF!</v>
      </c>
      <c r="L360" s="172" t="e">
        <f>+K360/1.08*0.08</f>
        <v>#REF!</v>
      </c>
      <c r="M360" s="177" t="e">
        <f>+Tabla555727951527473113407[[#This Row],[PRECIO SUGERIDO]]+Tabla555727951527473113407[[#This Row],[ICO2]]</f>
        <v>#REF!</v>
      </c>
      <c r="N360" s="268"/>
      <c r="O360" s="173">
        <f>+N360/1.08*0.08</f>
        <v>0</v>
      </c>
      <c r="P360" s="179">
        <f>+N360-O360</f>
        <v>0</v>
      </c>
      <c r="Q360" s="250" t="e">
        <f>+D360/P360</f>
        <v>#REF!</v>
      </c>
      <c r="R360" s="180" t="e">
        <f>+P360/D360</f>
        <v>#REF!</v>
      </c>
      <c r="S360" s="308">
        <v>52000</v>
      </c>
      <c r="T360" s="272" t="e">
        <f t="shared" si="167"/>
        <v>#REF!</v>
      </c>
    </row>
    <row r="361" spans="2:20" ht="13.8" thickBot="1" x14ac:dyDescent="0.3">
      <c r="B361" s="153" t="s">
        <v>35</v>
      </c>
      <c r="C361" s="181"/>
      <c r="D361" s="155"/>
      <c r="E361" s="156"/>
      <c r="F361" s="156"/>
      <c r="G361" s="155"/>
      <c r="H361" s="158" t="e">
        <f>SUBTOTAL(101,Tabla555727951527473113407[%])</f>
        <v>#REF!</v>
      </c>
      <c r="I361" s="156"/>
      <c r="J361" s="156"/>
      <c r="K361" s="159"/>
      <c r="L361" s="155"/>
      <c r="M361" s="156"/>
      <c r="N361" s="160"/>
      <c r="O361" s="156"/>
      <c r="P361" s="155"/>
      <c r="Q361" s="161"/>
      <c r="R361" s="162" t="e">
        <f>SUBTOTAL(109,Tabla555727951527473113407[RATION])</f>
        <v>#REF!</v>
      </c>
      <c r="S361" s="232"/>
      <c r="T361" s="275"/>
    </row>
    <row r="364" spans="2:20" x14ac:dyDescent="0.25">
      <c r="E364" s="117" t="s">
        <v>25</v>
      </c>
      <c r="F364" s="114"/>
      <c r="G364" s="118"/>
      <c r="H364" s="114"/>
      <c r="I364" s="114"/>
      <c r="J364" s="70"/>
      <c r="K364" s="396" t="s">
        <v>29</v>
      </c>
      <c r="L364" s="396"/>
      <c r="M364" s="396"/>
      <c r="N364" s="395" t="s">
        <v>1090</v>
      </c>
      <c r="O364" s="395"/>
      <c r="P364" s="395"/>
      <c r="Q364" s="395"/>
    </row>
    <row r="365" spans="2:20" x14ac:dyDescent="0.25">
      <c r="B365" s="183" t="s">
        <v>417</v>
      </c>
      <c r="C365" s="184" t="s">
        <v>316</v>
      </c>
      <c r="D365" s="185" t="s">
        <v>7</v>
      </c>
      <c r="E365" s="186" t="s">
        <v>20</v>
      </c>
      <c r="F365" s="187" t="s">
        <v>33</v>
      </c>
      <c r="G365" s="185" t="s">
        <v>26</v>
      </c>
      <c r="H365" s="188" t="s">
        <v>21</v>
      </c>
      <c r="I365" s="189" t="s">
        <v>22</v>
      </c>
      <c r="J365" s="189" t="s">
        <v>23</v>
      </c>
      <c r="K365" s="189" t="s">
        <v>27</v>
      </c>
      <c r="L365" s="185" t="s">
        <v>32</v>
      </c>
      <c r="M365" s="189" t="s">
        <v>28</v>
      </c>
      <c r="N365" s="190" t="s">
        <v>30</v>
      </c>
      <c r="O365" s="185" t="s">
        <v>34</v>
      </c>
      <c r="P365" s="185" t="s">
        <v>25</v>
      </c>
      <c r="Q365" s="191" t="s">
        <v>31</v>
      </c>
      <c r="R365" s="192" t="s">
        <v>24</v>
      </c>
      <c r="S365" s="234" t="s">
        <v>1262</v>
      </c>
      <c r="T365" s="276" t="s">
        <v>1263</v>
      </c>
    </row>
    <row r="366" spans="2:20" x14ac:dyDescent="0.25">
      <c r="B366" s="130" t="str">
        <f>+CERVEZAS!B6</f>
        <v>CLUB COLOMBIA DORADA</v>
      </c>
      <c r="C366" s="130"/>
      <c r="D366" s="131">
        <f>+CERVEZAS!I9</f>
        <v>2965.8</v>
      </c>
      <c r="E366" s="132">
        <f>+CERVEZAS!I10</f>
        <v>12000</v>
      </c>
      <c r="F366" s="132">
        <f t="shared" ref="F366:F371" si="172">+E366/1.08*0.08</f>
        <v>888.8888888888888</v>
      </c>
      <c r="G366" s="131">
        <f>+Tabla555727951527473113408[[#This Row],[VENTA]]-Tabla555727951527473113408[[#This Row],[ICO 8%]]</f>
        <v>11111.111111111111</v>
      </c>
      <c r="H366" s="133">
        <f>+Tabla555727951527473113408[[#This Row],[COSTO]]/Tabla555727951527473113408[[#This Row],[BASE]]</f>
        <v>0.26692199999999999</v>
      </c>
      <c r="I366" s="134">
        <f>+Tabla555727951527473113408[[#This Row],[BASE]]/Tabla555727951527473113408[[#This Row],[COSTO]]</f>
        <v>3.7464128097346787</v>
      </c>
      <c r="J366" s="135" t="e">
        <f>+VLOOKUP(Tabla555727951527473113408[[#This Row],[CERVEZA ]],#REF!,2,0)</f>
        <v>#REF!</v>
      </c>
      <c r="K366" s="136">
        <f t="shared" ref="K366:K371" si="173">+D366/(100-75)*100</f>
        <v>11863.2</v>
      </c>
      <c r="L366" s="131">
        <f t="shared" ref="L366:L371" si="174">+K366/1.08*0.08</f>
        <v>878.75555555555559</v>
      </c>
      <c r="M366" s="137">
        <f>+Tabla555727951527473113408[[#This Row],[PRECIO SUGERIDO]]+Tabla555727951527473113408[[#This Row],[ICO2]]</f>
        <v>12741.955555555556</v>
      </c>
      <c r="N366" s="138">
        <v>11000</v>
      </c>
      <c r="O366" s="132">
        <f t="shared" ref="O366:O371" si="175">+N366/1.08*0.08</f>
        <v>814.81481481481478</v>
      </c>
      <c r="P366" s="139">
        <f t="shared" ref="P366:P371" si="176">+N366-O366</f>
        <v>10185.185185185186</v>
      </c>
      <c r="Q366" s="133">
        <f t="shared" ref="Q366:Q371" si="177">+D366/P366</f>
        <v>0.29118763636363637</v>
      </c>
      <c r="R366" s="194">
        <f t="shared" ref="R366:R371" si="178">+P366/D366</f>
        <v>3.4342117422567893</v>
      </c>
      <c r="S366" s="244">
        <v>14000</v>
      </c>
      <c r="T366" s="272">
        <f t="shared" ref="T366:T371" si="179">+D366/S366</f>
        <v>0.21184285714285717</v>
      </c>
    </row>
    <row r="367" spans="2:20" x14ac:dyDescent="0.25">
      <c r="B367" s="130" t="str">
        <f>+CERVEZAS!B65</f>
        <v>CERVEZA STELLA ARTOIS</v>
      </c>
      <c r="C367" s="130" t="s">
        <v>526</v>
      </c>
      <c r="D367" s="131">
        <f>+CERVEZAS!I68</f>
        <v>3566.6666666699998</v>
      </c>
      <c r="E367" s="132">
        <f>+CERVEZAS!I69</f>
        <v>15000</v>
      </c>
      <c r="F367" s="132">
        <f t="shared" si="172"/>
        <v>1111.1111111111111</v>
      </c>
      <c r="G367" s="131">
        <f>+Tabla555727951527473113408[[#This Row],[VENTA]]-Tabla555727951527473113408[[#This Row],[ICO 8%]]</f>
        <v>13888.888888888889</v>
      </c>
      <c r="H367" s="133">
        <f>+Tabla555727951527473113408[[#This Row],[COSTO]]/Tabla555727951527473113408[[#This Row],[BASE]]</f>
        <v>0.25680000000024</v>
      </c>
      <c r="I367" s="134">
        <f>+Tabla555727951527473113408[[#This Row],[BASE]]/Tabla555727951527473113408[[#This Row],[COSTO]]</f>
        <v>3.8940809968810961</v>
      </c>
      <c r="J367" s="135" t="e">
        <f>+VLOOKUP(Tabla555727951527473113408[[#This Row],[CERVEZA ]],#REF!,2,0)</f>
        <v>#REF!</v>
      </c>
      <c r="K367" s="136">
        <f t="shared" si="173"/>
        <v>14266.666666679997</v>
      </c>
      <c r="L367" s="131">
        <f t="shared" si="174"/>
        <v>1056.7901234577776</v>
      </c>
      <c r="M367" s="137">
        <f>+Tabla555727951527473113408[[#This Row],[PRECIO SUGERIDO]]+Tabla555727951527473113408[[#This Row],[ICO2]]</f>
        <v>15323.456790137774</v>
      </c>
      <c r="N367" s="138">
        <v>15000</v>
      </c>
      <c r="O367" s="132">
        <f t="shared" si="175"/>
        <v>1111.1111111111111</v>
      </c>
      <c r="P367" s="139">
        <f t="shared" si="176"/>
        <v>13888.888888888889</v>
      </c>
      <c r="Q367" s="133">
        <f t="shared" si="177"/>
        <v>0.25680000000024</v>
      </c>
      <c r="R367" s="194">
        <f t="shared" si="178"/>
        <v>3.8940809968810961</v>
      </c>
      <c r="S367" s="244">
        <v>17000</v>
      </c>
      <c r="T367" s="272">
        <f t="shared" si="179"/>
        <v>0.20980392156882352</v>
      </c>
    </row>
    <row r="368" spans="2:20" x14ac:dyDescent="0.25">
      <c r="B368" s="130" t="str">
        <f>+CERVEZAS!B42</f>
        <v>AGUILA</v>
      </c>
      <c r="C368" s="130"/>
      <c r="D368" s="131">
        <f>+CERVEZAS!I45</f>
        <v>2183.46666667</v>
      </c>
      <c r="E368" s="132">
        <f>+CERVEZAS!I46</f>
        <v>12000</v>
      </c>
      <c r="F368" s="132">
        <f t="shared" si="172"/>
        <v>888.8888888888888</v>
      </c>
      <c r="G368" s="131">
        <f>+Tabla555727951527473113408[[#This Row],[VENTA]]-Tabla555727951527473113408[[#This Row],[ICO 8%]]</f>
        <v>11111.111111111111</v>
      </c>
      <c r="H368" s="133">
        <f>+Tabla555727951527473113408[[#This Row],[COSTO]]/Tabla555727951527473113408[[#This Row],[BASE]]</f>
        <v>0.1965120000003</v>
      </c>
      <c r="I368" s="134">
        <f>+Tabla555727951527473113408[[#This Row],[BASE]]/Tabla555727951527473113408[[#This Row],[COSTO]]</f>
        <v>5.0887477609432166</v>
      </c>
      <c r="J368" s="135" t="e">
        <f>+VLOOKUP(Tabla555727951527473113408[[#This Row],[CERVEZA ]],#REF!,2,0)</f>
        <v>#REF!</v>
      </c>
      <c r="K368" s="136">
        <f t="shared" si="173"/>
        <v>8733.86666668</v>
      </c>
      <c r="L368" s="131">
        <f t="shared" si="174"/>
        <v>646.95308642074076</v>
      </c>
      <c r="M368" s="137">
        <f>+Tabla555727951527473113408[[#This Row],[PRECIO SUGERIDO]]+Tabla555727951527473113408[[#This Row],[ICO2]]</f>
        <v>9380.8197531007409</v>
      </c>
      <c r="N368" s="138">
        <v>11000</v>
      </c>
      <c r="O368" s="132">
        <f t="shared" si="175"/>
        <v>814.81481481481478</v>
      </c>
      <c r="P368" s="139">
        <f t="shared" si="176"/>
        <v>10185.185185185186</v>
      </c>
      <c r="Q368" s="133">
        <f t="shared" si="177"/>
        <v>0.21437672727305451</v>
      </c>
      <c r="R368" s="194">
        <f t="shared" si="178"/>
        <v>4.6646854475312827</v>
      </c>
      <c r="S368" s="244">
        <v>12000</v>
      </c>
      <c r="T368" s="272">
        <f t="shared" si="179"/>
        <v>0.18195555555583334</v>
      </c>
    </row>
    <row r="369" spans="1:22" x14ac:dyDescent="0.25">
      <c r="B369" s="130" t="str">
        <f>+CERVEZAS!B53</f>
        <v>AGUILA LIGHT</v>
      </c>
      <c r="C369" s="130"/>
      <c r="D369" s="131">
        <f>+CERVEZAS!I56</f>
        <v>2335.4</v>
      </c>
      <c r="E369" s="132">
        <f>+CERVEZAS!I57</f>
        <v>12000</v>
      </c>
      <c r="F369" s="132">
        <f t="shared" si="172"/>
        <v>888.8888888888888</v>
      </c>
      <c r="G369" s="131">
        <f>+Tabla555727951527473113408[[#This Row],[VENTA]]-Tabla555727951527473113408[[#This Row],[ICO 8%]]</f>
        <v>11111.111111111111</v>
      </c>
      <c r="H369" s="133">
        <f>+Tabla555727951527473113408[[#This Row],[COSTO]]/Tabla555727951527473113408[[#This Row],[BASE]]</f>
        <v>0.21018600000000001</v>
      </c>
      <c r="I369" s="134">
        <f>+Tabla555727951527473113408[[#This Row],[BASE]]/Tabla555727951527473113408[[#This Row],[COSTO]]</f>
        <v>4.7576908071898218</v>
      </c>
      <c r="J369" s="135" t="e">
        <f>+VLOOKUP(Tabla555727951527473113408[[#This Row],[CERVEZA ]],#REF!,2,0)</f>
        <v>#REF!</v>
      </c>
      <c r="K369" s="136">
        <f t="shared" si="173"/>
        <v>9341.6</v>
      </c>
      <c r="L369" s="131">
        <f t="shared" si="174"/>
        <v>691.97037037037035</v>
      </c>
      <c r="M369" s="137">
        <f>+Tabla555727951527473113408[[#This Row],[PRECIO SUGERIDO]]+Tabla555727951527473113408[[#This Row],[ICO2]]</f>
        <v>10033.570370370371</v>
      </c>
      <c r="N369" s="138">
        <v>11000</v>
      </c>
      <c r="O369" s="132">
        <f t="shared" si="175"/>
        <v>814.81481481481478</v>
      </c>
      <c r="P369" s="139">
        <f t="shared" si="176"/>
        <v>10185.185185185186</v>
      </c>
      <c r="Q369" s="133">
        <f t="shared" si="177"/>
        <v>0.22929381818181818</v>
      </c>
      <c r="R369" s="194">
        <f t="shared" si="178"/>
        <v>4.3612165732573374</v>
      </c>
      <c r="S369" s="244">
        <v>12000</v>
      </c>
      <c r="T369" s="272">
        <f t="shared" si="179"/>
        <v>0.19461666666666669</v>
      </c>
    </row>
    <row r="370" spans="1:22" x14ac:dyDescent="0.25">
      <c r="B370" s="130" t="str">
        <f>+CERVEZAS!B77</f>
        <v>CORONA</v>
      </c>
      <c r="C370" s="130" t="s">
        <v>527</v>
      </c>
      <c r="D370" s="131">
        <f>+CERVEZAS!I80</f>
        <v>3736.1666666699998</v>
      </c>
      <c r="E370" s="132">
        <f>+CERVEZAS!I81</f>
        <v>15000</v>
      </c>
      <c r="F370" s="132">
        <f t="shared" si="172"/>
        <v>1111.1111111111111</v>
      </c>
      <c r="G370" s="131">
        <f>+Tabla555727951527473113408[[#This Row],[VENTA]]-Tabla555727951527473113408[[#This Row],[ICO 8%]]</f>
        <v>13888.888888888889</v>
      </c>
      <c r="H370" s="133">
        <f>+Tabla555727951527473113408[[#This Row],[COSTO]]/Tabla555727951527473113408[[#This Row],[BASE]]</f>
        <v>0.26900400000024</v>
      </c>
      <c r="I370" s="134">
        <f>+Tabla555727951527473113408[[#This Row],[BASE]]/Tabla555727951527473113408[[#This Row],[COSTO]]</f>
        <v>3.7174168413819419</v>
      </c>
      <c r="J370" s="135" t="e">
        <f>+VLOOKUP(Tabla555727951527473113408[[#This Row],[CERVEZA ]],#REF!,2,0)</f>
        <v>#REF!</v>
      </c>
      <c r="K370" s="136">
        <f t="shared" si="173"/>
        <v>14944.666666679999</v>
      </c>
      <c r="L370" s="131">
        <f t="shared" si="174"/>
        <v>1107.01234568</v>
      </c>
      <c r="M370" s="137">
        <f>+Tabla555727951527473113408[[#This Row],[PRECIO SUGERIDO]]+Tabla555727951527473113408[[#This Row],[ICO2]]</f>
        <v>16051.679012359999</v>
      </c>
      <c r="N370" s="138">
        <v>16000</v>
      </c>
      <c r="O370" s="132">
        <f t="shared" si="175"/>
        <v>1185.1851851851852</v>
      </c>
      <c r="P370" s="139">
        <f t="shared" si="176"/>
        <v>14814.814814814814</v>
      </c>
      <c r="Q370" s="133">
        <f t="shared" si="177"/>
        <v>0.25219125000022502</v>
      </c>
      <c r="R370" s="194">
        <f t="shared" si="178"/>
        <v>3.9652446308074043</v>
      </c>
      <c r="S370" s="244">
        <v>17000</v>
      </c>
      <c r="T370" s="272">
        <f t="shared" si="179"/>
        <v>0.21977450980411764</v>
      </c>
    </row>
    <row r="371" spans="1:22" ht="13.8" thickBot="1" x14ac:dyDescent="0.3">
      <c r="B371" s="130" t="str">
        <f>+CERVEZAS!B18</f>
        <v>CLUB COLOMBIA ROJA</v>
      </c>
      <c r="C371" s="130"/>
      <c r="D371" s="131">
        <f>+CERVEZAS!I21</f>
        <v>2965.8</v>
      </c>
      <c r="E371" s="132">
        <f>+CERVEZAS!I22</f>
        <v>12000</v>
      </c>
      <c r="F371" s="132">
        <f t="shared" si="172"/>
        <v>888.8888888888888</v>
      </c>
      <c r="G371" s="131">
        <f>+Tabla555727951527473113408[[#This Row],[VENTA]]-Tabla555727951527473113408[[#This Row],[ICO 8%]]</f>
        <v>11111.111111111111</v>
      </c>
      <c r="H371" s="133">
        <f>+Tabla555727951527473113408[[#This Row],[COSTO]]/Tabla555727951527473113408[[#This Row],[BASE]]</f>
        <v>0.26692199999999999</v>
      </c>
      <c r="I371" s="134">
        <f>+Tabla555727951527473113408[[#This Row],[BASE]]/Tabla555727951527473113408[[#This Row],[COSTO]]</f>
        <v>3.7464128097346787</v>
      </c>
      <c r="J371" s="135" t="e">
        <f>+VLOOKUP(Tabla555727951527473113408[[#This Row],[CERVEZA ]],#REF!,2,0)</f>
        <v>#REF!</v>
      </c>
      <c r="K371" s="136">
        <f t="shared" si="173"/>
        <v>11863.2</v>
      </c>
      <c r="L371" s="131">
        <f t="shared" si="174"/>
        <v>878.75555555555559</v>
      </c>
      <c r="M371" s="137">
        <f>+Tabla555727951527473113408[[#This Row],[PRECIO SUGERIDO]]+Tabla555727951527473113408[[#This Row],[ICO2]]</f>
        <v>12741.955555555556</v>
      </c>
      <c r="N371" s="138">
        <v>11000</v>
      </c>
      <c r="O371" s="132">
        <f t="shared" si="175"/>
        <v>814.81481481481478</v>
      </c>
      <c r="P371" s="139">
        <f t="shared" si="176"/>
        <v>10185.185185185186</v>
      </c>
      <c r="Q371" s="133">
        <f t="shared" si="177"/>
        <v>0.29118763636363637</v>
      </c>
      <c r="R371" s="194">
        <f t="shared" si="178"/>
        <v>3.4342117422567893</v>
      </c>
      <c r="S371" s="244">
        <v>14000</v>
      </c>
      <c r="T371" s="272">
        <f t="shared" si="179"/>
        <v>0.21184285714285717</v>
      </c>
    </row>
    <row r="372" spans="1:22" ht="13.8" thickBot="1" x14ac:dyDescent="0.3">
      <c r="B372" s="153" t="s">
        <v>35</v>
      </c>
      <c r="C372" s="181"/>
      <c r="D372" s="155"/>
      <c r="E372" s="156"/>
      <c r="F372" s="156"/>
      <c r="G372" s="155"/>
      <c r="H372" s="158">
        <f>SUBTOTAL(101,Tabla555727951527473113408[%])</f>
        <v>0.24439100000013</v>
      </c>
      <c r="I372" s="156"/>
      <c r="J372" s="156"/>
      <c r="K372" s="159"/>
      <c r="L372" s="155"/>
      <c r="M372" s="156"/>
      <c r="N372" s="160"/>
      <c r="O372" s="156"/>
      <c r="P372" s="155"/>
      <c r="Q372" s="161"/>
      <c r="R372" s="162">
        <f>SUBTOTAL(109,Tabla555727951527473113408[RATION])</f>
        <v>23.753651132990701</v>
      </c>
      <c r="S372" s="232"/>
      <c r="T372" s="275"/>
    </row>
    <row r="374" spans="1:22" x14ac:dyDescent="0.25">
      <c r="J374" s="70"/>
    </row>
    <row r="375" spans="1:22" x14ac:dyDescent="0.25">
      <c r="E375" s="117" t="s">
        <v>25</v>
      </c>
      <c r="F375" s="114"/>
      <c r="G375" s="118"/>
      <c r="H375" s="114"/>
      <c r="I375" s="114"/>
      <c r="J375" s="70"/>
      <c r="K375" s="396" t="s">
        <v>29</v>
      </c>
      <c r="L375" s="396"/>
      <c r="M375" s="396"/>
      <c r="N375" s="395" t="s">
        <v>1090</v>
      </c>
      <c r="O375" s="395"/>
      <c r="P375" s="395"/>
      <c r="Q375" s="395"/>
    </row>
    <row r="376" spans="1:22" x14ac:dyDescent="0.25">
      <c r="A376" s="206"/>
      <c r="B376" s="207" t="s">
        <v>884</v>
      </c>
      <c r="C376" s="208" t="s">
        <v>316</v>
      </c>
      <c r="D376" s="209" t="s">
        <v>7</v>
      </c>
      <c r="E376" s="210" t="s">
        <v>20</v>
      </c>
      <c r="F376" s="211" t="s">
        <v>33</v>
      </c>
      <c r="G376" s="212" t="s">
        <v>26</v>
      </c>
      <c r="H376" s="213" t="s">
        <v>21</v>
      </c>
      <c r="I376" s="214" t="s">
        <v>22</v>
      </c>
      <c r="J376" s="189" t="s">
        <v>23</v>
      </c>
      <c r="K376" s="214" t="s">
        <v>27</v>
      </c>
      <c r="L376" s="209" t="s">
        <v>32</v>
      </c>
      <c r="M376" s="214" t="s">
        <v>28</v>
      </c>
      <c r="N376" s="215" t="s">
        <v>30</v>
      </c>
      <c r="O376" s="209" t="s">
        <v>34</v>
      </c>
      <c r="P376" s="209" t="s">
        <v>25</v>
      </c>
      <c r="Q376" s="216" t="s">
        <v>31</v>
      </c>
      <c r="R376" s="217" t="s">
        <v>24</v>
      </c>
      <c r="S376" s="234" t="s">
        <v>1262</v>
      </c>
      <c r="T376" s="276" t="s">
        <v>1263</v>
      </c>
    </row>
    <row r="377" spans="1:22" x14ac:dyDescent="0.25">
      <c r="A377" s="113">
        <v>1</v>
      </c>
      <c r="B377" s="130" t="str">
        <f>+'VINO TINTO'!B161</f>
        <v>COPA FINCA LAS MORAS MALBEC</v>
      </c>
      <c r="C377" s="130"/>
      <c r="D377" s="131">
        <f>+'VINO TINTO'!I164</f>
        <v>11443.95</v>
      </c>
      <c r="E377" s="132">
        <f>+'VINO TINTO'!I165</f>
        <v>27000</v>
      </c>
      <c r="F377" s="132">
        <f t="shared" ref="F377:F386" si="180">+E377/1.08*0.08</f>
        <v>2000</v>
      </c>
      <c r="G377" s="131">
        <f>+Tabla555727951527473113409[[#This Row],[VENTA]]-Tabla555727951527473113409[[#This Row],[ICO 8%]]</f>
        <v>25000</v>
      </c>
      <c r="H377" s="133">
        <f>+Tabla555727951527473113409[[#This Row],[COSTO]]/Tabla555727951527473113409[[#This Row],[BASE]]</f>
        <v>0.45775800000000005</v>
      </c>
      <c r="I377" s="134">
        <f>+Tabla555727951527473113409[[#This Row],[BASE]]/Tabla555727951527473113409[[#This Row],[COSTO]]</f>
        <v>2.1845604009105246</v>
      </c>
      <c r="J377" s="135" t="e">
        <f>+VLOOKUP(Tabla555727951527473113409[[#This Row],[VINO TINTO]],#REF!,2,0)</f>
        <v>#REF!</v>
      </c>
      <c r="K377" s="136">
        <f t="shared" ref="K377:K386" si="181">+D377/(100-75)*100</f>
        <v>45775.8</v>
      </c>
      <c r="L377" s="131">
        <f t="shared" ref="L377:L386" si="182">+K377/1.08*0.08</f>
        <v>3390.8</v>
      </c>
      <c r="M377" s="137">
        <f>+Tabla555727951527473113409[[#This Row],[PRECIO SUGERIDO]]+Tabla555727951527473113409[[#This Row],[ICO2]]</f>
        <v>49166.600000000006</v>
      </c>
      <c r="N377" s="311">
        <f>+Tabla555727951527473113409[[#This Row],[VENTA]]</f>
        <v>27000</v>
      </c>
      <c r="O377" s="132">
        <f t="shared" ref="O377:O386" si="183">+N377/1.08*0.08</f>
        <v>2000</v>
      </c>
      <c r="P377" s="131">
        <f t="shared" ref="P377:P386" si="184">+N377-O377</f>
        <v>25000</v>
      </c>
      <c r="Q377" s="133">
        <f t="shared" ref="Q377:Q386" si="185">+D377/P377</f>
        <v>0.45775800000000005</v>
      </c>
      <c r="R377" s="194">
        <f t="shared" ref="R377:R386" si="186">+P377/D377</f>
        <v>2.1845604009105246</v>
      </c>
      <c r="S377" s="70">
        <v>33000</v>
      </c>
      <c r="T377" s="272">
        <f t="shared" ref="T377:T386" si="187">+D377/S377</f>
        <v>0.34678636363636367</v>
      </c>
    </row>
    <row r="378" spans="1:22" x14ac:dyDescent="0.25">
      <c r="A378" s="113">
        <v>2</v>
      </c>
      <c r="B378" s="130" t="str">
        <f>+'VINO TINTO'!B7</f>
        <v>FINCA LAS MORAS BLACK LABEL MALBEC</v>
      </c>
      <c r="C378" s="130"/>
      <c r="D378" s="131">
        <f>+'VINO TINTO'!I10</f>
        <v>108000</v>
      </c>
      <c r="E378" s="132">
        <f>+'VINO TINTO'!I11</f>
        <v>210000</v>
      </c>
      <c r="F378" s="132">
        <f t="shared" si="180"/>
        <v>15555.555555555555</v>
      </c>
      <c r="G378" s="131">
        <f>+Tabla555727951527473113409[[#This Row],[VENTA]]-Tabla555727951527473113409[[#This Row],[ICO 8%]]</f>
        <v>194444.44444444444</v>
      </c>
      <c r="H378" s="133">
        <f>+Tabla555727951527473113409[[#This Row],[COSTO]]/Tabla555727951527473113409[[#This Row],[BASE]]</f>
        <v>0.55542857142857149</v>
      </c>
      <c r="I378" s="134">
        <f>+Tabla555727951527473113409[[#This Row],[BASE]]/Tabla555727951527473113409[[#This Row],[COSTO]]</f>
        <v>1.8004115226337447</v>
      </c>
      <c r="J378" s="135" t="e">
        <f>+VLOOKUP(Tabla555727951527473113409[[#This Row],[VINO TINTO]],#REF!,2,0)</f>
        <v>#REF!</v>
      </c>
      <c r="K378" s="136">
        <f t="shared" si="181"/>
        <v>432000</v>
      </c>
      <c r="L378" s="131">
        <f t="shared" si="182"/>
        <v>32000</v>
      </c>
      <c r="M378" s="137">
        <f>+Tabla555727951527473113409[[#This Row],[PRECIO SUGERIDO]]+Tabla555727951527473113409[[#This Row],[ICO2]]</f>
        <v>464000</v>
      </c>
      <c r="N378" s="310">
        <v>210000</v>
      </c>
      <c r="O378" s="132">
        <f t="shared" si="183"/>
        <v>15555.555555555555</v>
      </c>
      <c r="P378" s="131">
        <f t="shared" si="184"/>
        <v>194444.44444444444</v>
      </c>
      <c r="Q378" s="133">
        <f t="shared" si="185"/>
        <v>0.55542857142857149</v>
      </c>
      <c r="R378" s="194">
        <f t="shared" si="186"/>
        <v>1.8004115226337447</v>
      </c>
      <c r="S378" s="70">
        <v>280000</v>
      </c>
      <c r="T378" s="272">
        <f t="shared" si="187"/>
        <v>0.38571428571428573</v>
      </c>
    </row>
    <row r="379" spans="1:22" x14ac:dyDescent="0.25">
      <c r="A379" s="113">
        <v>3</v>
      </c>
      <c r="B379" s="130" t="str">
        <f>+'VINO TINTO'!B19</f>
        <v>FINCA LAS MORAS CABERNET SAUUVIGNON</v>
      </c>
      <c r="C379" s="130"/>
      <c r="D379" s="131">
        <f>+'VINO TINTO'!I22</f>
        <v>54495</v>
      </c>
      <c r="E379" s="132">
        <f>+'VINO TINTO'!I23</f>
        <v>110000</v>
      </c>
      <c r="F379" s="132">
        <f t="shared" si="180"/>
        <v>8148.1481481481469</v>
      </c>
      <c r="G379" s="131">
        <f>+Tabla555727951527473113409[[#This Row],[VENTA]]-Tabla555727951527473113409[[#This Row],[ICO 8%]]</f>
        <v>101851.85185185185</v>
      </c>
      <c r="H379" s="133">
        <f>+Tabla555727951527473113409[[#This Row],[COSTO]]/Tabla555727951527473113409[[#This Row],[BASE]]</f>
        <v>0.53504181818181817</v>
      </c>
      <c r="I379" s="134">
        <f>+Tabla555727951527473113409[[#This Row],[BASE]]/Tabla555727951527473113409[[#This Row],[COSTO]]</f>
        <v>1.8690127874456712</v>
      </c>
      <c r="J379" s="135" t="e">
        <f>+VLOOKUP(Tabla555727951527473113409[[#This Row],[VINO TINTO]],#REF!,2,0)</f>
        <v>#REF!</v>
      </c>
      <c r="K379" s="136">
        <f t="shared" si="181"/>
        <v>217980.00000000003</v>
      </c>
      <c r="L379" s="131">
        <f t="shared" si="182"/>
        <v>16146.666666666668</v>
      </c>
      <c r="M379" s="137">
        <f>+Tabla555727951527473113409[[#This Row],[PRECIO SUGERIDO]]+Tabla555727951527473113409[[#This Row],[ICO2]]</f>
        <v>234126.66666666669</v>
      </c>
      <c r="N379" s="311">
        <v>110000</v>
      </c>
      <c r="O379" s="132">
        <f t="shared" si="183"/>
        <v>8148.1481481481469</v>
      </c>
      <c r="P379" s="131">
        <f t="shared" si="184"/>
        <v>101851.85185185185</v>
      </c>
      <c r="Q379" s="133">
        <f t="shared" si="185"/>
        <v>0.53504181818181817</v>
      </c>
      <c r="R379" s="194">
        <f t="shared" si="186"/>
        <v>1.8690127874456712</v>
      </c>
      <c r="S379" s="70">
        <v>150000</v>
      </c>
      <c r="T379" s="272">
        <f t="shared" si="187"/>
        <v>0.36330000000000001</v>
      </c>
    </row>
    <row r="380" spans="1:22" x14ac:dyDescent="0.25">
      <c r="A380" s="113">
        <v>4</v>
      </c>
      <c r="B380" s="130" t="str">
        <f>+'VINO TINTO'!B30</f>
        <v>FINCA LAS MORAS MALBEC</v>
      </c>
      <c r="C380" s="130"/>
      <c r="D380" s="131">
        <f>+'VINO TINTO'!I33</f>
        <v>54495</v>
      </c>
      <c r="E380" s="132">
        <f>+'VINO TINTO'!I34</f>
        <v>110000</v>
      </c>
      <c r="F380" s="132">
        <f t="shared" si="180"/>
        <v>8148.1481481481469</v>
      </c>
      <c r="G380" s="131">
        <f>+Tabla555727951527473113409[[#This Row],[VENTA]]-Tabla555727951527473113409[[#This Row],[ICO 8%]]</f>
        <v>101851.85185185185</v>
      </c>
      <c r="H380" s="133">
        <f>+Tabla555727951527473113409[[#This Row],[COSTO]]/Tabla555727951527473113409[[#This Row],[BASE]]</f>
        <v>0.53504181818181817</v>
      </c>
      <c r="I380" s="134">
        <f>+Tabla555727951527473113409[[#This Row],[BASE]]/Tabla555727951527473113409[[#This Row],[COSTO]]</f>
        <v>1.8690127874456712</v>
      </c>
      <c r="J380" s="135" t="e">
        <f>+VLOOKUP(Tabla555727951527473113409[[#This Row],[VINO TINTO]],#REF!,2,0)</f>
        <v>#REF!</v>
      </c>
      <c r="K380" s="136">
        <f t="shared" si="181"/>
        <v>217980.00000000003</v>
      </c>
      <c r="L380" s="131">
        <f t="shared" si="182"/>
        <v>16146.666666666668</v>
      </c>
      <c r="M380" s="137">
        <f>+Tabla555727951527473113409[[#This Row],[PRECIO SUGERIDO]]+Tabla555727951527473113409[[#This Row],[ICO2]]</f>
        <v>234126.66666666669</v>
      </c>
      <c r="N380" s="311">
        <f>+Tabla555727951527473113409[[#This Row],[VENTA]]</f>
        <v>110000</v>
      </c>
      <c r="O380" s="132">
        <f t="shared" si="183"/>
        <v>8148.1481481481469</v>
      </c>
      <c r="P380" s="131">
        <f t="shared" si="184"/>
        <v>101851.85185185185</v>
      </c>
      <c r="Q380" s="133">
        <f t="shared" si="185"/>
        <v>0.53504181818181817</v>
      </c>
      <c r="R380" s="194">
        <f t="shared" si="186"/>
        <v>1.8690127874456712</v>
      </c>
      <c r="S380" s="70">
        <v>150000</v>
      </c>
      <c r="T380" s="272">
        <f t="shared" si="187"/>
        <v>0.36330000000000001</v>
      </c>
    </row>
    <row r="381" spans="1:22" x14ac:dyDescent="0.25">
      <c r="A381" s="113">
        <v>7</v>
      </c>
      <c r="B381" s="306" t="str">
        <f>+'VINO TINTO'!B52</f>
        <v>RIOJA DE BORDON RESERVA TEMPRANILLO GARNACHA D.O.C</v>
      </c>
      <c r="C381" s="130"/>
      <c r="D381" s="131">
        <f>+'VINO TINTO'!I55</f>
        <v>0</v>
      </c>
      <c r="E381" s="132">
        <f>+'VINO TINTO'!I56</f>
        <v>263000</v>
      </c>
      <c r="F381" s="132">
        <f t="shared" si="180"/>
        <v>19481.481481481482</v>
      </c>
      <c r="G381" s="131">
        <f>+Tabla555727951527473113409[[#This Row],[VENTA]]-Tabla555727951527473113409[[#This Row],[ICO 8%]]</f>
        <v>243518.51851851851</v>
      </c>
      <c r="H381" s="133">
        <f>+Tabla555727951527473113409[[#This Row],[COSTO]]/Tabla555727951527473113409[[#This Row],[BASE]]</f>
        <v>0</v>
      </c>
      <c r="I381" s="134" t="e">
        <f>+Tabla555727951527473113409[[#This Row],[BASE]]/Tabla555727951527473113409[[#This Row],[COSTO]]</f>
        <v>#DIV/0!</v>
      </c>
      <c r="J381" s="135" t="e">
        <f>+VLOOKUP(Tabla555727951527473113409[[#This Row],[VINO TINTO]],#REF!,2,0)</f>
        <v>#REF!</v>
      </c>
      <c r="K381" s="136">
        <f t="shared" si="181"/>
        <v>0</v>
      </c>
      <c r="L381" s="131">
        <f t="shared" si="182"/>
        <v>0</v>
      </c>
      <c r="M381" s="137">
        <f>+Tabla555727951527473113409[[#This Row],[PRECIO SUGERIDO]]+Tabla555727951527473113409[[#This Row],[ICO2]]</f>
        <v>0</v>
      </c>
      <c r="N381" s="311">
        <f>+Tabla555727951527473113409[[#This Row],[VENTA]]</f>
        <v>263000</v>
      </c>
      <c r="O381" s="132">
        <f t="shared" si="183"/>
        <v>19481.481481481482</v>
      </c>
      <c r="P381" s="131">
        <f t="shared" si="184"/>
        <v>243518.51851851851</v>
      </c>
      <c r="Q381" s="133">
        <f t="shared" si="185"/>
        <v>0</v>
      </c>
      <c r="R381" s="194" t="e">
        <f t="shared" si="186"/>
        <v>#DIV/0!</v>
      </c>
      <c r="S381" s="70">
        <v>297000</v>
      </c>
      <c r="T381" s="272">
        <f t="shared" si="187"/>
        <v>0</v>
      </c>
    </row>
    <row r="382" spans="1:22" x14ac:dyDescent="0.25">
      <c r="A382" s="113">
        <v>8</v>
      </c>
      <c r="B382" s="130" t="str">
        <f>+'VINO TINTO'!B91</f>
        <v>SANTA CAROLINA CARMENERE</v>
      </c>
      <c r="C382" s="130"/>
      <c r="D382" s="131">
        <f>+'VINO TINTO'!I94</f>
        <v>62806</v>
      </c>
      <c r="E382" s="132">
        <f>+'VINO TINTO'!I95</f>
        <v>215000</v>
      </c>
      <c r="F382" s="132">
        <f t="shared" si="180"/>
        <v>15925.925925925927</v>
      </c>
      <c r="G382" s="131">
        <f>+Tabla555727951527473113409[[#This Row],[VENTA]]-Tabla555727951527473113409[[#This Row],[ICO 8%]]</f>
        <v>199074.07407407407</v>
      </c>
      <c r="H382" s="133">
        <f>+Tabla555727951527473113409[[#This Row],[COSTO]]/Tabla555727951527473113409[[#This Row],[BASE]]</f>
        <v>0.3154906046511628</v>
      </c>
      <c r="I382" s="134">
        <f>+Tabla555727951527473113409[[#This Row],[BASE]]/Tabla555727951527473113409[[#This Row],[COSTO]]</f>
        <v>3.1696664980109235</v>
      </c>
      <c r="J382" s="135" t="e">
        <f>+VLOOKUP(Tabla555727951527473113409[[#This Row],[VINO TINTO]],#REF!,2,0)</f>
        <v>#REF!</v>
      </c>
      <c r="K382" s="136">
        <f t="shared" si="181"/>
        <v>251223.99999999997</v>
      </c>
      <c r="L382" s="131">
        <f t="shared" si="182"/>
        <v>18609.185185185182</v>
      </c>
      <c r="M382" s="137">
        <f>+Tabla555727951527473113409[[#This Row],[PRECIO SUGERIDO]]+Tabla555727951527473113409[[#This Row],[ICO2]]</f>
        <v>269833.18518518517</v>
      </c>
      <c r="N382" s="311">
        <f>+Tabla555727951527473113409[[#This Row],[VENTA]]</f>
        <v>215000</v>
      </c>
      <c r="O382" s="132">
        <f t="shared" si="183"/>
        <v>15925.925925925927</v>
      </c>
      <c r="P382" s="131">
        <f t="shared" si="184"/>
        <v>199074.07407407407</v>
      </c>
      <c r="Q382" s="133">
        <f t="shared" si="185"/>
        <v>0.3154906046511628</v>
      </c>
      <c r="R382" s="194">
        <f t="shared" si="186"/>
        <v>3.1696664980109235</v>
      </c>
      <c r="S382" s="70">
        <v>230000</v>
      </c>
      <c r="T382" s="272">
        <f t="shared" si="187"/>
        <v>0.27306956521739129</v>
      </c>
    </row>
    <row r="383" spans="1:22" x14ac:dyDescent="0.25">
      <c r="A383" s="113">
        <v>9</v>
      </c>
      <c r="B383" s="130" t="str">
        <f>+'VINO TINTO'!B150</f>
        <v>SANTA EMA BARRIEL  RESERVA 60/40</v>
      </c>
      <c r="C383" s="130"/>
      <c r="D383" s="131">
        <f>+'VINO TINTO'!I153</f>
        <v>113953</v>
      </c>
      <c r="E383" s="132">
        <f>+'VINO TINTO'!I154</f>
        <v>250000</v>
      </c>
      <c r="F383" s="132">
        <f t="shared" si="180"/>
        <v>18518.518518518518</v>
      </c>
      <c r="G383" s="131">
        <f>+Tabla555727951527473113409[[#This Row],[VENTA]]-Tabla555727951527473113409[[#This Row],[ICO 8%]]</f>
        <v>231481.48148148149</v>
      </c>
      <c r="H383" s="133">
        <f>+Tabla555727951527473113409[[#This Row],[COSTO]]/Tabla555727951527473113409[[#This Row],[BASE]]</f>
        <v>0.49227695999999999</v>
      </c>
      <c r="I383" s="134">
        <f>+Tabla555727951527473113409[[#This Row],[BASE]]/Tabla555727951527473113409[[#This Row],[COSTO]]</f>
        <v>2.0313768086972832</v>
      </c>
      <c r="J383" s="135" t="e">
        <f>+VLOOKUP(Tabla555727951527473113409[[#This Row],[VINO TINTO]],#REF!,2,0)</f>
        <v>#REF!</v>
      </c>
      <c r="K383" s="136">
        <f t="shared" si="181"/>
        <v>455812</v>
      </c>
      <c r="L383" s="131">
        <f t="shared" si="182"/>
        <v>33763.851851851854</v>
      </c>
      <c r="M383" s="137">
        <f>+Tabla555727951527473113409[[#This Row],[PRECIO SUGERIDO]]+Tabla555727951527473113409[[#This Row],[ICO2]]</f>
        <v>489575.85185185185</v>
      </c>
      <c r="N383" s="310">
        <v>250000</v>
      </c>
      <c r="O383" s="132">
        <f t="shared" si="183"/>
        <v>18518.518518518518</v>
      </c>
      <c r="P383" s="131">
        <f t="shared" si="184"/>
        <v>231481.48148148149</v>
      </c>
      <c r="Q383" s="133">
        <f t="shared" si="185"/>
        <v>0.49227695999999999</v>
      </c>
      <c r="R383" s="194">
        <f t="shared" si="186"/>
        <v>2.0313768086972832</v>
      </c>
      <c r="S383" s="70">
        <v>310000</v>
      </c>
      <c r="T383" s="272">
        <f t="shared" si="187"/>
        <v>0.36759032258064517</v>
      </c>
      <c r="V383" s="265" t="s">
        <v>1295</v>
      </c>
    </row>
    <row r="384" spans="1:22" x14ac:dyDescent="0.25">
      <c r="A384" s="113">
        <v>10</v>
      </c>
      <c r="B384" s="130" t="str">
        <f>+'VINO TINTO'!B103</f>
        <v>TRAPICHE CABERNET SAUVINGNON</v>
      </c>
      <c r="C384" s="130"/>
      <c r="D384" s="131">
        <f>+'VINO TINTO'!I106</f>
        <v>0</v>
      </c>
      <c r="E384" s="132">
        <f>+'VINO TINTO'!I107</f>
        <v>105000</v>
      </c>
      <c r="F384" s="132">
        <f t="shared" si="180"/>
        <v>7777.7777777777774</v>
      </c>
      <c r="G384" s="131">
        <f>+Tabla555727951527473113409[[#This Row],[VENTA]]-Tabla555727951527473113409[[#This Row],[ICO 8%]]</f>
        <v>97222.222222222219</v>
      </c>
      <c r="H384" s="133">
        <f>+Tabla555727951527473113409[[#This Row],[COSTO]]/Tabla555727951527473113409[[#This Row],[BASE]]</f>
        <v>0</v>
      </c>
      <c r="I384" s="134" t="e">
        <f>+Tabla555727951527473113409[[#This Row],[BASE]]/Tabla555727951527473113409[[#This Row],[COSTO]]</f>
        <v>#DIV/0!</v>
      </c>
      <c r="J384" s="135" t="e">
        <f>+VLOOKUP(Tabla555727951527473113409[[#This Row],[VINO TINTO]],#REF!,2,0)</f>
        <v>#REF!</v>
      </c>
      <c r="K384" s="136">
        <f t="shared" si="181"/>
        <v>0</v>
      </c>
      <c r="L384" s="131">
        <f t="shared" si="182"/>
        <v>0</v>
      </c>
      <c r="M384" s="137">
        <f>+Tabla555727951527473113409[[#This Row],[PRECIO SUGERIDO]]+Tabla555727951527473113409[[#This Row],[ICO2]]</f>
        <v>0</v>
      </c>
      <c r="N384" s="311">
        <f>+Tabla555727951527473113409[[#This Row],[VENTA]]</f>
        <v>105000</v>
      </c>
      <c r="O384" s="132">
        <f t="shared" si="183"/>
        <v>7777.7777777777774</v>
      </c>
      <c r="P384" s="131">
        <f t="shared" si="184"/>
        <v>97222.222222222219</v>
      </c>
      <c r="Q384" s="133">
        <f t="shared" si="185"/>
        <v>0</v>
      </c>
      <c r="R384" s="194" t="e">
        <f t="shared" si="186"/>
        <v>#DIV/0!</v>
      </c>
      <c r="S384" s="70">
        <v>150000</v>
      </c>
      <c r="T384" s="272">
        <f t="shared" si="187"/>
        <v>0</v>
      </c>
    </row>
    <row r="385" spans="1:20" x14ac:dyDescent="0.25">
      <c r="A385" s="113">
        <v>11</v>
      </c>
      <c r="B385" s="130" t="str">
        <f>+'VINO TINTO'!B115</f>
        <v>TRAPICHE MERLOT</v>
      </c>
      <c r="C385" s="130"/>
      <c r="D385" s="131">
        <f>+'VINO TINTO'!I118</f>
        <v>48140</v>
      </c>
      <c r="E385" s="132">
        <f>+'VINO TINTO'!I119</f>
        <v>105000</v>
      </c>
      <c r="F385" s="132">
        <f t="shared" si="180"/>
        <v>7777.7777777777774</v>
      </c>
      <c r="G385" s="131">
        <f>+Tabla555727951527473113409[[#This Row],[VENTA]]-Tabla555727951527473113409[[#This Row],[ICO 8%]]</f>
        <v>97222.222222222219</v>
      </c>
      <c r="H385" s="133">
        <f>+Tabla555727951527473113409[[#This Row],[COSTO]]/Tabla555727951527473113409[[#This Row],[BASE]]</f>
        <v>0.49515428571428571</v>
      </c>
      <c r="I385" s="134">
        <f>+Tabla555727951527473113409[[#This Row],[BASE]]/Tabla555727951527473113409[[#This Row],[COSTO]]</f>
        <v>2.0195725430457463</v>
      </c>
      <c r="J385" s="135" t="e">
        <f>+VLOOKUP(Tabla555727951527473113409[[#This Row],[VINO TINTO]],#REF!,2,0)</f>
        <v>#REF!</v>
      </c>
      <c r="K385" s="136">
        <f t="shared" si="181"/>
        <v>192560</v>
      </c>
      <c r="L385" s="131">
        <f t="shared" si="182"/>
        <v>14263.703703703704</v>
      </c>
      <c r="M385" s="137">
        <f>+Tabla555727951527473113409[[#This Row],[PRECIO SUGERIDO]]+Tabla555727951527473113409[[#This Row],[ICO2]]</f>
        <v>206823.70370370371</v>
      </c>
      <c r="N385" s="311">
        <f>+Tabla555727951527473113409[[#This Row],[VENTA]]</f>
        <v>105000</v>
      </c>
      <c r="O385" s="132">
        <f t="shared" si="183"/>
        <v>7777.7777777777774</v>
      </c>
      <c r="P385" s="131">
        <f t="shared" si="184"/>
        <v>97222.222222222219</v>
      </c>
      <c r="Q385" s="133">
        <f t="shared" si="185"/>
        <v>0.49515428571428571</v>
      </c>
      <c r="R385" s="194">
        <f t="shared" si="186"/>
        <v>2.0195725430457463</v>
      </c>
      <c r="S385" s="70">
        <v>150000</v>
      </c>
      <c r="T385" s="272">
        <f t="shared" si="187"/>
        <v>0.32093333333333335</v>
      </c>
    </row>
    <row r="386" spans="1:20" ht="13.8" thickBot="1" x14ac:dyDescent="0.3">
      <c r="A386" s="113">
        <v>12</v>
      </c>
      <c r="B386" s="306" t="str">
        <f>+'VINO TINTO'!B126</f>
        <v>TRAPICHE RESERVA MALBEC</v>
      </c>
      <c r="C386" s="130"/>
      <c r="D386" s="131">
        <f>+'VINO TINTO'!I129</f>
        <v>66111.5</v>
      </c>
      <c r="E386" s="132">
        <f>+'VINO TINTO'!I130</f>
        <v>139000</v>
      </c>
      <c r="F386" s="132">
        <f t="shared" si="180"/>
        <v>10296.296296296296</v>
      </c>
      <c r="G386" s="131">
        <f>+Tabla555727951527473113409[[#This Row],[VENTA]]-Tabla555727951527473113409[[#This Row],[ICO 8%]]</f>
        <v>128703.70370370371</v>
      </c>
      <c r="H386" s="133">
        <f>+Tabla555727951527473113409[[#This Row],[COSTO]]/Tabla555727951527473113409[[#This Row],[BASE]]</f>
        <v>0.5136720863309352</v>
      </c>
      <c r="I386" s="134">
        <f>+Tabla555727951527473113409[[#This Row],[BASE]]/Tabla555727951527473113409[[#This Row],[COSTO]]</f>
        <v>1.9467672599124768</v>
      </c>
      <c r="J386" s="135" t="e">
        <f>+VLOOKUP(Tabla555727951527473113409[[#This Row],[VINO TINTO]],#REF!,2,0)</f>
        <v>#REF!</v>
      </c>
      <c r="K386" s="136">
        <f t="shared" si="181"/>
        <v>264446</v>
      </c>
      <c r="L386" s="131">
        <f t="shared" si="182"/>
        <v>19588.592592592591</v>
      </c>
      <c r="M386" s="137">
        <f>+Tabla555727951527473113409[[#This Row],[PRECIO SUGERIDO]]+Tabla555727951527473113409[[#This Row],[ICO2]]</f>
        <v>284034.59259259258</v>
      </c>
      <c r="N386" s="311">
        <f>+Tabla555727951527473113409[[#This Row],[VENTA]]</f>
        <v>139000</v>
      </c>
      <c r="O386" s="132">
        <f t="shared" si="183"/>
        <v>10296.296296296296</v>
      </c>
      <c r="P386" s="131">
        <f t="shared" si="184"/>
        <v>128703.70370370371</v>
      </c>
      <c r="Q386" s="133">
        <f t="shared" si="185"/>
        <v>0.5136720863309352</v>
      </c>
      <c r="R386" s="194">
        <f t="shared" si="186"/>
        <v>1.9467672599124768</v>
      </c>
      <c r="S386" s="70">
        <v>190000</v>
      </c>
      <c r="T386" s="272">
        <f t="shared" si="187"/>
        <v>0.34795526315789471</v>
      </c>
    </row>
    <row r="387" spans="1:20" ht="13.8" thickBot="1" x14ac:dyDescent="0.3">
      <c r="B387" s="153" t="s">
        <v>35</v>
      </c>
      <c r="C387" s="181"/>
      <c r="D387" s="155"/>
      <c r="E387" s="156"/>
      <c r="F387" s="156"/>
      <c r="G387" s="155"/>
      <c r="H387" s="158">
        <f>SUBTOTAL(101,Tabla555727951527473113409[%])</f>
        <v>0.38998641444885918</v>
      </c>
      <c r="I387" s="156"/>
      <c r="J387" s="156"/>
      <c r="K387" s="159"/>
      <c r="L387" s="155"/>
      <c r="M387" s="156"/>
      <c r="N387" s="160"/>
      <c r="O387" s="156"/>
      <c r="P387" s="155"/>
      <c r="Q387" s="161"/>
      <c r="R387" s="162" t="e">
        <f>SUBTOTAL(109,Tabla555727951527473113409[RATION])</f>
        <v>#DIV/0!</v>
      </c>
      <c r="S387" s="232"/>
      <c r="T387" s="275"/>
    </row>
    <row r="390" spans="1:20" x14ac:dyDescent="0.25">
      <c r="E390" s="117" t="s">
        <v>25</v>
      </c>
      <c r="F390" s="114"/>
      <c r="G390" s="118"/>
      <c r="H390" s="114"/>
      <c r="I390" s="114"/>
      <c r="J390" s="70"/>
      <c r="K390" s="396" t="s">
        <v>29</v>
      </c>
      <c r="L390" s="396"/>
      <c r="M390" s="396"/>
      <c r="N390" s="395" t="s">
        <v>1090</v>
      </c>
      <c r="O390" s="395"/>
      <c r="P390" s="395"/>
      <c r="Q390" s="395"/>
    </row>
    <row r="391" spans="1:20" x14ac:dyDescent="0.25">
      <c r="B391" s="183" t="s">
        <v>431</v>
      </c>
      <c r="C391" s="184" t="s">
        <v>316</v>
      </c>
      <c r="D391" s="185" t="s">
        <v>7</v>
      </c>
      <c r="E391" s="186" t="s">
        <v>20</v>
      </c>
      <c r="F391" s="187" t="s">
        <v>33</v>
      </c>
      <c r="G391" s="185" t="s">
        <v>26</v>
      </c>
      <c r="H391" s="188" t="s">
        <v>21</v>
      </c>
      <c r="I391" s="189" t="s">
        <v>22</v>
      </c>
      <c r="J391" s="189" t="s">
        <v>23</v>
      </c>
      <c r="K391" s="189" t="s">
        <v>27</v>
      </c>
      <c r="L391" s="185" t="s">
        <v>32</v>
      </c>
      <c r="M391" s="189" t="s">
        <v>28</v>
      </c>
      <c r="N391" s="190" t="s">
        <v>30</v>
      </c>
      <c r="O391" s="185" t="s">
        <v>34</v>
      </c>
      <c r="P391" s="185" t="s">
        <v>25</v>
      </c>
      <c r="Q391" s="191" t="s">
        <v>31</v>
      </c>
      <c r="R391" s="192" t="s">
        <v>24</v>
      </c>
      <c r="S391" s="234" t="s">
        <v>1262</v>
      </c>
      <c r="T391" s="276" t="s">
        <v>1263</v>
      </c>
    </row>
    <row r="392" spans="1:20" x14ac:dyDescent="0.25">
      <c r="B392" s="312" t="str">
        <f>+'VINO ROSADO'!B22</f>
        <v>ROSADO SOUL</v>
      </c>
      <c r="C392" s="143"/>
      <c r="D392" s="144">
        <f>+'VINO ROSADO'!K25</f>
        <v>0</v>
      </c>
      <c r="E392" s="145">
        <f>+'VINO ROSADO'!K26</f>
        <v>198000</v>
      </c>
      <c r="F392" s="145">
        <f>+E392/1.08*0.08</f>
        <v>14666.666666666666</v>
      </c>
      <c r="G392" s="144">
        <f>+Tabla555727951527473113410[[#This Row],[VENTA]]-Tabla555727951527473113410[[#This Row],[ICO 8%]]</f>
        <v>183333.33333333334</v>
      </c>
      <c r="H392" s="146">
        <f>+Tabla555727951527473113410[[#This Row],[COSTO]]/Tabla555727951527473113410[[#This Row],[BASE]]</f>
        <v>0</v>
      </c>
      <c r="I392" s="147" t="e">
        <f>+Tabla555727951527473113410[[#This Row],[BASE]]/Tabla555727951527473113410[[#This Row],[COSTO]]</f>
        <v>#DIV/0!</v>
      </c>
      <c r="J392" s="148"/>
      <c r="K392" s="149">
        <f>+D392/(100-75)*100</f>
        <v>0</v>
      </c>
      <c r="L392" s="144">
        <f>+K392/1.08*0.08</f>
        <v>0</v>
      </c>
      <c r="M392" s="150">
        <f>+Tabla555727951527473113410[[#This Row],[PRECIO SUGERIDO]]+Tabla555727951527473113410[[#This Row],[ICO2]]</f>
        <v>0</v>
      </c>
      <c r="N392" s="197">
        <f>+Tabla555727951527473113410[[#This Row],[VENTA]]</f>
        <v>198000</v>
      </c>
      <c r="O392" s="145">
        <f>+N392/1.08*0.08</f>
        <v>14666.666666666666</v>
      </c>
      <c r="P392" s="151">
        <f>+N392-O392</f>
        <v>183333.33333333334</v>
      </c>
      <c r="Q392" s="146">
        <f>+D392/P392</f>
        <v>0</v>
      </c>
      <c r="R392" s="196" t="e">
        <f>+P392/D392</f>
        <v>#DIV/0!</v>
      </c>
      <c r="S392" s="244">
        <v>250000</v>
      </c>
      <c r="T392" s="272">
        <f t="shared" ref="T392:T394" si="188">+D392/S392</f>
        <v>0</v>
      </c>
    </row>
    <row r="393" spans="1:20" x14ac:dyDescent="0.25">
      <c r="B393" s="171" t="str">
        <f>+'VINO ROSADO'!B10</f>
        <v>MONTES CHERUP</v>
      </c>
      <c r="C393" s="171"/>
      <c r="D393" s="172">
        <f>+'VINO ROSADO'!K13</f>
        <v>97685.185184999995</v>
      </c>
      <c r="E393" s="173">
        <f>+'VINO ROSADO'!K14</f>
        <v>198000</v>
      </c>
      <c r="F393" s="173">
        <f>+E393/1.08*0.08</f>
        <v>14666.666666666666</v>
      </c>
      <c r="G393" s="172">
        <f>+Tabla555727951527473113410[[#This Row],[VENTA]]-Tabla555727951527473113410[[#This Row],[ICO 8%]]</f>
        <v>183333.33333333334</v>
      </c>
      <c r="H393" s="174">
        <f>+Tabla555727951527473113410[[#This Row],[COSTO]]/Tabla555727951527473113410[[#This Row],[BASE]]</f>
        <v>0.53282828282727268</v>
      </c>
      <c r="I393" s="175">
        <f>+Tabla555727951527473113410[[#This Row],[BASE]]/Tabla555727951527473113410[[#This Row],[COSTO]]</f>
        <v>1.8767772511883922</v>
      </c>
      <c r="J393" s="113"/>
      <c r="K393" s="176">
        <f>+D393/(100-75)*100</f>
        <v>390740.74073999998</v>
      </c>
      <c r="L393" s="172">
        <f>+K393/1.08*0.08</f>
        <v>28943.758573333329</v>
      </c>
      <c r="M393" s="177">
        <f>+Tabla555727951527473113410[[#This Row],[PRECIO SUGERIDO]]+Tabla555727951527473113410[[#This Row],[ICO2]]</f>
        <v>419684.4993133333</v>
      </c>
      <c r="N393" s="178">
        <f>+Tabla555727951527473113410[[#This Row],[VENTA]]</f>
        <v>198000</v>
      </c>
      <c r="O393" s="173">
        <f>+N393/1.08*0.08</f>
        <v>14666.666666666666</v>
      </c>
      <c r="P393" s="179">
        <f>+N393-O393</f>
        <v>183333.33333333334</v>
      </c>
      <c r="Q393" s="174">
        <f>+D393/P393</f>
        <v>0.53282828282727268</v>
      </c>
      <c r="R393" s="180">
        <f>+P393/D393</f>
        <v>1.8767772511883922</v>
      </c>
      <c r="S393" s="244">
        <v>270000</v>
      </c>
      <c r="T393" s="272">
        <f t="shared" si="188"/>
        <v>0.36179698216666667</v>
      </c>
    </row>
    <row r="394" spans="1:20" ht="13.8" thickBot="1" x14ac:dyDescent="0.3">
      <c r="B394" s="171" t="str">
        <f>+'VINO ROSADO'!B34</f>
        <v>LAS MORAS ROSADO</v>
      </c>
      <c r="C394" s="171"/>
      <c r="D394" s="172">
        <f>+'VINO ROSADO'!K37</f>
        <v>54495</v>
      </c>
      <c r="E394" s="173">
        <v>150000</v>
      </c>
      <c r="F394" s="173">
        <f>+E394/1.08*0.08</f>
        <v>11111.111111111109</v>
      </c>
      <c r="G394" s="172">
        <f>+Tabla555727951527473113410[[#This Row],[VENTA]]-Tabla555727951527473113410[[#This Row],[ICO 8%]]</f>
        <v>138888.88888888888</v>
      </c>
      <c r="H394" s="174">
        <f>+Tabla555727951527473113410[[#This Row],[COSTO]]/Tabla555727951527473113410[[#This Row],[BASE]]</f>
        <v>0.39236400000000005</v>
      </c>
      <c r="I394" s="175">
        <f>+Tabla555727951527473113410[[#This Row],[BASE]]/Tabla555727951527473113410[[#This Row],[COSTO]]</f>
        <v>2.5486538010622786</v>
      </c>
      <c r="J394" s="113"/>
      <c r="K394" s="176">
        <f>+D394/(100-75)*100</f>
        <v>217980.00000000003</v>
      </c>
      <c r="L394" s="172">
        <f>+K394/1.08*0.08</f>
        <v>16146.666666666668</v>
      </c>
      <c r="M394" s="177">
        <f>+Tabla555727951527473113410[[#This Row],[PRECIO SUGERIDO]]+Tabla555727951527473113410[[#This Row],[ICO2]]</f>
        <v>234126.66666666669</v>
      </c>
      <c r="N394" s="178">
        <v>110000</v>
      </c>
      <c r="O394" s="173">
        <f>+N394/1.08*0.08</f>
        <v>8148.1481481481469</v>
      </c>
      <c r="P394" s="179">
        <f>+N394-O394</f>
        <v>101851.85185185185</v>
      </c>
      <c r="Q394" s="174">
        <f>+D394/P394</f>
        <v>0.53504181818181817</v>
      </c>
      <c r="R394" s="180">
        <f>+P394/D394</f>
        <v>1.8690127874456712</v>
      </c>
      <c r="S394" s="244">
        <v>170000</v>
      </c>
      <c r="T394" s="272">
        <f t="shared" si="188"/>
        <v>0.32055882352941178</v>
      </c>
    </row>
    <row r="395" spans="1:20" ht="13.8" thickBot="1" x14ac:dyDescent="0.3">
      <c r="B395" s="153" t="s">
        <v>35</v>
      </c>
      <c r="C395" s="181"/>
      <c r="D395" s="155"/>
      <c r="E395" s="156"/>
      <c r="F395" s="156"/>
      <c r="G395" s="155"/>
      <c r="H395" s="158">
        <f>SUBTOTAL(101,Tabla555727951527473113410[%])</f>
        <v>0.30839742760909089</v>
      </c>
      <c r="I395" s="156"/>
      <c r="J395" s="156"/>
      <c r="K395" s="159"/>
      <c r="L395" s="155"/>
      <c r="M395" s="156"/>
      <c r="N395" s="160"/>
      <c r="O395" s="156"/>
      <c r="P395" s="155"/>
      <c r="Q395" s="161"/>
      <c r="R395" s="162" t="e">
        <f>SUBTOTAL(109,Tabla555727951527473113410[RATION])</f>
        <v>#DIV/0!</v>
      </c>
      <c r="S395" s="232"/>
      <c r="T395" s="275"/>
    </row>
    <row r="399" spans="1:20" x14ac:dyDescent="0.25">
      <c r="E399" s="117" t="s">
        <v>25</v>
      </c>
      <c r="F399" s="114"/>
      <c r="G399" s="118"/>
      <c r="H399" s="114"/>
      <c r="I399" s="114"/>
      <c r="J399" s="70"/>
      <c r="K399" s="396" t="s">
        <v>29</v>
      </c>
      <c r="L399" s="396"/>
      <c r="M399" s="396"/>
      <c r="N399" s="395" t="s">
        <v>1090</v>
      </c>
      <c r="O399" s="395"/>
      <c r="P399" s="395"/>
      <c r="Q399" s="395"/>
    </row>
    <row r="400" spans="1:20" x14ac:dyDescent="0.25">
      <c r="B400" s="183" t="s">
        <v>563</v>
      </c>
      <c r="C400" s="184" t="s">
        <v>316</v>
      </c>
      <c r="D400" s="185" t="s">
        <v>7</v>
      </c>
      <c r="E400" s="186" t="s">
        <v>20</v>
      </c>
      <c r="F400" s="187" t="s">
        <v>33</v>
      </c>
      <c r="G400" s="185" t="s">
        <v>26</v>
      </c>
      <c r="H400" s="188" t="s">
        <v>21</v>
      </c>
      <c r="I400" s="189" t="s">
        <v>22</v>
      </c>
      <c r="J400" s="189" t="s">
        <v>23</v>
      </c>
      <c r="K400" s="189" t="s">
        <v>27</v>
      </c>
      <c r="L400" s="185" t="s">
        <v>32</v>
      </c>
      <c r="M400" s="189" t="s">
        <v>28</v>
      </c>
      <c r="N400" s="190" t="s">
        <v>30</v>
      </c>
      <c r="O400" s="185" t="s">
        <v>34</v>
      </c>
      <c r="P400" s="185" t="s">
        <v>25</v>
      </c>
      <c r="Q400" s="191" t="s">
        <v>31</v>
      </c>
      <c r="R400" s="192" t="s">
        <v>24</v>
      </c>
      <c r="S400" s="234" t="s">
        <v>1262</v>
      </c>
      <c r="T400" s="276" t="s">
        <v>1263</v>
      </c>
    </row>
    <row r="401" spans="1:20" x14ac:dyDescent="0.25">
      <c r="A401" s="113">
        <v>1</v>
      </c>
      <c r="B401" s="130" t="str">
        <f>+'VINO BLANCO'!B18</f>
        <v>CAUSIÑO MACUL DON LUIS SAUVIGNON BLANC</v>
      </c>
      <c r="C401" s="130"/>
      <c r="D401" s="131">
        <f>+'VINO BLANCO'!I21</f>
        <v>57372</v>
      </c>
      <c r="E401" s="132">
        <f>+'VINO BLANCO'!I22</f>
        <v>121000</v>
      </c>
      <c r="F401" s="132">
        <f t="shared" ref="F401:F409" si="189">+E401/1.08*0.08</f>
        <v>8962.9629629629635</v>
      </c>
      <c r="G401" s="131">
        <f>+Tabla555727951527473113410370[[#This Row],[VENTA]]-Tabla555727951527473113410370[[#This Row],[ICO 8%]]</f>
        <v>112037.03703703704</v>
      </c>
      <c r="H401" s="133">
        <f>+Tabla555727951527473113410370[[#This Row],[COSTO]]/Tabla555727951527473113410370[[#This Row],[BASE]]</f>
        <v>0.51208066115702477</v>
      </c>
      <c r="I401" s="134">
        <f>+Tabla555727951527473113410370[[#This Row],[BASE]]/Tabla555727951527473113410370[[#This Row],[COSTO]]</f>
        <v>1.952817350572353</v>
      </c>
      <c r="J401" s="135" t="e">
        <f>+VLOOKUP(Tabla555727951527473113410370[[#This Row],[VINO BLANCO]],#REF!,2,0)</f>
        <v>#REF!</v>
      </c>
      <c r="K401" s="136">
        <f t="shared" ref="K401:K409" si="190">+D401/(100-75)*100</f>
        <v>229488</v>
      </c>
      <c r="L401" s="131">
        <f t="shared" ref="L401:L409" si="191">+K401/1.08*0.08</f>
        <v>16999.111111111109</v>
      </c>
      <c r="M401" s="137">
        <f>+Tabla555727951527473113410370[[#This Row],[PRECIO SUGERIDO]]+Tabla555727951527473113410370[[#This Row],[ICO2]]</f>
        <v>246487.11111111112</v>
      </c>
      <c r="N401" s="138">
        <v>121000</v>
      </c>
      <c r="O401" s="132">
        <f t="shared" ref="O401:O409" si="192">+N401/1.08*0.08</f>
        <v>8962.9629629629635</v>
      </c>
      <c r="P401" s="139">
        <f t="shared" ref="P401:P409" si="193">+N401-O401</f>
        <v>112037.03703703704</v>
      </c>
      <c r="Q401" s="133">
        <f>+D401/P401</f>
        <v>0.51208066115702477</v>
      </c>
      <c r="R401" s="194">
        <f t="shared" ref="R401:R409" si="194">+P401/D401</f>
        <v>1.952817350572353</v>
      </c>
      <c r="S401" s="244">
        <v>160000</v>
      </c>
      <c r="T401" s="272">
        <f t="shared" ref="T401:T409" si="195">+D401/S401</f>
        <v>0.35857499999999998</v>
      </c>
    </row>
    <row r="402" spans="1:20" x14ac:dyDescent="0.25">
      <c r="A402" s="113">
        <v>2</v>
      </c>
      <c r="B402" s="130" t="str">
        <f>+'VINO BLANCO'!B114</f>
        <v>CHAN DE ROSAS</v>
      </c>
      <c r="C402" s="130"/>
      <c r="D402" s="131" t="e">
        <f>+'VINO BLANCO'!I117</f>
        <v>#N/A</v>
      </c>
      <c r="E402" s="132">
        <f>+'VINO BLANCO'!I118</f>
        <v>220000</v>
      </c>
      <c r="F402" s="132">
        <f t="shared" si="189"/>
        <v>16296.296296296294</v>
      </c>
      <c r="G402" s="131">
        <f>+Tabla555727951527473113410370[[#This Row],[VENTA]]-Tabla555727951527473113410370[[#This Row],[ICO 8%]]</f>
        <v>203703.70370370371</v>
      </c>
      <c r="H402" s="133" t="e">
        <f>+Tabla555727951527473113410370[[#This Row],[COSTO]]/Tabla555727951527473113410370[[#This Row],[BASE]]</f>
        <v>#N/A</v>
      </c>
      <c r="I402" s="134" t="e">
        <f>+Tabla555727951527473113410370[[#This Row],[BASE]]/Tabla555727951527473113410370[[#This Row],[COSTO]]</f>
        <v>#N/A</v>
      </c>
      <c r="J402" s="135" t="e">
        <f>+VLOOKUP(Tabla555727951527473113410370[[#This Row],[VINO BLANCO]],#REF!,2,0)</f>
        <v>#REF!</v>
      </c>
      <c r="K402" s="136" t="e">
        <f t="shared" si="190"/>
        <v>#N/A</v>
      </c>
      <c r="L402" s="131" t="e">
        <f t="shared" si="191"/>
        <v>#N/A</v>
      </c>
      <c r="M402" s="137" t="e">
        <f>+Tabla555727951527473113410370[[#This Row],[PRECIO SUGERIDO]]+Tabla555727951527473113410370[[#This Row],[ICO2]]</f>
        <v>#N/A</v>
      </c>
      <c r="N402" s="141">
        <f>+Tabla555727951527473113410370[[#This Row],[VENTA]]</f>
        <v>220000</v>
      </c>
      <c r="O402" s="132">
        <f t="shared" si="192"/>
        <v>16296.296296296294</v>
      </c>
      <c r="P402" s="139">
        <f t="shared" si="193"/>
        <v>203703.70370370371</v>
      </c>
      <c r="Q402" s="133" t="e">
        <f t="shared" ref="Q402:Q409" si="196">+D402/P402</f>
        <v>#N/A</v>
      </c>
      <c r="R402" s="194" t="e">
        <f t="shared" si="194"/>
        <v>#N/A</v>
      </c>
      <c r="S402" s="244">
        <v>250000</v>
      </c>
      <c r="T402" s="272" t="e">
        <f t="shared" si="195"/>
        <v>#N/A</v>
      </c>
    </row>
    <row r="403" spans="1:20" x14ac:dyDescent="0.25">
      <c r="A403" s="113">
        <v>3</v>
      </c>
      <c r="B403" s="130" t="str">
        <f>+'VINO BLANCO'!B52</f>
        <v>COPA LAS MORAS CHARDONAY</v>
      </c>
      <c r="C403" s="130"/>
      <c r="D403" s="131">
        <f>+'VINO BLANCO'!I55</f>
        <v>11443.95</v>
      </c>
      <c r="E403" s="132">
        <f>+'VINO BLANCO'!I56</f>
        <v>32000</v>
      </c>
      <c r="F403" s="132">
        <f t="shared" si="189"/>
        <v>2370.3703703703704</v>
      </c>
      <c r="G403" s="131">
        <f>+Tabla555727951527473113410370[[#This Row],[VENTA]]-Tabla555727951527473113410370[[#This Row],[ICO 8%]]</f>
        <v>29629.629629629628</v>
      </c>
      <c r="H403" s="133">
        <f>+Tabla555727951527473113410370[[#This Row],[COSTO]]/Tabla555727951527473113410370[[#This Row],[BASE]]</f>
        <v>0.38623331250000004</v>
      </c>
      <c r="I403" s="134">
        <f>+Tabla555727951527473113410370[[#This Row],[BASE]]/Tabla555727951527473113410370[[#This Row],[COSTO]]</f>
        <v>2.5891086233013625</v>
      </c>
      <c r="J403" s="135" t="e">
        <f>+VLOOKUP(Tabla555727951527473113410370[[#This Row],[VINO BLANCO]],#REF!,2,0)</f>
        <v>#REF!</v>
      </c>
      <c r="K403" s="136">
        <f t="shared" si="190"/>
        <v>45775.8</v>
      </c>
      <c r="L403" s="131">
        <f t="shared" si="191"/>
        <v>3390.8</v>
      </c>
      <c r="M403" s="137">
        <f>+Tabla555727951527473113410370[[#This Row],[PRECIO SUGERIDO]]+Tabla555727951527473113410370[[#This Row],[ICO2]]</f>
        <v>49166.600000000006</v>
      </c>
      <c r="N403" s="141">
        <f>+Tabla555727951527473113410370[[#This Row],[VENTA]]</f>
        <v>32000</v>
      </c>
      <c r="O403" s="132">
        <f t="shared" si="192"/>
        <v>2370.3703703703704</v>
      </c>
      <c r="P403" s="139">
        <f t="shared" si="193"/>
        <v>29629.629629629628</v>
      </c>
      <c r="Q403" s="133">
        <f t="shared" si="196"/>
        <v>0.38623331250000004</v>
      </c>
      <c r="R403" s="194">
        <f t="shared" si="194"/>
        <v>2.5891086233013625</v>
      </c>
      <c r="S403" s="244">
        <v>33000</v>
      </c>
      <c r="T403" s="272">
        <f t="shared" si="195"/>
        <v>0.34678636363636367</v>
      </c>
    </row>
    <row r="404" spans="1:20" x14ac:dyDescent="0.25">
      <c r="A404" s="113">
        <v>4</v>
      </c>
      <c r="B404" s="130" t="str">
        <f>+'VINO BLANCO'!B66</f>
        <v>ENATE 234 CHARDONAY D.O SOMONTANO</v>
      </c>
      <c r="C404" s="130"/>
      <c r="D404" s="131">
        <f>+'VINO BLANCO'!I69</f>
        <v>0</v>
      </c>
      <c r="E404" s="132">
        <f>+'VINO BLANCO'!I70</f>
        <v>205000</v>
      </c>
      <c r="F404" s="132">
        <f t="shared" si="189"/>
        <v>15185.185185185184</v>
      </c>
      <c r="G404" s="131">
        <f>+Tabla555727951527473113410370[[#This Row],[VENTA]]-Tabla555727951527473113410370[[#This Row],[ICO 8%]]</f>
        <v>189814.8148148148</v>
      </c>
      <c r="H404" s="133">
        <f>+Tabla555727951527473113410370[[#This Row],[COSTO]]/Tabla555727951527473113410370[[#This Row],[BASE]]</f>
        <v>0</v>
      </c>
      <c r="I404" s="134" t="e">
        <f>+Tabla555727951527473113410370[[#This Row],[BASE]]/Tabla555727951527473113410370[[#This Row],[COSTO]]</f>
        <v>#DIV/0!</v>
      </c>
      <c r="J404" s="135" t="e">
        <f>+VLOOKUP(Tabla555727951527473113410370[[#This Row],[VINO BLANCO]],#REF!,2,0)</f>
        <v>#REF!</v>
      </c>
      <c r="K404" s="136">
        <f t="shared" si="190"/>
        <v>0</v>
      </c>
      <c r="L404" s="131">
        <f t="shared" si="191"/>
        <v>0</v>
      </c>
      <c r="M404" s="137">
        <f>+Tabla555727951527473113410370[[#This Row],[PRECIO SUGERIDO]]+Tabla555727951527473113410370[[#This Row],[ICO2]]</f>
        <v>0</v>
      </c>
      <c r="N404" s="141">
        <f>+Tabla555727951527473113410370[[#This Row],[VENTA]]</f>
        <v>205000</v>
      </c>
      <c r="O404" s="132">
        <f t="shared" si="192"/>
        <v>15185.185185185184</v>
      </c>
      <c r="P404" s="139">
        <f t="shared" si="193"/>
        <v>189814.8148148148</v>
      </c>
      <c r="Q404" s="133">
        <f t="shared" si="196"/>
        <v>0</v>
      </c>
      <c r="R404" s="194" t="e">
        <f t="shared" si="194"/>
        <v>#DIV/0!</v>
      </c>
      <c r="S404" s="244">
        <v>250000</v>
      </c>
      <c r="T404" s="272">
        <f t="shared" si="195"/>
        <v>0</v>
      </c>
    </row>
    <row r="405" spans="1:20" x14ac:dyDescent="0.25">
      <c r="A405" s="113">
        <v>5</v>
      </c>
      <c r="B405" s="130" t="str">
        <f>+'VINO BLANCO'!B41</f>
        <v>FINCA LAS MORAS CHARDONAY</v>
      </c>
      <c r="C405" s="130"/>
      <c r="D405" s="131">
        <f>+'VINO BLANCO'!I44</f>
        <v>54495</v>
      </c>
      <c r="E405" s="132">
        <f>+'VINO BLANCO'!I45</f>
        <v>110000</v>
      </c>
      <c r="F405" s="132">
        <f t="shared" si="189"/>
        <v>8148.1481481481469</v>
      </c>
      <c r="G405" s="131">
        <f>+Tabla555727951527473113410370[[#This Row],[VENTA]]-Tabla555727951527473113410370[[#This Row],[ICO 8%]]</f>
        <v>101851.85185185185</v>
      </c>
      <c r="H405" s="133">
        <f>+Tabla555727951527473113410370[[#This Row],[COSTO]]/Tabla555727951527473113410370[[#This Row],[BASE]]</f>
        <v>0.53504181818181817</v>
      </c>
      <c r="I405" s="134">
        <f>+Tabla555727951527473113410370[[#This Row],[BASE]]/Tabla555727951527473113410370[[#This Row],[COSTO]]</f>
        <v>1.8690127874456712</v>
      </c>
      <c r="J405" s="135" t="e">
        <f>+VLOOKUP(Tabla555727951527473113410370[[#This Row],[VINO BLANCO]],#REF!,2,0)</f>
        <v>#REF!</v>
      </c>
      <c r="K405" s="136">
        <f t="shared" si="190"/>
        <v>217980.00000000003</v>
      </c>
      <c r="L405" s="131">
        <f t="shared" si="191"/>
        <v>16146.666666666668</v>
      </c>
      <c r="M405" s="137">
        <f>+Tabla555727951527473113410370[[#This Row],[PRECIO SUGERIDO]]+Tabla555727951527473113410370[[#This Row],[ICO2]]</f>
        <v>234126.66666666669</v>
      </c>
      <c r="N405" s="141">
        <f>+Tabla555727951527473113410370[[#This Row],[VENTA]]</f>
        <v>110000</v>
      </c>
      <c r="O405" s="132">
        <f t="shared" si="192"/>
        <v>8148.1481481481469</v>
      </c>
      <c r="P405" s="139">
        <f t="shared" si="193"/>
        <v>101851.85185185185</v>
      </c>
      <c r="Q405" s="133">
        <f t="shared" si="196"/>
        <v>0.53504181818181817</v>
      </c>
      <c r="R405" s="194">
        <f t="shared" si="194"/>
        <v>1.8690127874456712</v>
      </c>
      <c r="S405" s="244">
        <v>150000</v>
      </c>
      <c r="T405" s="272">
        <f t="shared" si="195"/>
        <v>0.36330000000000001</v>
      </c>
    </row>
    <row r="406" spans="1:20" x14ac:dyDescent="0.25">
      <c r="A406" s="113">
        <v>6</v>
      </c>
      <c r="B406" s="130" t="str">
        <f>+'VINO BLANCO'!B30</f>
        <v>FINCA LAS MORAS RESERVA CHARDONAY</v>
      </c>
      <c r="C406" s="130"/>
      <c r="D406" s="131">
        <f>+'VINO BLANCO'!I33</f>
        <v>49268.9</v>
      </c>
      <c r="E406" s="132">
        <f>+'VINO BLANCO'!I34</f>
        <v>140000</v>
      </c>
      <c r="F406" s="132">
        <f t="shared" si="189"/>
        <v>10370.37037037037</v>
      </c>
      <c r="G406" s="131">
        <f>+Tabla555727951527473113410370[[#This Row],[VENTA]]-Tabla555727951527473113410370[[#This Row],[ICO 8%]]</f>
        <v>129629.62962962964</v>
      </c>
      <c r="H406" s="133">
        <f>+Tabla555727951527473113410370[[#This Row],[COSTO]]/Tabla555727951527473113410370[[#This Row],[BASE]]</f>
        <v>0.38007437142857142</v>
      </c>
      <c r="I406" s="134">
        <f>+Tabla555727951527473113410370[[#This Row],[BASE]]/Tabla555727951527473113410370[[#This Row],[COSTO]]</f>
        <v>2.6310640105549266</v>
      </c>
      <c r="J406" s="135" t="e">
        <f>+VLOOKUP(Tabla555727951527473113410370[[#This Row],[VINO BLANCO]],#REF!,2,0)</f>
        <v>#REF!</v>
      </c>
      <c r="K406" s="136">
        <f t="shared" si="190"/>
        <v>197075.6</v>
      </c>
      <c r="L406" s="131">
        <f t="shared" si="191"/>
        <v>14598.192592592592</v>
      </c>
      <c r="M406" s="137">
        <f>+Tabla555727951527473113410370[[#This Row],[PRECIO SUGERIDO]]+Tabla555727951527473113410370[[#This Row],[ICO2]]</f>
        <v>211673.7925925926</v>
      </c>
      <c r="N406" s="141">
        <f>+Tabla555727951527473113410370[[#This Row],[VENTA]]</f>
        <v>140000</v>
      </c>
      <c r="O406" s="132">
        <f t="shared" si="192"/>
        <v>10370.37037037037</v>
      </c>
      <c r="P406" s="139">
        <f t="shared" si="193"/>
        <v>129629.62962962964</v>
      </c>
      <c r="Q406" s="133">
        <f t="shared" si="196"/>
        <v>0.38007437142857142</v>
      </c>
      <c r="R406" s="194">
        <f t="shared" si="194"/>
        <v>2.6310640105549266</v>
      </c>
      <c r="S406" s="308">
        <v>160000</v>
      </c>
      <c r="T406" s="272">
        <f t="shared" si="195"/>
        <v>0.30793062500000001</v>
      </c>
    </row>
    <row r="407" spans="1:20" x14ac:dyDescent="0.25">
      <c r="A407" s="113">
        <v>7</v>
      </c>
      <c r="B407" s="130" t="str">
        <f>+'VINO BLANCO'!B103</f>
        <v>MONTES ALPHA CHARDONAY</v>
      </c>
      <c r="C407" s="130"/>
      <c r="D407" s="131">
        <f>+'VINO BLANCO'!I106</f>
        <v>176000</v>
      </c>
      <c r="E407" s="132">
        <f>+'VINO BLANCO'!I107</f>
        <v>320000</v>
      </c>
      <c r="F407" s="132">
        <f t="shared" si="189"/>
        <v>23703.703703703704</v>
      </c>
      <c r="G407" s="131">
        <f>+Tabla555727951527473113410370[[#This Row],[VENTA]]-Tabla555727951527473113410370[[#This Row],[ICO 8%]]</f>
        <v>296296.29629629629</v>
      </c>
      <c r="H407" s="133">
        <f>+Tabla555727951527473113410370[[#This Row],[COSTO]]/Tabla555727951527473113410370[[#This Row],[BASE]]</f>
        <v>0.59399999999999997</v>
      </c>
      <c r="I407" s="134">
        <f>+Tabla555727951527473113410370[[#This Row],[BASE]]/Tabla555727951527473113410370[[#This Row],[COSTO]]</f>
        <v>1.6835016835016834</v>
      </c>
      <c r="J407" s="135" t="e">
        <f>+VLOOKUP(Tabla555727951527473113410370[[#This Row],[VINO BLANCO]],#REF!,2,0)</f>
        <v>#REF!</v>
      </c>
      <c r="K407" s="136">
        <f t="shared" si="190"/>
        <v>704000</v>
      </c>
      <c r="L407" s="131">
        <f t="shared" si="191"/>
        <v>52148.148148148146</v>
      </c>
      <c r="M407" s="137">
        <f>+Tabla555727951527473113410370[[#This Row],[PRECIO SUGERIDO]]+Tabla555727951527473113410370[[#This Row],[ICO2]]</f>
        <v>756148.14814814809</v>
      </c>
      <c r="N407" s="141">
        <f>+Tabla555727951527473113410370[[#This Row],[VENTA]]</f>
        <v>320000</v>
      </c>
      <c r="O407" s="132">
        <f t="shared" si="192"/>
        <v>23703.703703703704</v>
      </c>
      <c r="P407" s="139">
        <f t="shared" si="193"/>
        <v>296296.29629629629</v>
      </c>
      <c r="Q407" s="133">
        <f t="shared" si="196"/>
        <v>0.59399999999999997</v>
      </c>
      <c r="R407" s="194">
        <f t="shared" si="194"/>
        <v>1.6835016835016834</v>
      </c>
      <c r="S407" s="244">
        <v>450000</v>
      </c>
      <c r="T407" s="272">
        <f t="shared" si="195"/>
        <v>0.39111111111111113</v>
      </c>
    </row>
    <row r="408" spans="1:20" x14ac:dyDescent="0.25">
      <c r="A408" s="113">
        <v>10</v>
      </c>
      <c r="B408" s="130" t="str">
        <f>+'VINO BLANCO'!B91</f>
        <v>SANTA EMA CHARDONAY</v>
      </c>
      <c r="C408" s="130"/>
      <c r="D408" s="131">
        <f>+'VINO BLANCO'!I94</f>
        <v>90057</v>
      </c>
      <c r="E408" s="132">
        <f>+'VINO BLANCO'!I95</f>
        <v>145000</v>
      </c>
      <c r="F408" s="132">
        <f t="shared" si="189"/>
        <v>10740.740740740739</v>
      </c>
      <c r="G408" s="131">
        <f>+Tabla555727951527473113410370[[#This Row],[VENTA]]-Tabla555727951527473113410370[[#This Row],[ICO 8%]]</f>
        <v>134259.25925925927</v>
      </c>
      <c r="H408" s="133">
        <f>+Tabla555727951527473113410370[[#This Row],[COSTO]]/Tabla555727951527473113410370[[#This Row],[BASE]]</f>
        <v>0.67076937931034475</v>
      </c>
      <c r="I408" s="134">
        <f>+Tabla555727951527473113410370[[#This Row],[BASE]]/Tabla555727951527473113410370[[#This Row],[COSTO]]</f>
        <v>1.4908253579317463</v>
      </c>
      <c r="J408" s="135" t="e">
        <f>+VLOOKUP(Tabla555727951527473113410370[[#This Row],[VINO BLANCO]],#REF!,2,0)</f>
        <v>#REF!</v>
      </c>
      <c r="K408" s="136">
        <f t="shared" si="190"/>
        <v>360228</v>
      </c>
      <c r="L408" s="131">
        <f t="shared" si="191"/>
        <v>26683.555555555555</v>
      </c>
      <c r="M408" s="137">
        <f>+Tabla555727951527473113410370[[#This Row],[PRECIO SUGERIDO]]+Tabla555727951527473113410370[[#This Row],[ICO2]]</f>
        <v>386911.55555555556</v>
      </c>
      <c r="N408" s="138">
        <v>170000</v>
      </c>
      <c r="O408" s="132">
        <f t="shared" si="192"/>
        <v>12592.592592592591</v>
      </c>
      <c r="P408" s="139">
        <f t="shared" si="193"/>
        <v>157407.40740740742</v>
      </c>
      <c r="Q408" s="133">
        <f t="shared" si="196"/>
        <v>0.57212682352941169</v>
      </c>
      <c r="R408" s="194">
        <f t="shared" si="194"/>
        <v>1.7478642127475645</v>
      </c>
      <c r="S408" s="244">
        <v>230000</v>
      </c>
      <c r="T408" s="272">
        <f t="shared" si="195"/>
        <v>0.39155217391304348</v>
      </c>
    </row>
    <row r="409" spans="1:20" ht="13.8" thickBot="1" x14ac:dyDescent="0.3">
      <c r="A409" s="113">
        <v>11</v>
      </c>
      <c r="B409" s="143" t="str">
        <f>+'VINO BLANCO'!B79</f>
        <v>SANTA EMA RESERVAS MEDIA CHARDONAY</v>
      </c>
      <c r="C409" s="143"/>
      <c r="D409" s="144">
        <f>+'VINO BLANCO'!I82</f>
        <v>0</v>
      </c>
      <c r="E409" s="145">
        <f>+'VINO BLANCO'!I83</f>
        <v>100000</v>
      </c>
      <c r="F409" s="145">
        <f t="shared" si="189"/>
        <v>7407.4074074074069</v>
      </c>
      <c r="G409" s="144">
        <f>+Tabla555727951527473113410370[[#This Row],[VENTA]]-Tabla555727951527473113410370[[#This Row],[ICO 8%]]</f>
        <v>92592.592592592599</v>
      </c>
      <c r="H409" s="146">
        <f>+Tabla555727951527473113410370[[#This Row],[COSTO]]/Tabla555727951527473113410370[[#This Row],[BASE]]</f>
        <v>0</v>
      </c>
      <c r="I409" s="147" t="e">
        <f>+Tabla555727951527473113410370[[#This Row],[BASE]]/Tabla555727951527473113410370[[#This Row],[COSTO]]</f>
        <v>#DIV/0!</v>
      </c>
      <c r="J409" s="148" t="e">
        <f>+VLOOKUP(Tabla555727951527473113410370[[#This Row],[VINO BLANCO]],#REF!,2,0)</f>
        <v>#REF!</v>
      </c>
      <c r="K409" s="149">
        <f t="shared" si="190"/>
        <v>0</v>
      </c>
      <c r="L409" s="144">
        <f t="shared" si="191"/>
        <v>0</v>
      </c>
      <c r="M409" s="150">
        <f>+Tabla555727951527473113410370[[#This Row],[PRECIO SUGERIDO]]+Tabla555727951527473113410370[[#This Row],[ICO2]]</f>
        <v>0</v>
      </c>
      <c r="N409" s="141">
        <f>+Tabla555727951527473113410370[[#This Row],[VENTA]]</f>
        <v>100000</v>
      </c>
      <c r="O409" s="145">
        <f t="shared" si="192"/>
        <v>7407.4074074074069</v>
      </c>
      <c r="P409" s="151">
        <f t="shared" si="193"/>
        <v>92592.592592592599</v>
      </c>
      <c r="Q409" s="146">
        <f t="shared" si="196"/>
        <v>0</v>
      </c>
      <c r="R409" s="196" t="e">
        <f t="shared" si="194"/>
        <v>#DIV/0!</v>
      </c>
      <c r="S409" s="308">
        <v>150000</v>
      </c>
      <c r="T409" s="272">
        <f t="shared" si="195"/>
        <v>0</v>
      </c>
    </row>
    <row r="410" spans="1:20" ht="13.8" thickBot="1" x14ac:dyDescent="0.3">
      <c r="B410" s="153" t="s">
        <v>35</v>
      </c>
      <c r="C410" s="181"/>
      <c r="D410" s="155"/>
      <c r="E410" s="156"/>
      <c r="F410" s="156"/>
      <c r="G410" s="155"/>
      <c r="H410" s="158" t="e">
        <f>SUBTOTAL(101,Tabla555727951527473113410370[%])</f>
        <v>#N/A</v>
      </c>
      <c r="I410" s="156"/>
      <c r="J410" s="156"/>
      <c r="K410" s="159"/>
      <c r="L410" s="155"/>
      <c r="M410" s="156"/>
      <c r="N410" s="160"/>
      <c r="O410" s="156"/>
      <c r="P410" s="155"/>
      <c r="Q410" s="161"/>
      <c r="R410" s="162" t="e">
        <f>SUBTOTAL(109,Tabla555727951527473113410370[RATION])</f>
        <v>#N/A</v>
      </c>
      <c r="S410" s="232"/>
      <c r="T410" s="275"/>
    </row>
    <row r="418" spans="1:20" x14ac:dyDescent="0.25">
      <c r="E418" s="117" t="s">
        <v>25</v>
      </c>
      <c r="F418" s="114"/>
      <c r="G418" s="118"/>
      <c r="H418" s="114"/>
      <c r="I418" s="114"/>
      <c r="J418" s="70"/>
      <c r="K418" s="396" t="s">
        <v>29</v>
      </c>
      <c r="L418" s="396"/>
      <c r="M418" s="396"/>
      <c r="N418" s="395" t="s">
        <v>1090</v>
      </c>
      <c r="O418" s="395"/>
      <c r="P418" s="395"/>
      <c r="Q418" s="395"/>
    </row>
    <row r="419" spans="1:20" x14ac:dyDescent="0.25">
      <c r="A419" s="206"/>
      <c r="B419" s="183" t="s">
        <v>432</v>
      </c>
      <c r="C419" s="184" t="s">
        <v>319</v>
      </c>
      <c r="D419" s="185" t="s">
        <v>7</v>
      </c>
      <c r="E419" s="186" t="s">
        <v>20</v>
      </c>
      <c r="F419" s="187" t="s">
        <v>33</v>
      </c>
      <c r="G419" s="185" t="s">
        <v>26</v>
      </c>
      <c r="H419" s="188" t="s">
        <v>21</v>
      </c>
      <c r="I419" s="189" t="s">
        <v>22</v>
      </c>
      <c r="J419" s="189" t="s">
        <v>23</v>
      </c>
      <c r="K419" s="189" t="s">
        <v>27</v>
      </c>
      <c r="L419" s="185" t="s">
        <v>32</v>
      </c>
      <c r="M419" s="189" t="s">
        <v>28</v>
      </c>
      <c r="N419" s="190" t="s">
        <v>30</v>
      </c>
      <c r="O419" s="185" t="s">
        <v>34</v>
      </c>
      <c r="P419" s="185" t="s">
        <v>25</v>
      </c>
      <c r="Q419" s="191" t="s">
        <v>31</v>
      </c>
      <c r="R419" s="192" t="s">
        <v>24</v>
      </c>
      <c r="S419" s="234" t="s">
        <v>1262</v>
      </c>
      <c r="T419" s="276" t="s">
        <v>1263</v>
      </c>
    </row>
    <row r="420" spans="1:20" x14ac:dyDescent="0.25">
      <c r="A420" s="113">
        <v>1</v>
      </c>
      <c r="B420" s="130" t="str">
        <f>+'CHAMPAÑAS Y ESPUMOSOS'!B6</f>
        <v>NAVARRO COREAS EXTRA BRUT</v>
      </c>
      <c r="C420" s="130"/>
      <c r="D420" s="131">
        <f>+'CHAMPAÑAS Y ESPUMOSOS'!I9</f>
        <v>80870</v>
      </c>
      <c r="E420" s="132">
        <f>+'CHAMPAÑAS Y ESPUMOSOS'!I10</f>
        <v>184000</v>
      </c>
      <c r="F420" s="132">
        <f>+E420/1.08*0.08</f>
        <v>13629.62962962963</v>
      </c>
      <c r="G420" s="131">
        <f>+Tabla555727951527473113411[[#This Row],[VENTA]]-Tabla555727951527473113411[[#This Row],[ICO 8%]]</f>
        <v>170370.37037037036</v>
      </c>
      <c r="H420" s="133">
        <f>+Tabla555727951527473113411[[#This Row],[COSTO]]/Tabla555727951527473113411[[#This Row],[BASE]]</f>
        <v>0.47467173913043481</v>
      </c>
      <c r="I420" s="134">
        <f>+Tabla555727951527473113411[[#This Row],[BASE]]/Tabla555727951527473113411[[#This Row],[COSTO]]</f>
        <v>2.1067190598537202</v>
      </c>
      <c r="J420" s="135" t="e">
        <f>+VLOOKUP(Tabla555727951527473113411[[#This Row],[CHAPAÑAS Y ESPUMOSOSO]],#REF!,2,0)</f>
        <v>#REF!</v>
      </c>
      <c r="K420" s="136">
        <f t="shared" ref="K420:K425" si="197">+D420/(100-75)*100</f>
        <v>323480</v>
      </c>
      <c r="L420" s="131">
        <f>+K420/1.08*0.08</f>
        <v>23961.481481481478</v>
      </c>
      <c r="M420" s="137">
        <f>+Tabla555727951527473113411[[#This Row],[PRECIO SUGERIDO]]+Tabla555727951527473113411[[#This Row],[ICO2]]</f>
        <v>347441.48148148146</v>
      </c>
      <c r="N420" s="141">
        <f>+Tabla555727951527473113411[[#This Row],[VENTA]]</f>
        <v>184000</v>
      </c>
      <c r="O420" s="132">
        <f>+N420/1.08*0.08</f>
        <v>13629.62962962963</v>
      </c>
      <c r="P420" s="139">
        <f t="shared" ref="P420" si="198">+N420-O420</f>
        <v>170370.37037037036</v>
      </c>
      <c r="Q420" s="133">
        <f t="shared" ref="Q420:Q425" si="199">+D420/P420</f>
        <v>0.47467173913043481</v>
      </c>
      <c r="R420" s="194">
        <f t="shared" ref="R420:R425" si="200">+P420/D420</f>
        <v>2.1067190598537202</v>
      </c>
      <c r="S420" s="244">
        <v>210000</v>
      </c>
      <c r="T420" s="272">
        <f t="shared" ref="T420:T425" si="201">+D420/S420</f>
        <v>0.3850952380952381</v>
      </c>
    </row>
    <row r="421" spans="1:20" x14ac:dyDescent="0.25">
      <c r="A421" s="113">
        <v>2</v>
      </c>
      <c r="B421" s="130" t="str">
        <f>+'CHAMPAÑAS Y ESPUMOSOS'!B22</f>
        <v>NAVARRO COREAS EXTRA BRUT ROSE</v>
      </c>
      <c r="C421" s="130"/>
      <c r="D421" s="131">
        <f>+'CHAMPAÑAS Y ESPUMOSOS'!I25</f>
        <v>80870</v>
      </c>
      <c r="E421" s="132">
        <f>+'CHAMPAÑAS Y ESPUMOSOS'!I26</f>
        <v>184000</v>
      </c>
      <c r="F421" s="132">
        <f t="shared" ref="F421:F425" si="202">+E421/1.08*0.08</f>
        <v>13629.62962962963</v>
      </c>
      <c r="G421" s="131">
        <f>+Tabla555727951527473113411[[#This Row],[VENTA]]-Tabla555727951527473113411[[#This Row],[ICO 8%]]</f>
        <v>170370.37037037036</v>
      </c>
      <c r="H421" s="133">
        <f>+Tabla555727951527473113411[[#This Row],[COSTO]]/Tabla555727951527473113411[[#This Row],[BASE]]</f>
        <v>0.47467173913043481</v>
      </c>
      <c r="I421" s="134">
        <f>+Tabla555727951527473113411[[#This Row],[BASE]]/Tabla555727951527473113411[[#This Row],[COSTO]]</f>
        <v>2.1067190598537202</v>
      </c>
      <c r="J421" s="135" t="e">
        <f>+VLOOKUP(Tabla555727951527473113411[[#This Row],[CHAPAÑAS Y ESPUMOSOSO]],#REF!,2,0)</f>
        <v>#REF!</v>
      </c>
      <c r="K421" s="136">
        <f t="shared" si="197"/>
        <v>323480</v>
      </c>
      <c r="L421" s="131">
        <f t="shared" ref="L421:L425" si="203">+K421/1.08*0.08</f>
        <v>23961.481481481478</v>
      </c>
      <c r="M421" s="137">
        <f>+Tabla555727951527473113411[[#This Row],[PRECIO SUGERIDO]]+Tabla555727951527473113411[[#This Row],[ICO2]]</f>
        <v>347441.48148148146</v>
      </c>
      <c r="N421" s="141">
        <f>+Tabla555727951527473113411[[#This Row],[VENTA]]</f>
        <v>184000</v>
      </c>
      <c r="O421" s="132">
        <f t="shared" ref="O421:O425" si="204">+N421/1.08*0.08</f>
        <v>13629.62962962963</v>
      </c>
      <c r="P421" s="139">
        <f t="shared" ref="P421:P425" si="205">+N421-O421</f>
        <v>170370.37037037036</v>
      </c>
      <c r="Q421" s="133">
        <f t="shared" si="199"/>
        <v>0.47467173913043481</v>
      </c>
      <c r="R421" s="194">
        <f t="shared" si="200"/>
        <v>2.1067190598537202</v>
      </c>
      <c r="S421" s="244">
        <v>210000</v>
      </c>
      <c r="T421" s="272">
        <f t="shared" si="201"/>
        <v>0.3850952380952381</v>
      </c>
    </row>
    <row r="422" spans="1:20" x14ac:dyDescent="0.25">
      <c r="A422" s="113">
        <v>4</v>
      </c>
      <c r="B422" s="130" t="str">
        <f>+'CHAMPAÑAS Y ESPUMOSOS'!B45</f>
        <v>VINO PICCINI LAMBRUSCI TINTO REGNO DOC</v>
      </c>
      <c r="C422" s="130"/>
      <c r="D422" s="131">
        <f>+'CHAMPAÑAS Y ESPUMOSOS'!I48</f>
        <v>37617</v>
      </c>
      <c r="E422" s="132">
        <f>+'CHAMPAÑAS Y ESPUMOSOS'!I49</f>
        <v>110000</v>
      </c>
      <c r="F422" s="132">
        <f t="shared" si="202"/>
        <v>8148.1481481481469</v>
      </c>
      <c r="G422" s="131">
        <f>+Tabla555727951527473113411[[#This Row],[VENTA]]-Tabla555727951527473113411[[#This Row],[ICO 8%]]</f>
        <v>101851.85185185185</v>
      </c>
      <c r="H422" s="133">
        <f>+Tabla555727951527473113411[[#This Row],[COSTO]]/Tabla555727951527473113411[[#This Row],[BASE]]</f>
        <v>0.36933054545454547</v>
      </c>
      <c r="I422" s="134">
        <f>+Tabla555727951527473113411[[#This Row],[BASE]]/Tabla555727951527473113411[[#This Row],[COSTO]]</f>
        <v>2.7076016655196282</v>
      </c>
      <c r="J422" s="135" t="e">
        <f>+VLOOKUP(Tabla555727951527473113411[[#This Row],[CHAPAÑAS Y ESPUMOSOSO]],#REF!,2,0)</f>
        <v>#REF!</v>
      </c>
      <c r="K422" s="136">
        <f t="shared" si="197"/>
        <v>150468</v>
      </c>
      <c r="L422" s="131">
        <f t="shared" si="203"/>
        <v>11145.777777777777</v>
      </c>
      <c r="M422" s="137">
        <f>+Tabla555727951527473113411[[#This Row],[PRECIO SUGERIDO]]+Tabla555727951527473113411[[#This Row],[ICO2]]</f>
        <v>161613.77777777778</v>
      </c>
      <c r="N422" s="141">
        <f>+Tabla555727951527473113411[[#This Row],[VENTA]]</f>
        <v>110000</v>
      </c>
      <c r="O422" s="132">
        <f t="shared" si="204"/>
        <v>8148.1481481481469</v>
      </c>
      <c r="P422" s="139">
        <f t="shared" si="205"/>
        <v>101851.85185185185</v>
      </c>
      <c r="Q422" s="133">
        <f t="shared" si="199"/>
        <v>0.36933054545454547</v>
      </c>
      <c r="R422" s="194">
        <f t="shared" si="200"/>
        <v>2.7076016655196282</v>
      </c>
      <c r="S422" s="244">
        <v>120000</v>
      </c>
      <c r="T422" s="272">
        <f t="shared" si="201"/>
        <v>0.313475</v>
      </c>
    </row>
    <row r="423" spans="1:20" x14ac:dyDescent="0.25">
      <c r="A423" s="113">
        <v>5</v>
      </c>
      <c r="B423" s="130" t="str">
        <f>+'CHAMPAÑAS Y ESPUMOSOS'!B60</f>
        <v>VINO PICCINI LAMBRUSCO ROSADO REGNO</v>
      </c>
      <c r="C423" s="130"/>
      <c r="D423" s="131">
        <f>+'CHAMPAÑAS Y ESPUMOSOS'!I63</f>
        <v>37617</v>
      </c>
      <c r="E423" s="132">
        <f>+'CHAMPAÑAS Y ESPUMOSOS'!I64</f>
        <v>110000</v>
      </c>
      <c r="F423" s="132">
        <f t="shared" si="202"/>
        <v>8148.1481481481469</v>
      </c>
      <c r="G423" s="131">
        <f>+Tabla555727951527473113411[[#This Row],[VENTA]]-Tabla555727951527473113411[[#This Row],[ICO 8%]]</f>
        <v>101851.85185185185</v>
      </c>
      <c r="H423" s="133">
        <f>+Tabla555727951527473113411[[#This Row],[COSTO]]/Tabla555727951527473113411[[#This Row],[BASE]]</f>
        <v>0.36933054545454547</v>
      </c>
      <c r="I423" s="134">
        <f>+Tabla555727951527473113411[[#This Row],[BASE]]/Tabla555727951527473113411[[#This Row],[COSTO]]</f>
        <v>2.7076016655196282</v>
      </c>
      <c r="J423" s="135" t="e">
        <f>+VLOOKUP(Tabla555727951527473113411[[#This Row],[CHAPAÑAS Y ESPUMOSOSO]],#REF!,2,0)</f>
        <v>#REF!</v>
      </c>
      <c r="K423" s="136">
        <f t="shared" si="197"/>
        <v>150468</v>
      </c>
      <c r="L423" s="131">
        <f t="shared" si="203"/>
        <v>11145.777777777777</v>
      </c>
      <c r="M423" s="137">
        <f>+Tabla555727951527473113411[[#This Row],[PRECIO SUGERIDO]]+Tabla555727951527473113411[[#This Row],[ICO2]]</f>
        <v>161613.77777777778</v>
      </c>
      <c r="N423" s="141">
        <f>+Tabla555727951527473113411[[#This Row],[VENTA]]</f>
        <v>110000</v>
      </c>
      <c r="O423" s="132">
        <f t="shared" si="204"/>
        <v>8148.1481481481469</v>
      </c>
      <c r="P423" s="139">
        <f t="shared" si="205"/>
        <v>101851.85185185185</v>
      </c>
      <c r="Q423" s="133">
        <f t="shared" si="199"/>
        <v>0.36933054545454547</v>
      </c>
      <c r="R423" s="194">
        <f t="shared" si="200"/>
        <v>2.7076016655196282</v>
      </c>
      <c r="S423" s="244">
        <v>120000</v>
      </c>
      <c r="T423" s="272">
        <f t="shared" si="201"/>
        <v>0.313475</v>
      </c>
    </row>
    <row r="424" spans="1:20" x14ac:dyDescent="0.25">
      <c r="A424" s="113">
        <v>6</v>
      </c>
      <c r="B424" s="199" t="str">
        <f>+'CHAMPAÑAS Y ESPUMOSOS'!B72</f>
        <v>SPARKLING ANGEL</v>
      </c>
      <c r="C424" s="130"/>
      <c r="D424" s="131">
        <f>+'CHAMPAÑAS Y ESPUMOSOS'!I75</f>
        <v>0</v>
      </c>
      <c r="E424" s="132">
        <f>+'CHAMPAÑAS Y ESPUMOSOS'!I76</f>
        <v>369000</v>
      </c>
      <c r="F424" s="132">
        <f t="shared" si="202"/>
        <v>27333.333333333332</v>
      </c>
      <c r="G424" s="131">
        <f>+Tabla555727951527473113411[[#This Row],[VENTA]]-Tabla555727951527473113411[[#This Row],[ICO 8%]]</f>
        <v>341666.66666666669</v>
      </c>
      <c r="H424" s="133">
        <f>+Tabla555727951527473113411[[#This Row],[COSTO]]/Tabla555727951527473113411[[#This Row],[BASE]]</f>
        <v>0</v>
      </c>
      <c r="I424" s="134" t="e">
        <f>+Tabla555727951527473113411[[#This Row],[BASE]]/Tabla555727951527473113411[[#This Row],[COSTO]]</f>
        <v>#DIV/0!</v>
      </c>
      <c r="J424" s="135" t="e">
        <f>+VLOOKUP(Tabla555727951527473113411[[#This Row],[CHAPAÑAS Y ESPUMOSOSO]],#REF!,2,0)</f>
        <v>#REF!</v>
      </c>
      <c r="K424" s="136">
        <f t="shared" si="197"/>
        <v>0</v>
      </c>
      <c r="L424" s="131">
        <f t="shared" si="203"/>
        <v>0</v>
      </c>
      <c r="M424" s="137">
        <f>+Tabla555727951527473113411[[#This Row],[PRECIO SUGERIDO]]+Tabla555727951527473113411[[#This Row],[ICO2]]</f>
        <v>0</v>
      </c>
      <c r="N424" s="141">
        <f>+Tabla555727951527473113411[[#This Row],[VENTA]]</f>
        <v>369000</v>
      </c>
      <c r="O424" s="132">
        <f t="shared" si="204"/>
        <v>27333.333333333332</v>
      </c>
      <c r="P424" s="139">
        <f t="shared" si="205"/>
        <v>341666.66666666669</v>
      </c>
      <c r="Q424" s="133">
        <f t="shared" si="199"/>
        <v>0</v>
      </c>
      <c r="R424" s="194" t="e">
        <f t="shared" si="200"/>
        <v>#DIV/0!</v>
      </c>
      <c r="S424" s="308">
        <v>450000</v>
      </c>
      <c r="T424" s="272">
        <f t="shared" si="201"/>
        <v>0</v>
      </c>
    </row>
    <row r="425" spans="1:20" ht="13.8" thickBot="1" x14ac:dyDescent="0.3">
      <c r="A425" s="113">
        <v>7</v>
      </c>
      <c r="B425" s="269" t="str">
        <f>+'CHAMPAÑAS Y ESPUMOSOS'!B84</f>
        <v>CAVA DON ROMAN ROSE</v>
      </c>
      <c r="C425" s="143"/>
      <c r="D425" s="144">
        <f>+'CHAMPAÑAS Y ESPUMOSOS'!I87</f>
        <v>0</v>
      </c>
      <c r="E425" s="145">
        <f>+'CHAMPAÑAS Y ESPUMOSOS'!I88</f>
        <v>156000</v>
      </c>
      <c r="F425" s="145">
        <f t="shared" si="202"/>
        <v>11555.555555555555</v>
      </c>
      <c r="G425" s="144">
        <f>+Tabla555727951527473113411[[#This Row],[VENTA]]-Tabla555727951527473113411[[#This Row],[ICO 8%]]</f>
        <v>144444.44444444444</v>
      </c>
      <c r="H425" s="146">
        <f>+Tabla555727951527473113411[[#This Row],[COSTO]]/Tabla555727951527473113411[[#This Row],[BASE]]</f>
        <v>0</v>
      </c>
      <c r="I425" s="147" t="e">
        <f>+Tabla555727951527473113411[[#This Row],[BASE]]/Tabla555727951527473113411[[#This Row],[COSTO]]</f>
        <v>#DIV/0!</v>
      </c>
      <c r="J425" s="148" t="e">
        <f>+VLOOKUP(Tabla555727951527473113411[[#This Row],[CHAPAÑAS Y ESPUMOSOSO]],#REF!,2,0)</f>
        <v>#REF!</v>
      </c>
      <c r="K425" s="149">
        <f t="shared" si="197"/>
        <v>0</v>
      </c>
      <c r="L425" s="144">
        <f t="shared" si="203"/>
        <v>0</v>
      </c>
      <c r="M425" s="150">
        <f>+Tabla555727951527473113411[[#This Row],[PRECIO SUGERIDO]]+Tabla555727951527473113411[[#This Row],[ICO2]]</f>
        <v>0</v>
      </c>
      <c r="N425" s="195">
        <f>+Tabla555727951527473113411[[#This Row],[VENTA]]</f>
        <v>156000</v>
      </c>
      <c r="O425" s="145">
        <f t="shared" si="204"/>
        <v>11555.555555555555</v>
      </c>
      <c r="P425" s="151">
        <f t="shared" si="205"/>
        <v>144444.44444444444</v>
      </c>
      <c r="Q425" s="146">
        <f t="shared" si="199"/>
        <v>0</v>
      </c>
      <c r="R425" s="196" t="e">
        <f t="shared" si="200"/>
        <v>#DIV/0!</v>
      </c>
      <c r="S425" s="244">
        <v>180000</v>
      </c>
      <c r="T425" s="272">
        <f t="shared" si="201"/>
        <v>0</v>
      </c>
    </row>
    <row r="426" spans="1:20" ht="13.8" thickBot="1" x14ac:dyDescent="0.3">
      <c r="B426" s="153" t="s">
        <v>35</v>
      </c>
      <c r="C426" s="181"/>
      <c r="D426" s="155"/>
      <c r="E426" s="156"/>
      <c r="F426" s="156"/>
      <c r="G426" s="155"/>
      <c r="H426" s="158">
        <f>SUBTOTAL(101,Tabla555727951527473113411[%])</f>
        <v>0.28133409486166011</v>
      </c>
      <c r="I426" s="156"/>
      <c r="J426" s="156"/>
      <c r="K426" s="159"/>
      <c r="L426" s="155"/>
      <c r="M426" s="156"/>
      <c r="N426" s="160"/>
      <c r="O426" s="156"/>
      <c r="P426" s="155"/>
      <c r="Q426" s="161"/>
      <c r="R426" s="162" t="e">
        <f>SUBTOTAL(109,Tabla555727951527473113411[RATION])</f>
        <v>#DIV/0!</v>
      </c>
      <c r="S426" s="232"/>
      <c r="T426" s="275"/>
    </row>
    <row r="429" spans="1:20" x14ac:dyDescent="0.25">
      <c r="E429" s="117" t="s">
        <v>25</v>
      </c>
      <c r="F429" s="114"/>
      <c r="G429" s="118"/>
      <c r="H429" s="114"/>
      <c r="I429" s="114"/>
      <c r="J429" s="70"/>
      <c r="K429" s="396" t="s">
        <v>29</v>
      </c>
      <c r="L429" s="396"/>
      <c r="M429" s="396"/>
      <c r="N429" s="395" t="s">
        <v>1090</v>
      </c>
      <c r="O429" s="395"/>
      <c r="P429" s="395"/>
      <c r="Q429" s="395"/>
    </row>
    <row r="430" spans="1:20" x14ac:dyDescent="0.25">
      <c r="B430" s="183" t="s">
        <v>439</v>
      </c>
      <c r="C430" s="184" t="s">
        <v>316</v>
      </c>
      <c r="D430" s="185" t="s">
        <v>7</v>
      </c>
      <c r="E430" s="186" t="s">
        <v>20</v>
      </c>
      <c r="F430" s="187" t="s">
        <v>33</v>
      </c>
      <c r="G430" s="185" t="s">
        <v>26</v>
      </c>
      <c r="H430" s="188" t="s">
        <v>21</v>
      </c>
      <c r="I430" s="189" t="s">
        <v>22</v>
      </c>
      <c r="J430" s="189" t="s">
        <v>23</v>
      </c>
      <c r="K430" s="189" t="s">
        <v>27</v>
      </c>
      <c r="L430" s="185" t="s">
        <v>32</v>
      </c>
      <c r="M430" s="189" t="s">
        <v>28</v>
      </c>
      <c r="N430" s="190" t="s">
        <v>30</v>
      </c>
      <c r="O430" s="185" t="s">
        <v>34</v>
      </c>
      <c r="P430" s="185" t="s">
        <v>25</v>
      </c>
      <c r="Q430" s="191" t="s">
        <v>31</v>
      </c>
      <c r="R430" s="192" t="s">
        <v>24</v>
      </c>
      <c r="S430" s="234" t="s">
        <v>1262</v>
      </c>
      <c r="T430" s="276" t="s">
        <v>1263</v>
      </c>
    </row>
    <row r="431" spans="1:20" ht="13.8" thickBot="1" x14ac:dyDescent="0.3">
      <c r="A431" s="113">
        <v>1</v>
      </c>
      <c r="B431" s="143" t="str">
        <f>+REFAJO!B6</f>
        <v>REFAJO</v>
      </c>
      <c r="C431" s="143" t="s">
        <v>515</v>
      </c>
      <c r="D431" s="144">
        <f>+REFAJO!K9</f>
        <v>18309.980379841501</v>
      </c>
      <c r="E431" s="145">
        <f>+REFAJO!K10</f>
        <v>75000</v>
      </c>
      <c r="F431" s="145">
        <f>+E431/1.08*0.08</f>
        <v>5555.5555555555547</v>
      </c>
      <c r="G431" s="144">
        <f>+Tabla555727951527473113411318[[#This Row],[VENTA]]-Tabla555727951527473113411318[[#This Row],[ICO 8%]]</f>
        <v>69444.444444444438</v>
      </c>
      <c r="H431" s="146">
        <f>+Tabla555727951527473113411318[[#This Row],[COSTO]]/Tabla555727951527473113411318[[#This Row],[BASE]]</f>
        <v>0.26366371746971762</v>
      </c>
      <c r="I431" s="147">
        <f>+Tabla555727951527473113411318[[#This Row],[BASE]]/Tabla555727951527473113411318[[#This Row],[COSTO]]</f>
        <v>3.7927099321690032</v>
      </c>
      <c r="J431" s="148" t="e">
        <f>+VLOOKUP(Tabla555727951527473113411318[[#This Row],[REFAJO]],#REF!,2,0)</f>
        <v>#REF!</v>
      </c>
      <c r="K431" s="149">
        <f t="shared" ref="K431" si="206">+D431/(100-75)*100</f>
        <v>73239.921519366006</v>
      </c>
      <c r="L431" s="144">
        <f>+K431/1.08*0.08</f>
        <v>5425.1793718048893</v>
      </c>
      <c r="M431" s="150">
        <f>+Tabla555727951527473113411318[[#This Row],[PRECIO SUGERIDO]]+Tabla555727951527473113411318[[#This Row],[ICO2]]</f>
        <v>78665.100891170892</v>
      </c>
      <c r="N431" s="195">
        <v>75000</v>
      </c>
      <c r="O431" s="145">
        <f>+N431/1.08*0.08</f>
        <v>5555.5555555555547</v>
      </c>
      <c r="P431" s="151">
        <f t="shared" ref="P431" si="207">+N431-O431</f>
        <v>69444.444444444438</v>
      </c>
      <c r="Q431" s="146">
        <f t="shared" ref="Q431" si="208">+D431/P431</f>
        <v>0.26366371746971762</v>
      </c>
      <c r="R431" s="196">
        <f t="shared" ref="R431" si="209">+P431/D431</f>
        <v>3.7927099321690032</v>
      </c>
      <c r="S431" s="244">
        <v>75000</v>
      </c>
      <c r="T431" s="272">
        <f t="shared" ref="T431" si="210">+D431/S431</f>
        <v>0.24413307173122001</v>
      </c>
    </row>
    <row r="432" spans="1:20" ht="13.8" thickBot="1" x14ac:dyDescent="0.3">
      <c r="B432" s="153" t="s">
        <v>35</v>
      </c>
      <c r="C432" s="181"/>
      <c r="D432" s="155"/>
      <c r="E432" s="156"/>
      <c r="F432" s="156"/>
      <c r="G432" s="155"/>
      <c r="H432" s="158">
        <f>SUBTOTAL(101,Tabla555727951527473113411318[%])</f>
        <v>0.26366371746971762</v>
      </c>
      <c r="I432" s="156"/>
      <c r="J432" s="156"/>
      <c r="K432" s="159"/>
      <c r="L432" s="155"/>
      <c r="M432" s="156"/>
      <c r="N432" s="160"/>
      <c r="O432" s="156"/>
      <c r="P432" s="155"/>
      <c r="Q432" s="161"/>
      <c r="R432" s="162">
        <f>SUBTOTAL(109,Tabla555727951527473113411318[RATION])</f>
        <v>3.7927099321690032</v>
      </c>
      <c r="S432" s="232"/>
      <c r="T432" s="275"/>
    </row>
    <row r="434" spans="1:20" x14ac:dyDescent="0.25">
      <c r="J434" s="70"/>
    </row>
    <row r="435" spans="1:20" x14ac:dyDescent="0.25">
      <c r="E435" s="117" t="s">
        <v>25</v>
      </c>
      <c r="F435" s="114"/>
      <c r="G435" s="118"/>
      <c r="H435" s="114"/>
      <c r="I435" s="114"/>
      <c r="J435" s="70"/>
      <c r="K435" s="396" t="s">
        <v>29</v>
      </c>
      <c r="L435" s="396"/>
      <c r="M435" s="396"/>
      <c r="N435" s="395" t="s">
        <v>1090</v>
      </c>
      <c r="O435" s="395"/>
      <c r="P435" s="395"/>
      <c r="Q435" s="395"/>
    </row>
    <row r="436" spans="1:20" x14ac:dyDescent="0.25">
      <c r="B436" s="183" t="s">
        <v>443</v>
      </c>
      <c r="C436" s="184" t="s">
        <v>316</v>
      </c>
      <c r="D436" s="185" t="s">
        <v>7</v>
      </c>
      <c r="E436" s="186" t="s">
        <v>20</v>
      </c>
      <c r="F436" s="187" t="s">
        <v>33</v>
      </c>
      <c r="G436" s="185" t="s">
        <v>26</v>
      </c>
      <c r="H436" s="188" t="s">
        <v>21</v>
      </c>
      <c r="I436" s="189" t="s">
        <v>22</v>
      </c>
      <c r="J436" s="189" t="s">
        <v>23</v>
      </c>
      <c r="K436" s="189" t="s">
        <v>27</v>
      </c>
      <c r="L436" s="185" t="s">
        <v>32</v>
      </c>
      <c r="M436" s="189" t="s">
        <v>28</v>
      </c>
      <c r="N436" s="190" t="s">
        <v>30</v>
      </c>
      <c r="O436" s="185" t="s">
        <v>34</v>
      </c>
      <c r="P436" s="185" t="s">
        <v>25</v>
      </c>
      <c r="Q436" s="191" t="s">
        <v>31</v>
      </c>
      <c r="R436" s="192" t="s">
        <v>24</v>
      </c>
      <c r="S436" s="234" t="s">
        <v>1262</v>
      </c>
      <c r="T436" s="276" t="s">
        <v>1263</v>
      </c>
    </row>
    <row r="437" spans="1:20" x14ac:dyDescent="0.25">
      <c r="B437" s="130" t="str">
        <f>+MEZCLADORES!B6</f>
        <v>GINGER BEER</v>
      </c>
      <c r="C437" s="130"/>
      <c r="D437" s="131">
        <f>+MEZCLADORES!I9</f>
        <v>5133.6666666700003</v>
      </c>
      <c r="E437" s="132">
        <f>+MEZCLADORES!I10</f>
        <v>16000</v>
      </c>
      <c r="F437" s="132">
        <f t="shared" ref="F437:F441" si="211">+E437/1.08*0.08</f>
        <v>1185.1851851851852</v>
      </c>
      <c r="G437" s="131">
        <f>+Tabla555727951527473113411318323[[#This Row],[VENTA]]-Tabla555727951527473113411318323[[#This Row],[ICO 8%]]</f>
        <v>14814.814814814814</v>
      </c>
      <c r="H437" s="133">
        <f>+Tabla555727951527473113411318323[[#This Row],[COSTO]]/Tabla555727951527473113411318323[[#This Row],[BASE]]</f>
        <v>0.34652250000022505</v>
      </c>
      <c r="I437" s="134">
        <f>+Tabla555727951527473113411318323[[#This Row],[BASE]]/Tabla555727951527473113411318323[[#This Row],[COSTO]]</f>
        <v>2.8858154953844282</v>
      </c>
      <c r="J437" s="135" t="e">
        <f>+VLOOKUP(Tabla555727951527473113411318323[[#This Row],[MEZCLADORES]],#REF!,2,0)</f>
        <v>#REF!</v>
      </c>
      <c r="K437" s="136">
        <f t="shared" ref="K437:K441" si="212">+D437/(100-75)*100</f>
        <v>20534.666666680001</v>
      </c>
      <c r="L437" s="131">
        <f t="shared" ref="L437:L441" si="213">+K437/1.08*0.08</f>
        <v>1521.0864197540741</v>
      </c>
      <c r="M437" s="137">
        <f>+Tabla555727951527473113411318323[[#This Row],[PRECIO SUGERIDO]]+Tabla555727951527473113411318323[[#This Row],[ICO2]]</f>
        <v>22055.753086434073</v>
      </c>
      <c r="N437" s="138">
        <v>16000</v>
      </c>
      <c r="O437" s="132">
        <f t="shared" ref="O437:O441" si="214">+N437/1.08*0.08</f>
        <v>1185.1851851851852</v>
      </c>
      <c r="P437" s="139">
        <f t="shared" ref="P437:P441" si="215">+N437-O437</f>
        <v>14814.814814814814</v>
      </c>
      <c r="Q437" s="133">
        <f t="shared" ref="Q437:Q441" si="216">+D437/P437</f>
        <v>0.34652250000022505</v>
      </c>
      <c r="R437" s="194">
        <f t="shared" ref="R437:R441" si="217">+P437/D437</f>
        <v>2.8858154953844282</v>
      </c>
      <c r="S437" s="244">
        <v>18000</v>
      </c>
      <c r="T437" s="272">
        <f t="shared" ref="T437:T441" si="218">+D437/S437</f>
        <v>0.28520370370388892</v>
      </c>
    </row>
    <row r="438" spans="1:20" x14ac:dyDescent="0.25">
      <c r="B438" s="130" t="str">
        <f>+MEZCLADORES!B44</f>
        <v>JUNIPER TORONJA</v>
      </c>
      <c r="C438" s="130"/>
      <c r="D438" s="131">
        <f>+MEZCLADORES!I47</f>
        <v>5023</v>
      </c>
      <c r="E438" s="132">
        <f>+MEZCLADORES!I48</f>
        <v>16000</v>
      </c>
      <c r="F438" s="132">
        <f t="shared" si="211"/>
        <v>1185.1851851851852</v>
      </c>
      <c r="G438" s="131">
        <f>+Tabla555727951527473113411318323[[#This Row],[VENTA]]-Tabla555727951527473113411318323[[#This Row],[ICO 8%]]</f>
        <v>14814.814814814814</v>
      </c>
      <c r="H438" s="133">
        <f>+Tabla555727951527473113411318323[[#This Row],[COSTO]]/Tabla555727951527473113411318323[[#This Row],[BASE]]</f>
        <v>0.33905250000000003</v>
      </c>
      <c r="I438" s="134">
        <f>+Tabla555727951527473113411318323[[#This Row],[BASE]]/Tabla555727951527473113411318323[[#This Row],[COSTO]]</f>
        <v>2.9493957425472455</v>
      </c>
      <c r="J438" s="135" t="e">
        <f>+VLOOKUP(Tabla555727951527473113411318323[[#This Row],[MEZCLADORES]],#REF!,2,0)</f>
        <v>#REF!</v>
      </c>
      <c r="K438" s="136">
        <f t="shared" si="212"/>
        <v>20092</v>
      </c>
      <c r="L438" s="131">
        <f t="shared" si="213"/>
        <v>1488.2962962962961</v>
      </c>
      <c r="M438" s="137">
        <f>+Tabla555727951527473113411318323[[#This Row],[PRECIO SUGERIDO]]+Tabla555727951527473113411318323[[#This Row],[ICO2]]</f>
        <v>21580.296296296296</v>
      </c>
      <c r="N438" s="138">
        <v>16000</v>
      </c>
      <c r="O438" s="132">
        <f t="shared" si="214"/>
        <v>1185.1851851851852</v>
      </c>
      <c r="P438" s="139">
        <f t="shared" si="215"/>
        <v>14814.814814814814</v>
      </c>
      <c r="Q438" s="133">
        <f t="shared" si="216"/>
        <v>0.33905250000000003</v>
      </c>
      <c r="R438" s="194">
        <f t="shared" si="217"/>
        <v>2.9493957425472455</v>
      </c>
      <c r="S438" s="244">
        <v>18000</v>
      </c>
      <c r="T438" s="272">
        <f t="shared" si="218"/>
        <v>0.27905555555555556</v>
      </c>
    </row>
    <row r="439" spans="1:20" x14ac:dyDescent="0.25">
      <c r="B439" s="130" t="str">
        <f>+MEZCLADORES!B19</f>
        <v>COCONUT</v>
      </c>
      <c r="C439" s="130"/>
      <c r="D439" s="131">
        <f>+MEZCLADORES!I22</f>
        <v>4986</v>
      </c>
      <c r="E439" s="132">
        <f>+MEZCLADORES!I23</f>
        <v>16000</v>
      </c>
      <c r="F439" s="132">
        <f t="shared" si="211"/>
        <v>1185.1851851851852</v>
      </c>
      <c r="G439" s="131">
        <f>+Tabla555727951527473113411318323[[#This Row],[VENTA]]-Tabla555727951527473113411318323[[#This Row],[ICO 8%]]</f>
        <v>14814.814814814814</v>
      </c>
      <c r="H439" s="133">
        <f>+Tabla555727951527473113411318323[[#This Row],[COSTO]]/Tabla555727951527473113411318323[[#This Row],[BASE]]</f>
        <v>0.33655500000000005</v>
      </c>
      <c r="I439" s="134">
        <f>+Tabla555727951527473113411318323[[#This Row],[BASE]]/Tabla555727951527473113411318323[[#This Row],[COSTO]]</f>
        <v>2.9712825541144832</v>
      </c>
      <c r="J439" s="135" t="e">
        <f>+VLOOKUP(Tabla555727951527473113411318323[[#This Row],[MEZCLADORES]],#REF!,2,0)</f>
        <v>#REF!</v>
      </c>
      <c r="K439" s="136">
        <f t="shared" si="212"/>
        <v>19944</v>
      </c>
      <c r="L439" s="131">
        <f t="shared" si="213"/>
        <v>1477.3333333333333</v>
      </c>
      <c r="M439" s="137">
        <f>+Tabla555727951527473113411318323[[#This Row],[PRECIO SUGERIDO]]+Tabla555727951527473113411318323[[#This Row],[ICO2]]</f>
        <v>21421.333333333332</v>
      </c>
      <c r="N439" s="138">
        <v>16000</v>
      </c>
      <c r="O439" s="132">
        <f t="shared" si="214"/>
        <v>1185.1851851851852</v>
      </c>
      <c r="P439" s="139">
        <f t="shared" si="215"/>
        <v>14814.814814814814</v>
      </c>
      <c r="Q439" s="133">
        <f t="shared" si="216"/>
        <v>0.33655500000000005</v>
      </c>
      <c r="R439" s="194">
        <f t="shared" si="217"/>
        <v>2.9712825541144832</v>
      </c>
      <c r="S439" s="244">
        <v>18000</v>
      </c>
      <c r="T439" s="272">
        <f t="shared" si="218"/>
        <v>0.27700000000000002</v>
      </c>
    </row>
    <row r="440" spans="1:20" x14ac:dyDescent="0.25">
      <c r="B440" s="130" t="str">
        <f>+MEZCLADORES!B31</f>
        <v>JUNIPER TONIC</v>
      </c>
      <c r="C440" s="130"/>
      <c r="D440" s="131">
        <f>+MEZCLADORES!I34</f>
        <v>5132.75</v>
      </c>
      <c r="E440" s="132">
        <f>+MEZCLADORES!I35</f>
        <v>16000</v>
      </c>
      <c r="F440" s="132">
        <f t="shared" si="211"/>
        <v>1185.1851851851852</v>
      </c>
      <c r="G440" s="131">
        <f>+Tabla555727951527473113411318323[[#This Row],[VENTA]]-Tabla555727951527473113411318323[[#This Row],[ICO 8%]]</f>
        <v>14814.814814814814</v>
      </c>
      <c r="H440" s="133">
        <f>+Tabla555727951527473113411318323[[#This Row],[COSTO]]/Tabla555727951527473113411318323[[#This Row],[BASE]]</f>
        <v>0.34646062500000002</v>
      </c>
      <c r="I440" s="134">
        <f>+Tabla555727951527473113411318323[[#This Row],[BASE]]/Tabla555727951527473113411318323[[#This Row],[COSTO]]</f>
        <v>2.8863308781481298</v>
      </c>
      <c r="J440" s="135" t="e">
        <f>+VLOOKUP(Tabla555727951527473113411318323[[#This Row],[MEZCLADORES]],#REF!,2,0)</f>
        <v>#REF!</v>
      </c>
      <c r="K440" s="136">
        <f t="shared" si="212"/>
        <v>20531</v>
      </c>
      <c r="L440" s="131">
        <f t="shared" si="213"/>
        <v>1520.8148148148146</v>
      </c>
      <c r="M440" s="137">
        <f>+Tabla555727951527473113411318323[[#This Row],[PRECIO SUGERIDO]]+Tabla555727951527473113411318323[[#This Row],[ICO2]]</f>
        <v>22051.814814814814</v>
      </c>
      <c r="N440" s="138">
        <v>16000</v>
      </c>
      <c r="O440" s="132">
        <f t="shared" si="214"/>
        <v>1185.1851851851852</v>
      </c>
      <c r="P440" s="139">
        <f t="shared" si="215"/>
        <v>14814.814814814814</v>
      </c>
      <c r="Q440" s="133">
        <f t="shared" si="216"/>
        <v>0.34646062500000002</v>
      </c>
      <c r="R440" s="194">
        <f t="shared" si="217"/>
        <v>2.8863308781481298</v>
      </c>
      <c r="S440" s="244">
        <v>18000</v>
      </c>
      <c r="T440" s="272">
        <f t="shared" si="218"/>
        <v>0.28515277777777776</v>
      </c>
    </row>
    <row r="441" spans="1:20" ht="13.8" thickBot="1" x14ac:dyDescent="0.3">
      <c r="B441" s="312" t="str">
        <f>+MEZCLADORES!B56</f>
        <v>ELDER FLOWER</v>
      </c>
      <c r="C441" s="143"/>
      <c r="D441" s="144">
        <f>+MEZCLADORES!I59</f>
        <v>4986.1393557499996</v>
      </c>
      <c r="E441" s="145">
        <f>+MEZCLADORES!I60</f>
        <v>16000</v>
      </c>
      <c r="F441" s="145">
        <f t="shared" si="211"/>
        <v>1185.1851851851852</v>
      </c>
      <c r="G441" s="144">
        <f>+Tabla555727951527473113411318323[[#This Row],[VENTA]]-Tabla555727951527473113411318323[[#This Row],[ICO 8%]]</f>
        <v>14814.814814814814</v>
      </c>
      <c r="H441" s="146">
        <f>+Tabla555727951527473113411318323[[#This Row],[COSTO]]/Tabla555727951527473113411318323[[#This Row],[BASE]]</f>
        <v>0.33656440651312497</v>
      </c>
      <c r="I441" s="147">
        <f>+Tabla555727951527473113411318323[[#This Row],[BASE]]/Tabla555727951527473113411318323[[#This Row],[COSTO]]</f>
        <v>2.9711995108460854</v>
      </c>
      <c r="J441" s="148" t="e">
        <f>+VLOOKUP(Tabla555727951527473113411318323[[#This Row],[MEZCLADORES]],#REF!,2,0)</f>
        <v>#REF!</v>
      </c>
      <c r="K441" s="149">
        <f t="shared" si="212"/>
        <v>19944.557422999998</v>
      </c>
      <c r="L441" s="144">
        <f t="shared" si="213"/>
        <v>1477.3746239259258</v>
      </c>
      <c r="M441" s="150">
        <f>+Tabla555727951527473113411318323[[#This Row],[PRECIO SUGERIDO]]+Tabla555727951527473113411318323[[#This Row],[ICO2]]</f>
        <v>21421.932046925926</v>
      </c>
      <c r="N441" s="138">
        <v>16000</v>
      </c>
      <c r="O441" s="145">
        <f t="shared" si="214"/>
        <v>1185.1851851851852</v>
      </c>
      <c r="P441" s="151">
        <f t="shared" si="215"/>
        <v>14814.814814814814</v>
      </c>
      <c r="Q441" s="146">
        <f t="shared" si="216"/>
        <v>0.33656440651312497</v>
      </c>
      <c r="R441" s="196">
        <f t="shared" si="217"/>
        <v>2.9711995108460854</v>
      </c>
      <c r="S441" s="244">
        <v>18000</v>
      </c>
      <c r="T441" s="272">
        <f t="shared" si="218"/>
        <v>0.27700774198611111</v>
      </c>
    </row>
    <row r="442" spans="1:20" ht="13.8" thickBot="1" x14ac:dyDescent="0.3">
      <c r="B442" s="153" t="s">
        <v>35</v>
      </c>
      <c r="C442" s="181"/>
      <c r="D442" s="155"/>
      <c r="E442" s="156"/>
      <c r="F442" s="156"/>
      <c r="G442" s="155"/>
      <c r="H442" s="158">
        <f>SUBTOTAL(101,Tabla555727951527473113411318323[%])</f>
        <v>0.34103100630267003</v>
      </c>
      <c r="I442" s="156"/>
      <c r="J442" s="156"/>
      <c r="K442" s="159"/>
      <c r="L442" s="155"/>
      <c r="M442" s="156"/>
      <c r="N442" s="160"/>
      <c r="O442" s="156"/>
      <c r="P442" s="155"/>
      <c r="Q442" s="161"/>
      <c r="R442" s="162">
        <f>SUBTOTAL(109,Tabla555727951527473113411318323[RATION])</f>
        <v>14.664024181040372</v>
      </c>
      <c r="S442" s="232"/>
      <c r="T442" s="275"/>
    </row>
    <row r="445" spans="1:20" x14ac:dyDescent="0.25">
      <c r="E445" s="117" t="s">
        <v>25</v>
      </c>
      <c r="F445" s="114"/>
      <c r="G445" s="118"/>
      <c r="H445" s="114"/>
      <c r="I445" s="114"/>
      <c r="J445" s="70"/>
      <c r="K445" s="396" t="s">
        <v>29</v>
      </c>
      <c r="L445" s="396"/>
      <c r="M445" s="396"/>
      <c r="N445" s="395" t="s">
        <v>1090</v>
      </c>
      <c r="O445" s="395"/>
      <c r="P445" s="395"/>
      <c r="Q445" s="395"/>
    </row>
    <row r="446" spans="1:20" x14ac:dyDescent="0.25">
      <c r="B446" s="183" t="s">
        <v>445</v>
      </c>
      <c r="C446" s="184" t="s">
        <v>316</v>
      </c>
      <c r="D446" s="185" t="s">
        <v>7</v>
      </c>
      <c r="E446" s="186" t="s">
        <v>20</v>
      </c>
      <c r="F446" s="187" t="s">
        <v>33</v>
      </c>
      <c r="G446" s="185" t="s">
        <v>26</v>
      </c>
      <c r="H446" s="188" t="s">
        <v>21</v>
      </c>
      <c r="I446" s="189" t="s">
        <v>22</v>
      </c>
      <c r="J446" s="189" t="s">
        <v>23</v>
      </c>
      <c r="K446" s="189" t="s">
        <v>27</v>
      </c>
      <c r="L446" s="185" t="s">
        <v>32</v>
      </c>
      <c r="M446" s="189" t="s">
        <v>28</v>
      </c>
      <c r="N446" s="190" t="s">
        <v>30</v>
      </c>
      <c r="O446" s="185" t="s">
        <v>34</v>
      </c>
      <c r="P446" s="185" t="s">
        <v>25</v>
      </c>
      <c r="Q446" s="191" t="s">
        <v>31</v>
      </c>
      <c r="R446" s="192" t="s">
        <v>24</v>
      </c>
      <c r="S446" s="234" t="s">
        <v>1262</v>
      </c>
      <c r="T446" s="276" t="s">
        <v>1263</v>
      </c>
    </row>
    <row r="447" spans="1:20" x14ac:dyDescent="0.25">
      <c r="A447" s="113">
        <v>1</v>
      </c>
      <c r="B447" s="130" t="str">
        <f>+SODAS!B41</f>
        <v>SODA DE HIERBABUENA</v>
      </c>
      <c r="C447" s="130"/>
      <c r="D447" s="131">
        <f>+SODAS!K44</f>
        <v>3759.1900467770001</v>
      </c>
      <c r="E447" s="132">
        <f>+SODAS!K45</f>
        <v>16000</v>
      </c>
      <c r="F447" s="132">
        <f>+E447/1.08*0.08</f>
        <v>1185.1851851851852</v>
      </c>
      <c r="G447" s="131">
        <f>+Tabla555727951527473113411318323326[[#This Row],[VENTA]]-Tabla555727951527473113411318323326[[#This Row],[ICO 8%]]</f>
        <v>14814.814814814814</v>
      </c>
      <c r="H447" s="133"/>
      <c r="I447" s="134">
        <f>+Tabla555727951527473113411318323326[[#This Row],[BASE]]/Tabla555727951527473113411318323326[[#This Row],[COSTO]]</f>
        <v>3.9409592573050478</v>
      </c>
      <c r="J447" s="135" t="e">
        <f>+VLOOKUP(Tabla555727951527473113411318323326[[#This Row],[SODAS]],#REF!,2,0)</f>
        <v>#REF!</v>
      </c>
      <c r="K447" s="136">
        <f>+D447/(100-75)*100</f>
        <v>15036.760187108001</v>
      </c>
      <c r="L447" s="131">
        <f>+K447/1.08*0.08</f>
        <v>1113.834087933926</v>
      </c>
      <c r="M447" s="137">
        <f>+Tabla555727951527473113411318323326[[#This Row],[PRECIO SUGERIDO]]+Tabla555727951527473113411318323326[[#This Row],[ICO2]]</f>
        <v>16150.594275041927</v>
      </c>
      <c r="N447" s="138">
        <v>16000</v>
      </c>
      <c r="O447" s="132">
        <f>+N447/1.08*0.08</f>
        <v>1185.1851851851852</v>
      </c>
      <c r="P447" s="139">
        <f>+N447-O447</f>
        <v>14814.814814814814</v>
      </c>
      <c r="Q447" s="133">
        <f>+D447/P447</f>
        <v>0.25374532815744755</v>
      </c>
      <c r="R447" s="194">
        <f>+P447/D447</f>
        <v>3.9409592573050478</v>
      </c>
      <c r="S447" s="244">
        <v>18000</v>
      </c>
      <c r="T447" s="272">
        <f t="shared" ref="T447:T451" si="219">+D447/S447</f>
        <v>0.20884389148761112</v>
      </c>
    </row>
    <row r="448" spans="1:20" x14ac:dyDescent="0.25">
      <c r="A448" s="113">
        <v>2</v>
      </c>
      <c r="B448" s="130" t="str">
        <f>+SODAS!B29</f>
        <v>SODA DE LYCHEES</v>
      </c>
      <c r="C448" s="130"/>
      <c r="D448" s="131">
        <f>+SODAS!K32</f>
        <v>6401.0798952870009</v>
      </c>
      <c r="E448" s="132">
        <f>+SODAS!K33</f>
        <v>16000</v>
      </c>
      <c r="F448" s="132">
        <f>+E448/1.08*0.08</f>
        <v>1185.1851851851852</v>
      </c>
      <c r="G448" s="131">
        <f>+Tabla555727951527473113411318323326[[#This Row],[VENTA]]-Tabla555727951527473113411318323326[[#This Row],[ICO 8%]]</f>
        <v>14814.814814814814</v>
      </c>
      <c r="H448" s="133">
        <f>+Tabla555727951527473113411318323326[[#This Row],[COSTO]]/Tabla555727951527473113411318323326[[#This Row],[BASE]]</f>
        <v>0.43207289293187257</v>
      </c>
      <c r="I448" s="134">
        <f>+Tabla555727951527473113411318323326[[#This Row],[BASE]]/Tabla555727951527473113411318323326[[#This Row],[COSTO]]</f>
        <v>2.3144242935825083</v>
      </c>
      <c r="J448" s="135" t="e">
        <f>+VLOOKUP(Tabla555727951527473113411318323326[[#This Row],[SODAS]],#REF!,2,0)</f>
        <v>#REF!</v>
      </c>
      <c r="K448" s="136">
        <f>+D448/(100-75)*100</f>
        <v>25604.319581148004</v>
      </c>
      <c r="L448" s="131">
        <f>+K448/1.08*0.08</f>
        <v>1896.6162652702226</v>
      </c>
      <c r="M448" s="137">
        <f>+Tabla555727951527473113411318323326[[#This Row],[PRECIO SUGERIDO]]+Tabla555727951527473113411318323326[[#This Row],[ICO2]]</f>
        <v>27500.935846418226</v>
      </c>
      <c r="N448" s="138">
        <v>16000</v>
      </c>
      <c r="O448" s="132">
        <f>+N448/1.08*0.08</f>
        <v>1185.1851851851852</v>
      </c>
      <c r="P448" s="139">
        <f>+N448-O448</f>
        <v>14814.814814814814</v>
      </c>
      <c r="Q448" s="133">
        <f>+D448/P448</f>
        <v>0.43207289293187257</v>
      </c>
      <c r="R448" s="194">
        <f>+P448/D448</f>
        <v>2.3144242935825083</v>
      </c>
      <c r="S448" s="244">
        <v>18000</v>
      </c>
      <c r="T448" s="272">
        <f t="shared" si="219"/>
        <v>0.35561554973816673</v>
      </c>
    </row>
    <row r="449" spans="1:20" x14ac:dyDescent="0.25">
      <c r="A449" s="113">
        <v>3</v>
      </c>
      <c r="B449" s="130" t="str">
        <f>+SODAS!B6</f>
        <v>FRUTOS ROJOS</v>
      </c>
      <c r="C449" s="130"/>
      <c r="D449" s="131">
        <f>+SODAS!K9</f>
        <v>3182.040010787</v>
      </c>
      <c r="E449" s="132">
        <f>+SODAS!K10</f>
        <v>16000</v>
      </c>
      <c r="F449" s="132">
        <f>+E449/1.08*0.08</f>
        <v>1185.1851851851852</v>
      </c>
      <c r="G449" s="131">
        <f>+Tabla555727951527473113411318323326[[#This Row],[VENTA]]-Tabla555727951527473113411318323326[[#This Row],[ICO 8%]]</f>
        <v>14814.814814814814</v>
      </c>
      <c r="H449" s="133">
        <f>+Tabla555727951527473113411318323326[[#This Row],[COSTO]]/Tabla555727951527473113411318323326[[#This Row],[BASE]]</f>
        <v>0.2147877007281225</v>
      </c>
      <c r="I449" s="134">
        <f>+Tabla555727951527473113411318323326[[#This Row],[BASE]]/Tabla555727951527473113411318323326[[#This Row],[COSTO]]</f>
        <v>4.6557600673131478</v>
      </c>
      <c r="J449" s="135" t="e">
        <f>+VLOOKUP(Tabla555727951527473113411318323326[[#This Row],[SODAS]],#REF!,2,0)</f>
        <v>#REF!</v>
      </c>
      <c r="K449" s="136">
        <f>+D449/(100-75)*100</f>
        <v>12728.160043148</v>
      </c>
      <c r="L449" s="131">
        <f>+K449/1.08*0.08</f>
        <v>942.82666986281481</v>
      </c>
      <c r="M449" s="137">
        <f>+Tabla555727951527473113411318323326[[#This Row],[PRECIO SUGERIDO]]+Tabla555727951527473113411318323326[[#This Row],[ICO2]]</f>
        <v>13670.986713010814</v>
      </c>
      <c r="N449" s="138">
        <v>16000</v>
      </c>
      <c r="O449" s="132">
        <f>+N449/1.08*0.08</f>
        <v>1185.1851851851852</v>
      </c>
      <c r="P449" s="139">
        <f>+N449-O449</f>
        <v>14814.814814814814</v>
      </c>
      <c r="Q449" s="133">
        <f>+D449/P449</f>
        <v>0.2147877007281225</v>
      </c>
      <c r="R449" s="194">
        <f>+P449/D449</f>
        <v>4.6557600673131478</v>
      </c>
      <c r="S449" s="244">
        <v>18000</v>
      </c>
      <c r="T449" s="272">
        <f t="shared" si="219"/>
        <v>0.17678000059927779</v>
      </c>
    </row>
    <row r="450" spans="1:20" x14ac:dyDescent="0.25">
      <c r="A450" s="113">
        <v>4</v>
      </c>
      <c r="B450" s="143" t="str">
        <f>+SODAS!B18</f>
        <v>MARACUYA</v>
      </c>
      <c r="C450" s="143"/>
      <c r="D450" s="144">
        <f>+SODAS!K21</f>
        <v>3049.352549232</v>
      </c>
      <c r="E450" s="145">
        <f>+SODAS!K22</f>
        <v>16000</v>
      </c>
      <c r="F450" s="145">
        <f>+E450/1.08*0.08</f>
        <v>1185.1851851851852</v>
      </c>
      <c r="G450" s="144">
        <f>+Tabla555727951527473113411318323326[[#This Row],[VENTA]]-Tabla555727951527473113411318323326[[#This Row],[ICO 8%]]</f>
        <v>14814.814814814814</v>
      </c>
      <c r="H450" s="146">
        <f>+Tabla555727951527473113411318323326[[#This Row],[COSTO]]/Tabla555727951527473113411318323326[[#This Row],[BASE]]</f>
        <v>0.20583129707316</v>
      </c>
      <c r="I450" s="147">
        <f>+Tabla555727951527473113411318323326[[#This Row],[BASE]]/Tabla555727951527473113411318323326[[#This Row],[COSTO]]</f>
        <v>4.8583476576186726</v>
      </c>
      <c r="J450" s="148" t="e">
        <f>+VLOOKUP(Tabla555727951527473113411318323326[[#This Row],[SODAS]],#REF!,2,0)</f>
        <v>#REF!</v>
      </c>
      <c r="K450" s="149">
        <f>+D450/(100-75)*100</f>
        <v>12197.410196928</v>
      </c>
      <c r="L450" s="144">
        <f>+K450/1.08*0.08</f>
        <v>903.51186643911103</v>
      </c>
      <c r="M450" s="150">
        <f>+Tabla555727951527473113411318323326[[#This Row],[PRECIO SUGERIDO]]+Tabla555727951527473113411318323326[[#This Row],[ICO2]]</f>
        <v>13100.92206336711</v>
      </c>
      <c r="N450" s="138">
        <v>16000</v>
      </c>
      <c r="O450" s="145">
        <f>+N450/1.08*0.08</f>
        <v>1185.1851851851852</v>
      </c>
      <c r="P450" s="151">
        <f>+N450-O450</f>
        <v>14814.814814814814</v>
      </c>
      <c r="Q450" s="146">
        <f>+D450/P450</f>
        <v>0.20583129707316</v>
      </c>
      <c r="R450" s="196">
        <f>+P450/D450</f>
        <v>4.8583476576186726</v>
      </c>
      <c r="S450" s="244">
        <v>18000</v>
      </c>
      <c r="T450" s="272">
        <f t="shared" si="219"/>
        <v>0.16940847495733333</v>
      </c>
    </row>
    <row r="451" spans="1:20" ht="13.8" thickBot="1" x14ac:dyDescent="0.3">
      <c r="A451" s="113">
        <v>5</v>
      </c>
      <c r="B451" s="171" t="str">
        <f>+SODAS!B54</f>
        <v>GENJI &amp; HIERBA</v>
      </c>
      <c r="C451" s="171"/>
      <c r="D451" s="172">
        <f>+SODAS!K57</f>
        <v>3889.8991835220004</v>
      </c>
      <c r="E451" s="173"/>
      <c r="F451" s="173">
        <f>+E451/1.08*0.08</f>
        <v>0</v>
      </c>
      <c r="G451" s="172">
        <f>+Tabla555727951527473113411318323326[[#This Row],[VENTA]]-Tabla555727951527473113411318323326[[#This Row],[ICO 8%]]</f>
        <v>0</v>
      </c>
      <c r="H451" s="174" t="e">
        <f>+Tabla555727951527473113411318323326[[#This Row],[COSTO]]/Tabla555727951527473113411318323326[[#This Row],[BASE]]</f>
        <v>#DIV/0!</v>
      </c>
      <c r="I451" s="175">
        <f>+Tabla555727951527473113411318323326[[#This Row],[BASE]]/Tabla555727951527473113411318323326[[#This Row],[COSTO]]</f>
        <v>0</v>
      </c>
      <c r="J451" s="113" t="e">
        <f>+VLOOKUP(Tabla555727951527473113411318323326[[#This Row],[SODAS]],#REF!,2,0)</f>
        <v>#REF!</v>
      </c>
      <c r="K451" s="176">
        <f>+D451/(100-75)*100</f>
        <v>15559.596734088002</v>
      </c>
      <c r="L451" s="172">
        <f>+K451/1.08*0.08</f>
        <v>1152.5627210435557</v>
      </c>
      <c r="M451" s="177">
        <f>+Tabla555727951527473113411318323326[[#This Row],[PRECIO SUGERIDO]]+Tabla555727951527473113411318323326[[#This Row],[ICO2]]</f>
        <v>16712.159455131557</v>
      </c>
      <c r="N451" s="324"/>
      <c r="O451" s="173">
        <f>+N451/1.08*0.08</f>
        <v>0</v>
      </c>
      <c r="P451" s="172">
        <f>+N451-O451</f>
        <v>0</v>
      </c>
      <c r="Q451" s="250" t="e">
        <f>+D451/P451</f>
        <v>#DIV/0!</v>
      </c>
      <c r="R451" s="180">
        <f>+P451/D451</f>
        <v>0</v>
      </c>
      <c r="S451" s="70">
        <v>18000</v>
      </c>
      <c r="T451" s="272">
        <f t="shared" si="219"/>
        <v>0.21610551019566668</v>
      </c>
    </row>
    <row r="452" spans="1:20" ht="13.8" thickBot="1" x14ac:dyDescent="0.3">
      <c r="B452" s="153" t="s">
        <v>35</v>
      </c>
      <c r="C452" s="181"/>
      <c r="D452" s="155"/>
      <c r="E452" s="156"/>
      <c r="F452" s="156"/>
      <c r="G452" s="155"/>
      <c r="H452" s="158" t="e">
        <f>SUBTOTAL(101,Tabla555727951527473113411318323326[%])</f>
        <v>#DIV/0!</v>
      </c>
      <c r="I452" s="156"/>
      <c r="J452" s="156"/>
      <c r="K452" s="159"/>
      <c r="L452" s="155"/>
      <c r="M452" s="156"/>
      <c r="N452" s="160"/>
      <c r="O452" s="156"/>
      <c r="P452" s="155"/>
      <c r="Q452" s="161"/>
      <c r="R452" s="162">
        <f>SUBTOTAL(109,Tabla555727951527473113411318323326[RATION])</f>
        <v>15.769491275819377</v>
      </c>
      <c r="S452" s="225"/>
      <c r="T452" s="280"/>
    </row>
    <row r="456" spans="1:20" x14ac:dyDescent="0.25">
      <c r="E456" s="117" t="s">
        <v>25</v>
      </c>
      <c r="F456" s="114"/>
      <c r="G456" s="118"/>
      <c r="H456" s="114"/>
      <c r="I456" s="114"/>
      <c r="J456" s="70"/>
      <c r="K456" s="396" t="s">
        <v>29</v>
      </c>
      <c r="L456" s="396"/>
      <c r="M456" s="396"/>
      <c r="N456" s="395" t="s">
        <v>1090</v>
      </c>
      <c r="O456" s="395"/>
      <c r="P456" s="395"/>
      <c r="Q456" s="395"/>
    </row>
    <row r="457" spans="1:20" x14ac:dyDescent="0.25">
      <c r="B457" s="183" t="s">
        <v>446</v>
      </c>
      <c r="C457" s="184" t="s">
        <v>316</v>
      </c>
      <c r="D457" s="185" t="s">
        <v>7</v>
      </c>
      <c r="E457" s="186" t="s">
        <v>20</v>
      </c>
      <c r="F457" s="187" t="s">
        <v>33</v>
      </c>
      <c r="G457" s="185" t="s">
        <v>26</v>
      </c>
      <c r="H457" s="188" t="s">
        <v>21</v>
      </c>
      <c r="I457" s="189" t="s">
        <v>22</v>
      </c>
      <c r="J457" s="189" t="s">
        <v>23</v>
      </c>
      <c r="K457" s="189" t="s">
        <v>27</v>
      </c>
      <c r="L457" s="185" t="s">
        <v>32</v>
      </c>
      <c r="M457" s="189" t="s">
        <v>28</v>
      </c>
      <c r="N457" s="190" t="s">
        <v>30</v>
      </c>
      <c r="O457" s="185" t="s">
        <v>34</v>
      </c>
      <c r="P457" s="185" t="s">
        <v>25</v>
      </c>
      <c r="Q457" s="191" t="s">
        <v>31</v>
      </c>
      <c r="R457" s="192" t="s">
        <v>24</v>
      </c>
      <c r="S457" s="234" t="s">
        <v>1262</v>
      </c>
      <c r="T457" s="276" t="s">
        <v>1263</v>
      </c>
    </row>
    <row r="458" spans="1:20" x14ac:dyDescent="0.25">
      <c r="A458" s="113">
        <v>1</v>
      </c>
      <c r="B458" s="130" t="str">
        <f>+BEBIDAS!B78</f>
        <v>AGUA SIN GAS</v>
      </c>
      <c r="C458" s="130"/>
      <c r="D458" s="131">
        <f>+BEBIDAS!I81</f>
        <v>1654.21666667</v>
      </c>
      <c r="E458" s="132">
        <f>+BEBIDAS!I82</f>
        <v>8500</v>
      </c>
      <c r="F458" s="132">
        <f t="shared" ref="F458:F466" si="220">+E458/1.08*0.08</f>
        <v>629.62962962962956</v>
      </c>
      <c r="G458" s="131">
        <f>+Tabla555727951527473113411318323331[[#This Row],[VENTA]]-Tabla555727951527473113411318323331[[#This Row],[ICO 8%]]</f>
        <v>7870.3703703703704</v>
      </c>
      <c r="H458" s="133">
        <f>+Tabla555727951527473113411318323331[[#This Row],[COSTO]]/Tabla555727951527473113411318323331[[#This Row],[BASE]]</f>
        <v>0.21018282352983531</v>
      </c>
      <c r="I458" s="134">
        <f>+Tabla555727951527473113411318323331[[#This Row],[BASE]]/Tabla555727951527473113411318323331[[#This Row],[COSTO]]</f>
        <v>4.7577627096538206</v>
      </c>
      <c r="J458" s="135" t="e">
        <f>+VLOOKUP(Tabla555727951527473113411318323331[[#This Row],[BEBIDAS]],#REF!,2,0)</f>
        <v>#REF!</v>
      </c>
      <c r="K458" s="136">
        <f t="shared" ref="K458:K466" si="221">+D458/(100-75)*100</f>
        <v>6616.8666666799991</v>
      </c>
      <c r="L458" s="131">
        <f t="shared" ref="L458:L466" si="222">+K458/1.08*0.08</f>
        <v>490.13827160592587</v>
      </c>
      <c r="M458" s="137">
        <f>+Tabla555727951527473113411318323331[[#This Row],[PRECIO SUGERIDO]]+Tabla555727951527473113411318323331[[#This Row],[ICO2]]</f>
        <v>7107.0049382859252</v>
      </c>
      <c r="N458" s="141">
        <f>+Tabla555727951527473113411318323331[[#This Row],[VENTA]]</f>
        <v>8500</v>
      </c>
      <c r="O458" s="132">
        <f t="shared" ref="O458:O466" si="223">+N458/1.08*0.08</f>
        <v>629.62962962962956</v>
      </c>
      <c r="P458" s="139">
        <f t="shared" ref="P458:P466" si="224">+N458-O458</f>
        <v>7870.3703703703704</v>
      </c>
      <c r="Q458" s="133">
        <f t="shared" ref="Q458:Q466" si="225">+D458/P458</f>
        <v>0.21018282352983531</v>
      </c>
      <c r="R458" s="194">
        <f t="shared" ref="R458:R466" si="226">+P458/D458</f>
        <v>4.7577627096538206</v>
      </c>
      <c r="S458" s="244">
        <v>10000</v>
      </c>
      <c r="T458" s="272">
        <f t="shared" ref="T458:T466" si="227">+D458/S458</f>
        <v>0.16542166666700001</v>
      </c>
    </row>
    <row r="459" spans="1:20" x14ac:dyDescent="0.25">
      <c r="A459" s="113">
        <v>2</v>
      </c>
      <c r="B459" s="130" t="str">
        <f>+BEBIDAS!B6</f>
        <v>COCA COLA ORIGINAL</v>
      </c>
      <c r="C459" s="130"/>
      <c r="D459" s="131">
        <f>+BEBIDAS!I9</f>
        <v>2284.1208333300001</v>
      </c>
      <c r="E459" s="132">
        <f>+BEBIDAS!I10</f>
        <v>9500</v>
      </c>
      <c r="F459" s="132">
        <f t="shared" si="220"/>
        <v>703.7037037037037</v>
      </c>
      <c r="G459" s="131">
        <f>+Tabla555727951527473113411318323331[[#This Row],[VENTA]]-Tabla555727951527473113411318323331[[#This Row],[ICO 8%]]</f>
        <v>8796.2962962962956</v>
      </c>
      <c r="H459" s="133">
        <f>+Tabla555727951527473113411318323331[[#This Row],[COSTO]]/Tabla555727951527473113411318323331[[#This Row],[BASE]]</f>
        <v>0.25966847368383161</v>
      </c>
      <c r="I459" s="134">
        <f>+Tabla555727951527473113411318323331[[#This Row],[BASE]]/Tabla555727951527473113411318323331[[#This Row],[COSTO]]</f>
        <v>3.8510643429805991</v>
      </c>
      <c r="J459" s="135" t="e">
        <f>+VLOOKUP(Tabla555727951527473113411318323331[[#This Row],[BEBIDAS]],#REF!,2,0)</f>
        <v>#REF!</v>
      </c>
      <c r="K459" s="136">
        <f t="shared" si="221"/>
        <v>9136.4833333200004</v>
      </c>
      <c r="L459" s="131">
        <f t="shared" si="222"/>
        <v>676.77654320888894</v>
      </c>
      <c r="M459" s="137">
        <f>+Tabla555727951527473113411318323331[[#This Row],[PRECIO SUGERIDO]]+Tabla555727951527473113411318323331[[#This Row],[ICO2]]</f>
        <v>9813.2598765288894</v>
      </c>
      <c r="N459" s="141">
        <f>+Tabla555727951527473113411318323331[[#This Row],[VENTA]]</f>
        <v>9500</v>
      </c>
      <c r="O459" s="132">
        <f t="shared" si="223"/>
        <v>703.7037037037037</v>
      </c>
      <c r="P459" s="139">
        <f t="shared" si="224"/>
        <v>8796.2962962962956</v>
      </c>
      <c r="Q459" s="133">
        <f t="shared" si="225"/>
        <v>0.25966847368383161</v>
      </c>
      <c r="R459" s="194">
        <f t="shared" si="226"/>
        <v>3.8510643429805991</v>
      </c>
      <c r="S459" s="244">
        <v>10000</v>
      </c>
      <c r="T459" s="272">
        <f t="shared" si="227"/>
        <v>0.228412083333</v>
      </c>
    </row>
    <row r="460" spans="1:20" x14ac:dyDescent="0.25">
      <c r="A460" s="113">
        <v>3</v>
      </c>
      <c r="B460" s="130" t="str">
        <f>+BEBIDAS!B54</f>
        <v xml:space="preserve">SODA MICHELADA </v>
      </c>
      <c r="C460" s="130"/>
      <c r="D460" s="131">
        <f>+BEBIDAS!I57</f>
        <v>2116.0300016700003</v>
      </c>
      <c r="E460" s="132">
        <f>+BEBIDAS!I58</f>
        <v>11000</v>
      </c>
      <c r="F460" s="132">
        <f t="shared" si="220"/>
        <v>814.81481481481478</v>
      </c>
      <c r="G460" s="131">
        <f>+Tabla555727951527473113411318323331[[#This Row],[VENTA]]-Tabla555727951527473113411318323331[[#This Row],[ICO 8%]]</f>
        <v>10185.185185185186</v>
      </c>
      <c r="H460" s="133">
        <f>+Tabla555727951527473113411318323331[[#This Row],[COSTO]]/Tabla555727951527473113411318323331[[#This Row],[BASE]]</f>
        <v>0.20775567289123636</v>
      </c>
      <c r="I460" s="134">
        <f>+Tabla555727951527473113411318323331[[#This Row],[BASE]]/Tabla555727951527473113411318323331[[#This Row],[COSTO]]</f>
        <v>4.8133463028156012</v>
      </c>
      <c r="J460" s="135" t="e">
        <f>+VLOOKUP(Tabla555727951527473113411318323331[[#This Row],[BEBIDAS]],#REF!,2,0)</f>
        <v>#REF!</v>
      </c>
      <c r="K460" s="136">
        <f t="shared" si="221"/>
        <v>8464.1200066800011</v>
      </c>
      <c r="L460" s="131">
        <f t="shared" si="222"/>
        <v>626.97185234666676</v>
      </c>
      <c r="M460" s="137">
        <f>+Tabla555727951527473113411318323331[[#This Row],[PRECIO SUGERIDO]]+Tabla555727951527473113411318323331[[#This Row],[ICO2]]</f>
        <v>9091.0918590266683</v>
      </c>
      <c r="N460" s="141">
        <f>+Tabla555727951527473113411318323331[[#This Row],[VENTA]]</f>
        <v>11000</v>
      </c>
      <c r="O460" s="132">
        <f t="shared" si="223"/>
        <v>814.81481481481478</v>
      </c>
      <c r="P460" s="139">
        <f t="shared" si="224"/>
        <v>10185.185185185186</v>
      </c>
      <c r="Q460" s="133">
        <f t="shared" si="225"/>
        <v>0.20775567289123636</v>
      </c>
      <c r="R460" s="194">
        <f t="shared" si="226"/>
        <v>4.8133463028156012</v>
      </c>
      <c r="S460" s="244">
        <v>11000</v>
      </c>
      <c r="T460" s="272">
        <f t="shared" si="227"/>
        <v>0.19236636378818184</v>
      </c>
    </row>
    <row r="461" spans="1:20" x14ac:dyDescent="0.25">
      <c r="A461" s="113">
        <v>4</v>
      </c>
      <c r="B461" s="130" t="str">
        <f>+BEBIDAS!B42</f>
        <v xml:space="preserve">SODA </v>
      </c>
      <c r="C461" s="130"/>
      <c r="D461" s="131">
        <f>+BEBIDAS!I45</f>
        <v>1497.59166667</v>
      </c>
      <c r="E461" s="132">
        <f>+BEBIDAS!I46</f>
        <v>8500</v>
      </c>
      <c r="F461" s="132">
        <f t="shared" si="220"/>
        <v>629.62962962962956</v>
      </c>
      <c r="G461" s="131">
        <f>+Tabla555727951527473113411318323331[[#This Row],[VENTA]]-Tabla555727951527473113411318323331[[#This Row],[ICO 8%]]</f>
        <v>7870.3703703703704</v>
      </c>
      <c r="H461" s="133">
        <f>+Tabla555727951527473113411318323331[[#This Row],[COSTO]]/Tabla555727951527473113411318323331[[#This Row],[BASE]]</f>
        <v>0.19028223529454116</v>
      </c>
      <c r="I461" s="134">
        <f>+Tabla555727951527473113411318323331[[#This Row],[BASE]]/Tabla555727951527473113411318323331[[#This Row],[COSTO]]</f>
        <v>5.2553513387735995</v>
      </c>
      <c r="J461" s="135" t="e">
        <f>+VLOOKUP(Tabla555727951527473113411318323331[[#This Row],[BEBIDAS]],#REF!,2,0)</f>
        <v>#REF!</v>
      </c>
      <c r="K461" s="136">
        <f t="shared" si="221"/>
        <v>5990.36666668</v>
      </c>
      <c r="L461" s="131">
        <f t="shared" si="222"/>
        <v>443.73086419851847</v>
      </c>
      <c r="M461" s="137">
        <f>+Tabla555727951527473113411318323331[[#This Row],[PRECIO SUGERIDO]]+Tabla555727951527473113411318323331[[#This Row],[ICO2]]</f>
        <v>6434.0975308785182</v>
      </c>
      <c r="N461" s="141">
        <f>+Tabla555727951527473113411318323331[[#This Row],[VENTA]]</f>
        <v>8500</v>
      </c>
      <c r="O461" s="132">
        <f t="shared" si="223"/>
        <v>629.62962962962956</v>
      </c>
      <c r="P461" s="139">
        <f t="shared" si="224"/>
        <v>7870.3703703703704</v>
      </c>
      <c r="Q461" s="133">
        <f t="shared" si="225"/>
        <v>0.19028223529454116</v>
      </c>
      <c r="R461" s="194">
        <f t="shared" si="226"/>
        <v>5.2553513387735995</v>
      </c>
      <c r="S461" s="244">
        <v>10000</v>
      </c>
      <c r="T461" s="272">
        <f t="shared" si="227"/>
        <v>0.14975916666700001</v>
      </c>
    </row>
    <row r="462" spans="1:20" x14ac:dyDescent="0.25">
      <c r="A462" s="113">
        <v>5</v>
      </c>
      <c r="B462" s="130" t="str">
        <f>+BEBIDAS!B19</f>
        <v>COCA COLA ZERO</v>
      </c>
      <c r="C462" s="130"/>
      <c r="D462" s="131">
        <f>+BEBIDAS!I22</f>
        <v>2284.1208333300001</v>
      </c>
      <c r="E462" s="132">
        <f>+BEBIDAS!I23</f>
        <v>9500</v>
      </c>
      <c r="F462" s="132">
        <f t="shared" si="220"/>
        <v>703.7037037037037</v>
      </c>
      <c r="G462" s="131">
        <f>+Tabla555727951527473113411318323331[[#This Row],[VENTA]]-Tabla555727951527473113411318323331[[#This Row],[ICO 8%]]</f>
        <v>8796.2962962962956</v>
      </c>
      <c r="H462" s="133">
        <f>+Tabla555727951527473113411318323331[[#This Row],[COSTO]]/Tabla555727951527473113411318323331[[#This Row],[BASE]]</f>
        <v>0.25966847368383161</v>
      </c>
      <c r="I462" s="134">
        <f>+Tabla555727951527473113411318323331[[#This Row],[BASE]]/Tabla555727951527473113411318323331[[#This Row],[COSTO]]</f>
        <v>3.8510643429805991</v>
      </c>
      <c r="J462" s="135" t="e">
        <f>+VLOOKUP(Tabla555727951527473113411318323331[[#This Row],[BEBIDAS]],#REF!,2,0)</f>
        <v>#REF!</v>
      </c>
      <c r="K462" s="136">
        <f t="shared" si="221"/>
        <v>9136.4833333200004</v>
      </c>
      <c r="L462" s="131">
        <f t="shared" si="222"/>
        <v>676.77654320888894</v>
      </c>
      <c r="M462" s="137">
        <f>+Tabla555727951527473113411318323331[[#This Row],[PRECIO SUGERIDO]]+Tabla555727951527473113411318323331[[#This Row],[ICO2]]</f>
        <v>9813.2598765288894</v>
      </c>
      <c r="N462" s="141">
        <f>+Tabla555727951527473113411318323331[[#This Row],[VENTA]]</f>
        <v>9500</v>
      </c>
      <c r="O462" s="132">
        <f t="shared" si="223"/>
        <v>703.7037037037037</v>
      </c>
      <c r="P462" s="139">
        <f t="shared" si="224"/>
        <v>8796.2962962962956</v>
      </c>
      <c r="Q462" s="133">
        <f t="shared" si="225"/>
        <v>0.25966847368383161</v>
      </c>
      <c r="R462" s="194">
        <f t="shared" si="226"/>
        <v>3.8510643429805991</v>
      </c>
      <c r="S462" s="244">
        <v>10000</v>
      </c>
      <c r="T462" s="272">
        <f t="shared" si="227"/>
        <v>0.228412083333</v>
      </c>
    </row>
    <row r="463" spans="1:20" x14ac:dyDescent="0.25">
      <c r="A463" s="113">
        <v>6</v>
      </c>
      <c r="B463" s="130" t="str">
        <f>+BEBIDAS!B66</f>
        <v xml:space="preserve">AGUA CON GAS </v>
      </c>
      <c r="C463" s="130"/>
      <c r="D463" s="131">
        <f>+BEBIDAS!I69</f>
        <v>1234.3916666699999</v>
      </c>
      <c r="E463" s="132">
        <f>+BEBIDAS!I70</f>
        <v>8500</v>
      </c>
      <c r="F463" s="132">
        <f t="shared" si="220"/>
        <v>629.62962962962956</v>
      </c>
      <c r="G463" s="131">
        <f>+Tabla555727951527473113411318323331[[#This Row],[VENTA]]-Tabla555727951527473113411318323331[[#This Row],[ICO 8%]]</f>
        <v>7870.3703703703704</v>
      </c>
      <c r="H463" s="133">
        <f>+Tabla555727951527473113411318323331[[#This Row],[COSTO]]/Tabla555727951527473113411318323331[[#This Row],[BASE]]</f>
        <v>0.15684035294159998</v>
      </c>
      <c r="I463" s="134">
        <f>+Tabla555727951527473113411318323331[[#This Row],[BASE]]/Tabla555727951527473113411318323331[[#This Row],[COSTO]]</f>
        <v>6.3759101611582905</v>
      </c>
      <c r="J463" s="135" t="e">
        <f>+VLOOKUP(Tabla555727951527473113411318323331[[#This Row],[BEBIDAS]],#REF!,2,0)</f>
        <v>#REF!</v>
      </c>
      <c r="K463" s="136">
        <f t="shared" si="221"/>
        <v>4937.5666666799998</v>
      </c>
      <c r="L463" s="131">
        <f t="shared" si="222"/>
        <v>365.7456790133333</v>
      </c>
      <c r="M463" s="137">
        <f>+Tabla555727951527473113411318323331[[#This Row],[PRECIO SUGERIDO]]+Tabla555727951527473113411318323331[[#This Row],[ICO2]]</f>
        <v>5303.3123456933336</v>
      </c>
      <c r="N463" s="141">
        <f>+Tabla555727951527473113411318323331[[#This Row],[VENTA]]</f>
        <v>8500</v>
      </c>
      <c r="O463" s="132">
        <f t="shared" si="223"/>
        <v>629.62962962962956</v>
      </c>
      <c r="P463" s="139">
        <f t="shared" si="224"/>
        <v>7870.3703703703704</v>
      </c>
      <c r="Q463" s="133">
        <f t="shared" si="225"/>
        <v>0.15684035294159998</v>
      </c>
      <c r="R463" s="194">
        <f t="shared" si="226"/>
        <v>6.3759101611582905</v>
      </c>
      <c r="S463" s="244">
        <v>10000</v>
      </c>
      <c r="T463" s="272">
        <f t="shared" si="227"/>
        <v>0.123439166667</v>
      </c>
    </row>
    <row r="464" spans="1:20" x14ac:dyDescent="0.25">
      <c r="A464" s="113">
        <v>7</v>
      </c>
      <c r="B464" s="130" t="str">
        <f>+BEBIDAS!B90</f>
        <v>AGUA PANNA</v>
      </c>
      <c r="C464" s="130"/>
      <c r="D464" s="131">
        <f>+BEBIDAS!I93</f>
        <v>7330</v>
      </c>
      <c r="E464" s="132">
        <f>+BEBIDAS!I94</f>
        <v>25000</v>
      </c>
      <c r="F464" s="132">
        <f t="shared" si="220"/>
        <v>1851.8518518518517</v>
      </c>
      <c r="G464" s="131">
        <f>+Tabla555727951527473113411318323331[[#This Row],[VENTA]]-Tabla555727951527473113411318323331[[#This Row],[ICO 8%]]</f>
        <v>23148.14814814815</v>
      </c>
      <c r="H464" s="133">
        <f>+Tabla555727951527473113411318323331[[#This Row],[COSTO]]/Tabla555727951527473113411318323331[[#This Row],[BASE]]</f>
        <v>0.31665599999999999</v>
      </c>
      <c r="I464" s="134">
        <f>+Tabla555727951527473113411318323331[[#This Row],[BASE]]/Tabla555727951527473113411318323331[[#This Row],[COSTO]]</f>
        <v>3.1580011116163913</v>
      </c>
      <c r="J464" s="135" t="e">
        <f>+VLOOKUP(Tabla555727951527473113411318323331[[#This Row],[BEBIDAS]],#REF!,2,0)</f>
        <v>#REF!</v>
      </c>
      <c r="K464" s="136">
        <f t="shared" si="221"/>
        <v>29320</v>
      </c>
      <c r="L464" s="131">
        <f t="shared" si="222"/>
        <v>2171.8518518518517</v>
      </c>
      <c r="M464" s="137">
        <f>+Tabla555727951527473113411318323331[[#This Row],[PRECIO SUGERIDO]]+Tabla555727951527473113411318323331[[#This Row],[ICO2]]</f>
        <v>31491.85185185185</v>
      </c>
      <c r="N464" s="138">
        <v>25000</v>
      </c>
      <c r="O464" s="132">
        <f t="shared" si="223"/>
        <v>1851.8518518518517</v>
      </c>
      <c r="P464" s="139">
        <f t="shared" si="224"/>
        <v>23148.14814814815</v>
      </c>
      <c r="Q464" s="133">
        <f t="shared" si="225"/>
        <v>0.31665599999999999</v>
      </c>
      <c r="R464" s="194">
        <f t="shared" si="226"/>
        <v>3.1580011116163913</v>
      </c>
      <c r="S464" s="244">
        <v>26000</v>
      </c>
      <c r="T464" s="272">
        <f t="shared" si="227"/>
        <v>0.28192307692307694</v>
      </c>
    </row>
    <row r="465" spans="1:20" x14ac:dyDescent="0.25">
      <c r="A465" s="113">
        <v>8</v>
      </c>
      <c r="B465" s="130" t="str">
        <f>+BEBIDAS!B101</f>
        <v>AGUA S PELLEGRINO</v>
      </c>
      <c r="C465" s="130"/>
      <c r="D465" s="131">
        <f>+BEBIDAS!I104</f>
        <v>7857</v>
      </c>
      <c r="E465" s="132">
        <f>+BEBIDAS!I105</f>
        <v>25000</v>
      </c>
      <c r="F465" s="132">
        <f t="shared" si="220"/>
        <v>1851.8518518518517</v>
      </c>
      <c r="G465" s="131">
        <f>+Tabla555727951527473113411318323331[[#This Row],[VENTA]]-Tabla555727951527473113411318323331[[#This Row],[ICO 8%]]</f>
        <v>23148.14814814815</v>
      </c>
      <c r="H465" s="133">
        <f>+Tabla555727951527473113411318323331[[#This Row],[COSTO]]/Tabla555727951527473113411318323331[[#This Row],[BASE]]</f>
        <v>0.33942239999999996</v>
      </c>
      <c r="I465" s="134">
        <f>+Tabla555727951527473113411318323331[[#This Row],[BASE]]/Tabla555727951527473113411318323331[[#This Row],[COSTO]]</f>
        <v>2.9461815130645475</v>
      </c>
      <c r="J465" s="135" t="e">
        <f>+VLOOKUP(Tabla555727951527473113411318323331[[#This Row],[BEBIDAS]],#REF!,2,0)</f>
        <v>#REF!</v>
      </c>
      <c r="K465" s="136">
        <f t="shared" si="221"/>
        <v>31427.999999999996</v>
      </c>
      <c r="L465" s="131">
        <f t="shared" si="222"/>
        <v>2327.9999999999995</v>
      </c>
      <c r="M465" s="137">
        <f>+Tabla555727951527473113411318323331[[#This Row],[PRECIO SUGERIDO]]+Tabla555727951527473113411318323331[[#This Row],[ICO2]]</f>
        <v>33755.999999999993</v>
      </c>
      <c r="N465" s="141">
        <f>+Tabla555727951527473113411318323331[[#This Row],[VENTA]]</f>
        <v>25000</v>
      </c>
      <c r="O465" s="132">
        <f t="shared" si="223"/>
        <v>1851.8518518518517</v>
      </c>
      <c r="P465" s="139">
        <f t="shared" si="224"/>
        <v>23148.14814814815</v>
      </c>
      <c r="Q465" s="133">
        <f t="shared" si="225"/>
        <v>0.33942239999999996</v>
      </c>
      <c r="R465" s="194">
        <f t="shared" si="226"/>
        <v>2.9461815130645475</v>
      </c>
      <c r="S465" s="244">
        <v>26000</v>
      </c>
      <c r="T465" s="272">
        <f t="shared" si="227"/>
        <v>0.3021923076923077</v>
      </c>
    </row>
    <row r="466" spans="1:20" ht="13.8" thickBot="1" x14ac:dyDescent="0.3">
      <c r="A466" s="113">
        <v>9</v>
      </c>
      <c r="B466" s="143" t="str">
        <f>+BEBIDAS!B30</f>
        <v>SPRITE</v>
      </c>
      <c r="C466" s="143"/>
      <c r="D466" s="144">
        <f>+BEBIDAS!I33</f>
        <v>1569.05</v>
      </c>
      <c r="E466" s="145">
        <f>+BEBIDAS!I34</f>
        <v>9500</v>
      </c>
      <c r="F466" s="145">
        <f t="shared" si="220"/>
        <v>703.7037037037037</v>
      </c>
      <c r="G466" s="144">
        <f>+Tabla555727951527473113411318323331[[#This Row],[VENTA]]-Tabla555727951527473113411318323331[[#This Row],[ICO 8%]]</f>
        <v>8796.2962962962956</v>
      </c>
      <c r="H466" s="146">
        <f>+Tabla555727951527473113411318323331[[#This Row],[COSTO]]/Tabla555727951527473113411318323331[[#This Row],[BASE]]</f>
        <v>0.1783762105263158</v>
      </c>
      <c r="I466" s="147">
        <f>+Tabla555727951527473113411318323331[[#This Row],[BASE]]/Tabla555727951527473113411318323331[[#This Row],[COSTO]]</f>
        <v>5.606128737960101</v>
      </c>
      <c r="J466" s="148" t="e">
        <f>+VLOOKUP(Tabla555727951527473113411318323331[[#This Row],[BEBIDAS]],#REF!,2,0)</f>
        <v>#REF!</v>
      </c>
      <c r="K466" s="149">
        <f t="shared" si="221"/>
        <v>6276.2</v>
      </c>
      <c r="L466" s="144">
        <f t="shared" si="222"/>
        <v>464.90370370370368</v>
      </c>
      <c r="M466" s="150">
        <f>+Tabla555727951527473113411318323331[[#This Row],[PRECIO SUGERIDO]]+Tabla555727951527473113411318323331[[#This Row],[ICO2]]</f>
        <v>6741.1037037037031</v>
      </c>
      <c r="N466" s="141">
        <f>+Tabla555727951527473113411318323331[[#This Row],[VENTA]]</f>
        <v>9500</v>
      </c>
      <c r="O466" s="145">
        <f t="shared" si="223"/>
        <v>703.7037037037037</v>
      </c>
      <c r="P466" s="151">
        <f t="shared" si="224"/>
        <v>8796.2962962962956</v>
      </c>
      <c r="Q466" s="146">
        <f t="shared" si="225"/>
        <v>0.1783762105263158</v>
      </c>
      <c r="R466" s="196">
        <f t="shared" si="226"/>
        <v>5.606128737960101</v>
      </c>
      <c r="S466" s="244">
        <v>10000</v>
      </c>
      <c r="T466" s="272">
        <f t="shared" si="227"/>
        <v>0.15690499999999999</v>
      </c>
    </row>
    <row r="467" spans="1:20" ht="13.8" thickBot="1" x14ac:dyDescent="0.3">
      <c r="B467" s="153" t="s">
        <v>35</v>
      </c>
      <c r="C467" s="181"/>
      <c r="D467" s="155"/>
      <c r="E467" s="156"/>
      <c r="F467" s="156"/>
      <c r="G467" s="155"/>
      <c r="H467" s="158">
        <f>SUBTOTAL(101,Tabla555727951527473113411318323331[%])</f>
        <v>0.23542807139457686</v>
      </c>
      <c r="I467" s="156"/>
      <c r="J467" s="156" t="e">
        <f>SUBTOTAL(109,Tabla555727951527473113411318323331[ROTACION])</f>
        <v>#REF!</v>
      </c>
      <c r="K467" s="159"/>
      <c r="L467" s="155"/>
      <c r="M467" s="156"/>
      <c r="N467" s="160"/>
      <c r="O467" s="156"/>
      <c r="P467" s="155"/>
      <c r="Q467" s="161"/>
      <c r="R467" s="162">
        <f>SUBTOTAL(109,Tabla555727951527473113411318323331[RATION])</f>
        <v>40.614810561003544</v>
      </c>
      <c r="S467" s="232"/>
      <c r="T467" s="275"/>
    </row>
    <row r="472" spans="1:20" x14ac:dyDescent="0.25">
      <c r="E472" s="117" t="s">
        <v>25</v>
      </c>
      <c r="F472" s="114"/>
      <c r="G472" s="118"/>
      <c r="H472" s="114"/>
      <c r="I472" s="114"/>
      <c r="J472" s="70"/>
      <c r="K472" s="396" t="s">
        <v>29</v>
      </c>
      <c r="L472" s="396"/>
      <c r="M472" s="396"/>
      <c r="N472" s="395" t="s">
        <v>1090</v>
      </c>
      <c r="O472" s="395"/>
      <c r="P472" s="395"/>
      <c r="Q472" s="395"/>
    </row>
    <row r="473" spans="1:20" x14ac:dyDescent="0.25">
      <c r="B473" s="183" t="s">
        <v>447</v>
      </c>
      <c r="C473" s="184" t="s">
        <v>316</v>
      </c>
      <c r="D473" s="185" t="s">
        <v>7</v>
      </c>
      <c r="E473" s="186" t="s">
        <v>20</v>
      </c>
      <c r="F473" s="187" t="s">
        <v>33</v>
      </c>
      <c r="G473" s="185" t="s">
        <v>26</v>
      </c>
      <c r="H473" s="188" t="s">
        <v>21</v>
      </c>
      <c r="I473" s="189" t="s">
        <v>22</v>
      </c>
      <c r="J473" s="189" t="s">
        <v>23</v>
      </c>
      <c r="K473" s="189" t="s">
        <v>27</v>
      </c>
      <c r="L473" s="185" t="s">
        <v>32</v>
      </c>
      <c r="M473" s="189" t="s">
        <v>28</v>
      </c>
      <c r="N473" s="190" t="s">
        <v>30</v>
      </c>
      <c r="O473" s="185" t="s">
        <v>34</v>
      </c>
      <c r="P473" s="185" t="s">
        <v>25</v>
      </c>
      <c r="Q473" s="191" t="s">
        <v>31</v>
      </c>
      <c r="R473" s="192" t="s">
        <v>24</v>
      </c>
      <c r="S473" s="234" t="s">
        <v>1262</v>
      </c>
      <c r="T473" s="276" t="s">
        <v>1263</v>
      </c>
    </row>
    <row r="474" spans="1:20" x14ac:dyDescent="0.25">
      <c r="A474" s="113">
        <v>1</v>
      </c>
      <c r="B474" s="130" t="str">
        <f>+MOCKTAILS!B18</f>
        <v>TROPICAL</v>
      </c>
      <c r="C474" s="130" t="s">
        <v>513</v>
      </c>
      <c r="D474" s="131">
        <f>+MOCKTAILS!K21</f>
        <v>6482.8825532185001</v>
      </c>
      <c r="E474" s="132">
        <f>+MOCKTAILS!K22</f>
        <v>27000</v>
      </c>
      <c r="F474" s="132">
        <f>+E474/1.08*0.08</f>
        <v>2000</v>
      </c>
      <c r="G474" s="131">
        <f>+Tabla555727951527473113411318323331367[[#This Row],[VENTA]]-Tabla555727951527473113411318323331367[[#This Row],[ICO 8%]]</f>
        <v>25000</v>
      </c>
      <c r="H474" s="133">
        <f>+Tabla555727951527473113411318323331367[[#This Row],[COSTO]]/Tabla555727951527473113411318323331367[[#This Row],[BASE]]</f>
        <v>0.25931530212873999</v>
      </c>
      <c r="I474" s="134">
        <f>+Tabla555727951527473113411318323331367[[#This Row],[BASE]]/Tabla555727951527473113411318323331367[[#This Row],[COSTO]]</f>
        <v>3.8563092566883643</v>
      </c>
      <c r="J474" s="135" t="e">
        <f>+VLOOKUP(Tabla555727951527473113411318323331367[[#This Row],[MOCKTAILS]],#REF!,2,0)</f>
        <v>#REF!</v>
      </c>
      <c r="K474" s="136">
        <f>+D474/(100-75)*100</f>
        <v>25931.530212874004</v>
      </c>
      <c r="L474" s="131">
        <f>+K474/1.08*0.08</f>
        <v>1920.8540898425188</v>
      </c>
      <c r="M474" s="137">
        <f>+Tabla555727951527473113411318323331367[[#This Row],[PRECIO SUGERIDO]]+Tabla555727951527473113411318323331367[[#This Row],[ICO2]]</f>
        <v>27852.384302716524</v>
      </c>
      <c r="N474" s="141">
        <v>25000</v>
      </c>
      <c r="O474" s="132">
        <f>+N474/1.08*0.08</f>
        <v>1851.8518518518517</v>
      </c>
      <c r="P474" s="139">
        <f>+N474-O474</f>
        <v>23148.14814814815</v>
      </c>
      <c r="Q474" s="133">
        <f>+D474/P474</f>
        <v>0.28006052629903921</v>
      </c>
      <c r="R474" s="194">
        <f>+P474/D474</f>
        <v>3.5706567191558931</v>
      </c>
      <c r="S474" s="244">
        <v>27000</v>
      </c>
      <c r="T474" s="272">
        <f t="shared" ref="T474:T477" si="228">+D474/S474</f>
        <v>0.24010676123031482</v>
      </c>
    </row>
    <row r="475" spans="1:20" x14ac:dyDescent="0.25">
      <c r="A475" s="113">
        <v>2</v>
      </c>
      <c r="B475" s="130" t="str">
        <f>+MOCKTAILS!B6</f>
        <v>VENICE</v>
      </c>
      <c r="C475" s="130" t="s">
        <v>512</v>
      </c>
      <c r="D475" s="131" t="e">
        <f>+MOCKTAILS!K9</f>
        <v>#N/A</v>
      </c>
      <c r="E475" s="132">
        <f>+MOCKTAILS!K10</f>
        <v>27000</v>
      </c>
      <c r="F475" s="132">
        <f>+E475/1.08*0.08</f>
        <v>2000</v>
      </c>
      <c r="G475" s="131">
        <f>+Tabla555727951527473113411318323331367[[#This Row],[VENTA]]-Tabla555727951527473113411318323331367[[#This Row],[ICO 8%]]</f>
        <v>25000</v>
      </c>
      <c r="H475" s="133" t="e">
        <f>+Tabla555727951527473113411318323331367[[#This Row],[COSTO]]/Tabla555727951527473113411318323331367[[#This Row],[BASE]]</f>
        <v>#N/A</v>
      </c>
      <c r="I475" s="134" t="e">
        <f>+Tabla555727951527473113411318323331367[[#This Row],[BASE]]/Tabla555727951527473113411318323331367[[#This Row],[COSTO]]</f>
        <v>#N/A</v>
      </c>
      <c r="J475" s="135" t="e">
        <f>+VLOOKUP(Tabla555727951527473113411318323331367[[#This Row],[MOCKTAILS]],#REF!,2,0)</f>
        <v>#REF!</v>
      </c>
      <c r="K475" s="136" t="e">
        <f>+D475/(100-75)*100</f>
        <v>#N/A</v>
      </c>
      <c r="L475" s="131" t="e">
        <f>+K475/1.08*0.08</f>
        <v>#N/A</v>
      </c>
      <c r="M475" s="137" t="e">
        <f>+Tabla555727951527473113411318323331367[[#This Row],[PRECIO SUGERIDO]]+Tabla555727951527473113411318323331367[[#This Row],[ICO2]]</f>
        <v>#N/A</v>
      </c>
      <c r="N475" s="141">
        <v>25000</v>
      </c>
      <c r="O475" s="132">
        <f>+N475/1.08*0.08</f>
        <v>1851.8518518518517</v>
      </c>
      <c r="P475" s="139">
        <f>+N475-O475</f>
        <v>23148.14814814815</v>
      </c>
      <c r="Q475" s="133" t="e">
        <f>+D475/P475</f>
        <v>#N/A</v>
      </c>
      <c r="R475" s="194" t="e">
        <f>+P475/D475</f>
        <v>#N/A</v>
      </c>
      <c r="S475" s="244">
        <v>27000</v>
      </c>
      <c r="T475" s="272" t="e">
        <f t="shared" si="228"/>
        <v>#N/A</v>
      </c>
    </row>
    <row r="476" spans="1:20" x14ac:dyDescent="0.25">
      <c r="A476" s="113">
        <v>3</v>
      </c>
      <c r="B476" s="143" t="str">
        <f>+MOCKTAILS!B29</f>
        <v xml:space="preserve">ROSAS Y LYCHES </v>
      </c>
      <c r="C476" s="143" t="s">
        <v>514</v>
      </c>
      <c r="D476" s="144">
        <f>+MOCKTAILS!K32</f>
        <v>9008.3913340630006</v>
      </c>
      <c r="E476" s="145">
        <f>+MOCKTAILS!K33</f>
        <v>27000</v>
      </c>
      <c r="F476" s="145">
        <f>+E476/1.08*0.08</f>
        <v>2000</v>
      </c>
      <c r="G476" s="144">
        <f>+Tabla555727951527473113411318323331367[[#This Row],[VENTA]]-Tabla555727951527473113411318323331367[[#This Row],[ICO 8%]]</f>
        <v>25000</v>
      </c>
      <c r="H476" s="146">
        <f>+Tabla555727951527473113411318323331367[[#This Row],[COSTO]]/Tabla555727951527473113411318323331367[[#This Row],[BASE]]</f>
        <v>0.36033565336252005</v>
      </c>
      <c r="I476" s="147">
        <f>+Tabla555727951527473113411318323331367[[#This Row],[BASE]]/Tabla555727951527473113411318323331367[[#This Row],[COSTO]]</f>
        <v>2.7751902723706832</v>
      </c>
      <c r="J476" s="148" t="e">
        <f>+VLOOKUP(Tabla555727951527473113411318323331367[[#This Row],[MOCKTAILS]],#REF!,2,0)</f>
        <v>#REF!</v>
      </c>
      <c r="K476" s="149">
        <f>+D476/(100-75)*100</f>
        <v>36033.565336252002</v>
      </c>
      <c r="L476" s="144">
        <f>+K476/1.08*0.08</f>
        <v>2669.1529878705187</v>
      </c>
      <c r="M476" s="150">
        <f>+Tabla555727951527473113411318323331367[[#This Row],[PRECIO SUGERIDO]]+Tabla555727951527473113411318323331367[[#This Row],[ICO2]]</f>
        <v>38702.718324122521</v>
      </c>
      <c r="N476" s="141">
        <v>25000</v>
      </c>
      <c r="O476" s="145">
        <f>+N476/1.08*0.08</f>
        <v>1851.8518518518517</v>
      </c>
      <c r="P476" s="151">
        <f>+N476-O476</f>
        <v>23148.14814814815</v>
      </c>
      <c r="Q476" s="146">
        <f>+D476/P476</f>
        <v>0.3891625056315216</v>
      </c>
      <c r="R476" s="196">
        <f>+P476/D476</f>
        <v>2.5696206225654477</v>
      </c>
      <c r="S476" s="244">
        <v>27000</v>
      </c>
      <c r="T476" s="272">
        <f t="shared" si="228"/>
        <v>0.33364412348381484</v>
      </c>
    </row>
    <row r="477" spans="1:20" ht="13.8" thickBot="1" x14ac:dyDescent="0.3">
      <c r="B477" s="171" t="str">
        <f>+MOCKTAILS!B41</f>
        <v>FEIJOA</v>
      </c>
      <c r="C477" s="171"/>
      <c r="D477" s="172">
        <f>+MOCKTAILS!K44</f>
        <v>6919.1623018099999</v>
      </c>
      <c r="E477" s="173"/>
      <c r="F477" s="173">
        <f>+E477/1.08*0.08</f>
        <v>0</v>
      </c>
      <c r="G477" s="172">
        <f>+Tabla555727951527473113411318323331367[[#This Row],[VENTA]]-Tabla555727951527473113411318323331367[[#This Row],[ICO 8%]]</f>
        <v>0</v>
      </c>
      <c r="H477" s="174" t="e">
        <f>+Tabla555727951527473113411318323331367[[#This Row],[COSTO]]/Tabla555727951527473113411318323331367[[#This Row],[BASE]]</f>
        <v>#DIV/0!</v>
      </c>
      <c r="I477" s="175">
        <f>+Tabla555727951527473113411318323331367[[#This Row],[BASE]]/Tabla555727951527473113411318323331367[[#This Row],[COSTO]]</f>
        <v>0</v>
      </c>
      <c r="J477" s="113" t="e">
        <f>+VLOOKUP(Tabla555727951527473113411318323331367[[#This Row],[MOCKTAILS]],#REF!,2,0)</f>
        <v>#REF!</v>
      </c>
      <c r="K477" s="176">
        <f>+D477/(100-75)*100</f>
        <v>27676.64920724</v>
      </c>
      <c r="L477" s="172">
        <f>+K477/1.08*0.08</f>
        <v>2050.1221634992589</v>
      </c>
      <c r="M477" s="177">
        <f>+Tabla555727951527473113411318323331367[[#This Row],[PRECIO SUGERIDO]]+Tabla555727951527473113411318323331367[[#This Row],[ICO2]]</f>
        <v>29726.771370739258</v>
      </c>
      <c r="N477" s="268"/>
      <c r="O477" s="173">
        <f>+N477/1.08*0.08</f>
        <v>0</v>
      </c>
      <c r="P477" s="179">
        <f>+N477-O477</f>
        <v>0</v>
      </c>
      <c r="Q477" s="250" t="e">
        <f>+D477/P477</f>
        <v>#DIV/0!</v>
      </c>
      <c r="R477" s="180">
        <f>+P477/D477</f>
        <v>0</v>
      </c>
      <c r="S477" s="244">
        <v>27000</v>
      </c>
      <c r="T477" s="272">
        <f t="shared" si="228"/>
        <v>0.25626527043740738</v>
      </c>
    </row>
    <row r="478" spans="1:20" ht="13.8" thickBot="1" x14ac:dyDescent="0.3">
      <c r="B478" s="153" t="s">
        <v>35</v>
      </c>
      <c r="C478" s="181"/>
      <c r="D478" s="155"/>
      <c r="E478" s="156"/>
      <c r="F478" s="156"/>
      <c r="G478" s="155"/>
      <c r="H478" s="158" t="e">
        <f>SUBTOTAL(101,Tabla555727951527473113411318323331367[%])</f>
        <v>#N/A</v>
      </c>
      <c r="I478" s="156"/>
      <c r="J478" s="156"/>
      <c r="K478" s="159"/>
      <c r="L478" s="155"/>
      <c r="M478" s="156"/>
      <c r="N478" s="160"/>
      <c r="O478" s="156"/>
      <c r="P478" s="155"/>
      <c r="Q478" s="161"/>
      <c r="R478" s="162" t="e">
        <f>SUBTOTAL(109,Tabla555727951527473113411318323331367[RATION])</f>
        <v>#N/A</v>
      </c>
      <c r="S478" s="232"/>
      <c r="T478" s="275"/>
    </row>
    <row r="480" spans="1:20" x14ac:dyDescent="0.25">
      <c r="E480" s="117" t="s">
        <v>25</v>
      </c>
      <c r="F480" s="114"/>
      <c r="G480" s="118"/>
      <c r="H480" s="114"/>
      <c r="I480" s="114"/>
      <c r="J480" s="70"/>
      <c r="K480" s="396" t="s">
        <v>29</v>
      </c>
      <c r="L480" s="396"/>
      <c r="M480" s="396"/>
      <c r="N480" s="395" t="s">
        <v>1090</v>
      </c>
      <c r="O480" s="395"/>
      <c r="P480" s="395"/>
      <c r="Q480" s="395"/>
    </row>
    <row r="481" spans="1:20" x14ac:dyDescent="0.25">
      <c r="B481" s="183" t="s">
        <v>448</v>
      </c>
      <c r="C481" s="184" t="s">
        <v>316</v>
      </c>
      <c r="D481" s="185" t="s">
        <v>7</v>
      </c>
      <c r="E481" s="186" t="s">
        <v>20</v>
      </c>
      <c r="F481" s="187" t="s">
        <v>33</v>
      </c>
      <c r="G481" s="185" t="s">
        <v>26</v>
      </c>
      <c r="H481" s="188" t="s">
        <v>21</v>
      </c>
      <c r="I481" s="189" t="s">
        <v>22</v>
      </c>
      <c r="J481" s="189" t="s">
        <v>23</v>
      </c>
      <c r="K481" s="189" t="s">
        <v>27</v>
      </c>
      <c r="L481" s="185" t="s">
        <v>32</v>
      </c>
      <c r="M481" s="189" t="s">
        <v>28</v>
      </c>
      <c r="N481" s="190" t="s">
        <v>30</v>
      </c>
      <c r="O481" s="185" t="s">
        <v>34</v>
      </c>
      <c r="P481" s="185" t="s">
        <v>25</v>
      </c>
      <c r="Q481" s="191" t="s">
        <v>31</v>
      </c>
      <c r="R481" s="192" t="s">
        <v>24</v>
      </c>
      <c r="S481" s="234" t="s">
        <v>1262</v>
      </c>
      <c r="T481" s="276" t="s">
        <v>1263</v>
      </c>
    </row>
    <row r="482" spans="1:20" x14ac:dyDescent="0.25">
      <c r="A482" s="113">
        <v>1</v>
      </c>
      <c r="B482" s="130" t="str">
        <f>+'JUGOS NATURALES'!B18</f>
        <v xml:space="preserve"> LIMONADA DE COCO</v>
      </c>
      <c r="C482" s="130"/>
      <c r="D482" s="131">
        <f>+'JUGOS NATURALES'!K21</f>
        <v>4676.9251721499995</v>
      </c>
      <c r="E482" s="132">
        <f>+'JUGOS NATURALES'!K22</f>
        <v>13000</v>
      </c>
      <c r="F482" s="132">
        <f>+E482/1.08*0.08</f>
        <v>962.96296296296293</v>
      </c>
      <c r="G482" s="131">
        <f>+Tabla555727951527473113411318323331367368[[#This Row],[VENTA]]-Tabla555727951527473113411318323331367368[[#This Row],[ICO 8%]]</f>
        <v>12037.037037037036</v>
      </c>
      <c r="H482" s="133">
        <f>+Tabla555727951527473113411318323331367368[[#This Row],[COSTO]]/Tabla555727951527473113411318323331367368[[#This Row],[BASE]]</f>
        <v>0.38854455276323074</v>
      </c>
      <c r="I482" s="134">
        <f>+Tabla555727951527473113411318323331367368[[#This Row],[BASE]]/Tabla555727951527473113411318323331367368[[#This Row],[COSTO]]</f>
        <v>2.5737074239961739</v>
      </c>
      <c r="J482" s="135" t="e">
        <f>+VLOOKUP(Tabla555727951527473113411318323331367368[[#This Row],[JUGOS]],#REF!,2,0)</f>
        <v>#REF!</v>
      </c>
      <c r="K482" s="136">
        <f>+D482/(100-75)*100</f>
        <v>18707.700688599998</v>
      </c>
      <c r="L482" s="131">
        <f>+K482/1.08*0.08</f>
        <v>1385.7556065629626</v>
      </c>
      <c r="M482" s="137">
        <f>+Tabla555727951527473113411318323331367368[[#This Row],[PRECIO SUGERIDO]]+Tabla555727951527473113411318323331367368[[#This Row],[ICO2]]</f>
        <v>20093.45629516296</v>
      </c>
      <c r="N482" s="141">
        <v>13000</v>
      </c>
      <c r="O482" s="132">
        <f>+N482/1.08*0.08</f>
        <v>962.96296296296293</v>
      </c>
      <c r="P482" s="139">
        <f>+N482-O482</f>
        <v>12037.037037037036</v>
      </c>
      <c r="Q482" s="133">
        <f>+D482/P482</f>
        <v>0.38854455276323074</v>
      </c>
      <c r="R482" s="194">
        <f>+P482/D482</f>
        <v>2.5737074239961739</v>
      </c>
      <c r="S482" s="244">
        <v>18000</v>
      </c>
      <c r="T482" s="272">
        <f t="shared" ref="T482:T485" si="229">+D482/S482</f>
        <v>0.25982917623055551</v>
      </c>
    </row>
    <row r="483" spans="1:20" x14ac:dyDescent="0.25">
      <c r="A483" s="113">
        <v>2</v>
      </c>
      <c r="B483" s="130" t="str">
        <f>+'JUGOS NATURALES'!B6</f>
        <v>LIMONADA NATURAL</v>
      </c>
      <c r="C483" s="130"/>
      <c r="D483" s="131">
        <f>+'JUGOS NATURALES'!K9</f>
        <v>655.39282995999997</v>
      </c>
      <c r="E483" s="132">
        <f>+'JUGOS NATURALES'!K10</f>
        <v>10000</v>
      </c>
      <c r="F483" s="132">
        <f>+E483/1.08*0.08</f>
        <v>740.74074074074076</v>
      </c>
      <c r="G483" s="131">
        <f>+Tabla555727951527473113411318323331367368[[#This Row],[VENTA]]-Tabla555727951527473113411318323331367368[[#This Row],[ICO 8%]]</f>
        <v>9259.2592592592591</v>
      </c>
      <c r="H483" s="133">
        <f>+Tabla555727951527473113411318323331367368[[#This Row],[COSTO]]/Tabla555727951527473113411318323331367368[[#This Row],[BASE]]</f>
        <v>7.0782425635680005E-2</v>
      </c>
      <c r="I483" s="134">
        <f>+Tabla555727951527473113411318323331367368[[#This Row],[BASE]]/Tabla555727951527473113411318323331367368[[#This Row],[COSTO]]</f>
        <v>14.127800665479315</v>
      </c>
      <c r="J483" s="135" t="e">
        <f>+VLOOKUP(Tabla555727951527473113411318323331367368[[#This Row],[JUGOS]],#REF!,2,0)</f>
        <v>#REF!</v>
      </c>
      <c r="K483" s="136">
        <f>+D483/(100-75)*100</f>
        <v>2621.5713198399999</v>
      </c>
      <c r="L483" s="131">
        <f>+K483/1.08*0.08</f>
        <v>194.19046813629626</v>
      </c>
      <c r="M483" s="137">
        <f>+Tabla555727951527473113411318323331367368[[#This Row],[PRECIO SUGERIDO]]+Tabla555727951527473113411318323331367368[[#This Row],[ICO2]]</f>
        <v>2815.7617879762961</v>
      </c>
      <c r="N483" s="141">
        <v>10000</v>
      </c>
      <c r="O483" s="132">
        <f>+N483/1.08*0.08</f>
        <v>740.74074074074076</v>
      </c>
      <c r="P483" s="139">
        <f>+N483-O483</f>
        <v>9259.2592592592591</v>
      </c>
      <c r="Q483" s="133">
        <f>+D483/P483</f>
        <v>7.0782425635680005E-2</v>
      </c>
      <c r="R483" s="194">
        <f>+P483/D483</f>
        <v>14.127800665479315</v>
      </c>
      <c r="S483" s="244">
        <v>12000</v>
      </c>
      <c r="T483" s="272">
        <f t="shared" si="229"/>
        <v>5.4616069163333329E-2</v>
      </c>
    </row>
    <row r="484" spans="1:20" x14ac:dyDescent="0.25">
      <c r="A484" s="113">
        <v>3</v>
      </c>
      <c r="B484" s="130" t="str">
        <f>+'JUGOS NATURALES'!B40</f>
        <v>JUGO DE MANGO</v>
      </c>
      <c r="C484" s="130"/>
      <c r="D484" s="131">
        <f>+'JUGOS NATURALES'!K43</f>
        <v>2166.0331580030002</v>
      </c>
      <c r="E484" s="132">
        <f>+'JUGOS NATURALES'!K44</f>
        <v>13500</v>
      </c>
      <c r="F484" s="132">
        <f>+E484/1.08*0.08</f>
        <v>1000</v>
      </c>
      <c r="G484" s="131">
        <f>+Tabla555727951527473113411318323331367368[[#This Row],[VENTA]]-Tabla555727951527473113411318323331367368[[#This Row],[ICO 8%]]</f>
        <v>12500</v>
      </c>
      <c r="H484" s="133">
        <f>+Tabla555727951527473113411318323331367368[[#This Row],[COSTO]]/Tabla555727951527473113411318323331367368[[#This Row],[BASE]]</f>
        <v>0.17328265264024001</v>
      </c>
      <c r="I484" s="134">
        <f>+Tabla555727951527473113411318323331367368[[#This Row],[BASE]]/Tabla555727951527473113411318323331367368[[#This Row],[COSTO]]</f>
        <v>5.7709181199813777</v>
      </c>
      <c r="J484" s="135" t="e">
        <f>+VLOOKUP(Tabla555727951527473113411318323331367368[[#This Row],[JUGOS]],#REF!,2,0)</f>
        <v>#REF!</v>
      </c>
      <c r="K484" s="136">
        <f>+D484/(100-75)*100</f>
        <v>8664.1326320120006</v>
      </c>
      <c r="L484" s="131">
        <f>+K484/1.08*0.08</f>
        <v>641.78760237125925</v>
      </c>
      <c r="M484" s="137">
        <f>+Tabla555727951527473113411318323331367368[[#This Row],[PRECIO SUGERIDO]]+Tabla555727951527473113411318323331367368[[#This Row],[ICO2]]</f>
        <v>9305.9202343832603</v>
      </c>
      <c r="N484" s="141">
        <v>13500</v>
      </c>
      <c r="O484" s="132">
        <f>+N484/1.08*0.08</f>
        <v>1000</v>
      </c>
      <c r="P484" s="139">
        <f>+N484-O484</f>
        <v>12500</v>
      </c>
      <c r="Q484" s="133">
        <f>+D484/P484</f>
        <v>0.17328265264024001</v>
      </c>
      <c r="R484" s="194">
        <f>+P484/D484</f>
        <v>5.7709181199813777</v>
      </c>
      <c r="S484" s="244">
        <v>15000</v>
      </c>
      <c r="T484" s="272">
        <f t="shared" si="229"/>
        <v>0.14440221053353333</v>
      </c>
    </row>
    <row r="485" spans="1:20" x14ac:dyDescent="0.25">
      <c r="A485" s="113">
        <v>4</v>
      </c>
      <c r="B485" s="143" t="str">
        <f>+'JUGOS NATURALES'!B29</f>
        <v>JUGO FRUTOS ROJOS</v>
      </c>
      <c r="C485" s="143"/>
      <c r="D485" s="144">
        <f>+'JUGOS NATURALES'!K32</f>
        <v>2350.09500011</v>
      </c>
      <c r="E485" s="145">
        <f>+'JUGOS NATURALES'!K33</f>
        <v>13000</v>
      </c>
      <c r="F485" s="145">
        <f>+E485/1.08*0.08</f>
        <v>962.96296296296293</v>
      </c>
      <c r="G485" s="144">
        <f>+Tabla555727951527473113411318323331367368[[#This Row],[VENTA]]-Tabla555727951527473113411318323331367368[[#This Row],[ICO 8%]]</f>
        <v>12037.037037037036</v>
      </c>
      <c r="H485" s="146">
        <f>+Tabla555727951527473113411318323331367368[[#This Row],[COSTO]]/Tabla555727951527473113411318323331367368[[#This Row],[BASE]]</f>
        <v>0.1952386615476</v>
      </c>
      <c r="I485" s="147">
        <f>+Tabla555727951527473113411318323331367368[[#This Row],[BASE]]/Tabla555727951527473113411318323331367368[[#This Row],[COSTO]]</f>
        <v>5.121936362774111</v>
      </c>
      <c r="J485" s="148" t="e">
        <f>+VLOOKUP(Tabla555727951527473113411318323331367368[[#This Row],[JUGOS]],#REF!,2,0)</f>
        <v>#REF!</v>
      </c>
      <c r="K485" s="149">
        <f>+D485/(100-75)*100</f>
        <v>9400.38000044</v>
      </c>
      <c r="L485" s="144">
        <f>+K485/1.08*0.08</f>
        <v>696.32444447703699</v>
      </c>
      <c r="M485" s="150">
        <f>+Tabla555727951527473113411318323331367368[[#This Row],[PRECIO SUGERIDO]]+Tabla555727951527473113411318323331367368[[#This Row],[ICO2]]</f>
        <v>10096.704444917037</v>
      </c>
      <c r="N485" s="195">
        <v>13000</v>
      </c>
      <c r="O485" s="145">
        <f>+N485/1.08*0.08</f>
        <v>962.96296296296293</v>
      </c>
      <c r="P485" s="151">
        <f>+N485-O485</f>
        <v>12037.037037037036</v>
      </c>
      <c r="Q485" s="146">
        <f>+D485/P485</f>
        <v>0.1952386615476</v>
      </c>
      <c r="R485" s="196">
        <f>+P485/D485</f>
        <v>5.121936362774111</v>
      </c>
      <c r="S485" s="244">
        <v>15000</v>
      </c>
      <c r="T485" s="272">
        <f t="shared" si="229"/>
        <v>0.15667300000733334</v>
      </c>
    </row>
    <row r="486" spans="1:20" ht="13.8" thickBot="1" x14ac:dyDescent="0.3">
      <c r="A486" s="113">
        <v>5</v>
      </c>
      <c r="B486" s="269" t="str">
        <f>+'JUGOS NATURALES'!B53</f>
        <v xml:space="preserve">MANGO BICHE </v>
      </c>
      <c r="C486" s="143"/>
      <c r="D486" s="144">
        <f>+'JUGOS NATURALES'!K56</f>
        <v>4154.201381979</v>
      </c>
      <c r="E486" s="145"/>
      <c r="F486" s="145">
        <f>+E486/1.08*0.08</f>
        <v>0</v>
      </c>
      <c r="G486" s="144">
        <f>+Tabla555727951527473113411318323331367368[[#This Row],[VENTA]]-Tabla555727951527473113411318323331367368[[#This Row],[ICO 8%]]</f>
        <v>0</v>
      </c>
      <c r="H486" s="146" t="e">
        <f>+Tabla555727951527473113411318323331367368[[#This Row],[COSTO]]/Tabla555727951527473113411318323331367368[[#This Row],[BASE]]</f>
        <v>#DIV/0!</v>
      </c>
      <c r="I486" s="147">
        <f>+Tabla555727951527473113411318323331367368[[#This Row],[BASE]]/Tabla555727951527473113411318323331367368[[#This Row],[COSTO]]</f>
        <v>0</v>
      </c>
      <c r="J486" s="148" t="e">
        <f>+VLOOKUP(Tabla555727951527473113411318323331367368[[#This Row],[JUGOS]],#REF!,2,0)</f>
        <v>#REF!</v>
      </c>
      <c r="K486" s="149">
        <f>+D486/(100-75)*100</f>
        <v>16616.805527916</v>
      </c>
      <c r="L486" s="144">
        <f>+K486/1.08*0.08</f>
        <v>1230.8744835493333</v>
      </c>
      <c r="M486" s="150">
        <f>+Tabla555727951527473113411318323331367368[[#This Row],[PRECIO SUGERIDO]]+Tabla555727951527473113411318323331367368[[#This Row],[ICO2]]</f>
        <v>17847.680011465334</v>
      </c>
      <c r="N486" s="195"/>
      <c r="O486" s="145">
        <f>+N486/1.08*0.08</f>
        <v>0</v>
      </c>
      <c r="P486" s="151">
        <f>+N486-O486</f>
        <v>0</v>
      </c>
      <c r="Q486" s="146" t="e">
        <f>+D486/P486</f>
        <v>#DIV/0!</v>
      </c>
      <c r="R486" s="196">
        <f>+P486/D486</f>
        <v>0</v>
      </c>
      <c r="S486" s="244">
        <v>16000</v>
      </c>
      <c r="T486" s="272">
        <f>+D486/S486</f>
        <v>0.2596375863736875</v>
      </c>
    </row>
    <row r="487" spans="1:20" ht="13.8" thickBot="1" x14ac:dyDescent="0.3">
      <c r="B487" s="153" t="s">
        <v>35</v>
      </c>
      <c r="C487" s="181"/>
      <c r="D487" s="155"/>
      <c r="E487" s="156"/>
      <c r="F487" s="156"/>
      <c r="G487" s="155"/>
      <c r="H487" s="158" t="e">
        <f>SUBTOTAL(101,Tabla555727951527473113411318323331367368[%])</f>
        <v>#DIV/0!</v>
      </c>
      <c r="I487" s="156"/>
      <c r="J487" s="156"/>
      <c r="K487" s="159"/>
      <c r="L487" s="155"/>
      <c r="M487" s="156"/>
      <c r="N487" s="160"/>
      <c r="O487" s="156"/>
      <c r="P487" s="155"/>
      <c r="Q487" s="161"/>
      <c r="R487" s="162">
        <f>SUBTOTAL(109,Tabla555727951527473113411318323331367368[RATION])</f>
        <v>27.594362572230978</v>
      </c>
      <c r="S487" s="232"/>
      <c r="T487" s="275"/>
    </row>
    <row r="490" spans="1:20" x14ac:dyDescent="0.25">
      <c r="E490" s="117" t="s">
        <v>25</v>
      </c>
      <c r="F490" s="114"/>
      <c r="G490" s="118"/>
      <c r="H490" s="114"/>
      <c r="I490" s="114"/>
      <c r="J490" s="70"/>
      <c r="K490" s="396" t="s">
        <v>29</v>
      </c>
      <c r="L490" s="396"/>
      <c r="M490" s="396"/>
      <c r="N490" s="395" t="s">
        <v>1090</v>
      </c>
      <c r="O490" s="395"/>
      <c r="P490" s="395"/>
      <c r="Q490" s="395"/>
    </row>
    <row r="491" spans="1:20" x14ac:dyDescent="0.25">
      <c r="B491" s="183" t="s">
        <v>534</v>
      </c>
      <c r="C491" s="184" t="s">
        <v>316</v>
      </c>
      <c r="D491" s="185" t="s">
        <v>7</v>
      </c>
      <c r="E491" s="186" t="s">
        <v>20</v>
      </c>
      <c r="F491" s="187" t="s">
        <v>33</v>
      </c>
      <c r="G491" s="185" t="s">
        <v>26</v>
      </c>
      <c r="H491" s="188" t="s">
        <v>21</v>
      </c>
      <c r="I491" s="189" t="s">
        <v>22</v>
      </c>
      <c r="J491" s="189" t="s">
        <v>23</v>
      </c>
      <c r="K491" s="189" t="s">
        <v>27</v>
      </c>
      <c r="L491" s="185" t="s">
        <v>32</v>
      </c>
      <c r="M491" s="189" t="s">
        <v>28</v>
      </c>
      <c r="N491" s="190" t="s">
        <v>30</v>
      </c>
      <c r="O491" s="185" t="s">
        <v>34</v>
      </c>
      <c r="P491" s="185" t="s">
        <v>25</v>
      </c>
      <c r="Q491" s="191" t="s">
        <v>31</v>
      </c>
      <c r="R491" s="192" t="s">
        <v>24</v>
      </c>
      <c r="S491" s="234" t="s">
        <v>1262</v>
      </c>
      <c r="T491" s="276" t="s">
        <v>1263</v>
      </c>
    </row>
    <row r="492" spans="1:20" x14ac:dyDescent="0.25">
      <c r="A492" s="113">
        <v>1</v>
      </c>
      <c r="B492" s="130" t="str">
        <f>+CAFES!B29</f>
        <v>AMERICANO</v>
      </c>
      <c r="C492" s="130"/>
      <c r="D492" s="131">
        <f>+CAFES!I32</f>
        <v>664.29</v>
      </c>
      <c r="E492" s="132">
        <f>+CAFES!I33</f>
        <v>6500</v>
      </c>
      <c r="F492" s="132">
        <f>+E492/1.08*0.08</f>
        <v>481.48148148148147</v>
      </c>
      <c r="G492" s="131">
        <f>+Tabla555727951527473113411318323331367368369289[[#This Row],[VENTA]]-Tabla555727951527473113411318323331367368369289[[#This Row],[ICO 8%]]</f>
        <v>6018.5185185185182</v>
      </c>
      <c r="H492" s="133">
        <f>+Tabla555727951527473113411318323331367368369289[[#This Row],[COSTO]]/Tabla555727951527473113411318323331367368369289[[#This Row],[BASE]]</f>
        <v>0.11037433846153846</v>
      </c>
      <c r="I492" s="134">
        <f>+Tabla555727951527473113411318323331367368369289[[#This Row],[BASE]]/Tabla555727951527473113411318323331367368369289[[#This Row],[COSTO]]</f>
        <v>9.0600769521120572</v>
      </c>
      <c r="J492" s="135" t="e">
        <f>+VLOOKUP(Tabla555727951527473113411318323331367368369289[[#This Row],[CAFES]],#REF!,2,0)</f>
        <v>#REF!</v>
      </c>
      <c r="K492" s="136">
        <f>+D492/(100-75)*100</f>
        <v>2657.16</v>
      </c>
      <c r="L492" s="131">
        <f>+K492/1.08*0.08</f>
        <v>196.82666666666665</v>
      </c>
      <c r="M492" s="137">
        <f>+Tabla555727951527473113411318323331367368369289[[#This Row],[PRECIO SUGERIDO]]+Tabla555727951527473113411318323331367368369289[[#This Row],[ICO2]]</f>
        <v>2853.9866666666667</v>
      </c>
      <c r="N492" s="141">
        <v>6500</v>
      </c>
      <c r="O492" s="132">
        <f>+N492/1.08*0.08</f>
        <v>481.48148148148147</v>
      </c>
      <c r="P492" s="139">
        <f>+N492-O492</f>
        <v>6018.5185185185182</v>
      </c>
      <c r="Q492" s="133">
        <f>+D492/P492</f>
        <v>0.11037433846153846</v>
      </c>
      <c r="R492" s="194">
        <f>+P492/D492</f>
        <v>9.0600769521120572</v>
      </c>
      <c r="S492" s="244">
        <v>7500</v>
      </c>
      <c r="T492" s="272">
        <f t="shared" ref="T492:T495" si="230">+D492/S492</f>
        <v>8.8571999999999998E-2</v>
      </c>
    </row>
    <row r="493" spans="1:20" x14ac:dyDescent="0.25">
      <c r="A493" s="113">
        <v>2</v>
      </c>
      <c r="B493" s="130" t="str">
        <f>+CAFES!B6</f>
        <v>EXPRESO</v>
      </c>
      <c r="C493" s="130"/>
      <c r="D493" s="131">
        <f>+CAFES!I9</f>
        <v>664.29</v>
      </c>
      <c r="E493" s="132">
        <f>+CAFES!I10</f>
        <v>7500</v>
      </c>
      <c r="F493" s="132">
        <f>+E493/1.08*0.08</f>
        <v>555.55555555555554</v>
      </c>
      <c r="G493" s="131">
        <f>+Tabla555727951527473113411318323331367368369289[[#This Row],[VENTA]]-Tabla555727951527473113411318323331367368369289[[#This Row],[ICO 8%]]</f>
        <v>6944.4444444444443</v>
      </c>
      <c r="H493" s="133">
        <f>+Tabla555727951527473113411318323331367368369289[[#This Row],[COSTO]]/Tabla555727951527473113411318323331367368369289[[#This Row],[BASE]]</f>
        <v>9.5657759999999994E-2</v>
      </c>
      <c r="I493" s="134">
        <f>+Tabla555727951527473113411318323331367368369289[[#This Row],[BASE]]/Tabla555727951527473113411318323331367368369289[[#This Row],[COSTO]]</f>
        <v>10.453934944744681</v>
      </c>
      <c r="J493" s="135" t="e">
        <f>+VLOOKUP(Tabla555727951527473113411318323331367368369289[[#This Row],[CAFES]],#REF!,2,0)</f>
        <v>#REF!</v>
      </c>
      <c r="K493" s="136">
        <f>+D493/(100-75)*100</f>
        <v>2657.16</v>
      </c>
      <c r="L493" s="131">
        <f>+K493/1.08*0.08</f>
        <v>196.82666666666665</v>
      </c>
      <c r="M493" s="137">
        <f>+Tabla555727951527473113411318323331367368369289[[#This Row],[PRECIO SUGERIDO]]+Tabla555727951527473113411318323331367368369289[[#This Row],[ICO2]]</f>
        <v>2853.9866666666667</v>
      </c>
      <c r="N493" s="141">
        <v>7500</v>
      </c>
      <c r="O493" s="132">
        <f>+N493/1.08*0.08</f>
        <v>555.55555555555554</v>
      </c>
      <c r="P493" s="139">
        <f>+N493-O493</f>
        <v>6944.4444444444443</v>
      </c>
      <c r="Q493" s="133">
        <f>+D493/P493</f>
        <v>9.5657759999999994E-2</v>
      </c>
      <c r="R493" s="194">
        <f>+P493/D493</f>
        <v>10.453934944744681</v>
      </c>
      <c r="S493" s="244">
        <v>8500</v>
      </c>
      <c r="T493" s="272">
        <f t="shared" si="230"/>
        <v>7.8151764705882351E-2</v>
      </c>
    </row>
    <row r="494" spans="1:20" x14ac:dyDescent="0.25">
      <c r="A494" s="113">
        <v>3</v>
      </c>
      <c r="B494" s="130" t="str">
        <f>+CAFES!B18</f>
        <v xml:space="preserve">CAPUCCINO </v>
      </c>
      <c r="C494" s="130"/>
      <c r="D494" s="131">
        <f>+CAFES!I21</f>
        <v>3446.8283363579999</v>
      </c>
      <c r="E494" s="132">
        <f>+CAFES!I22</f>
        <v>12000</v>
      </c>
      <c r="F494" s="132">
        <f>+E494/1.08*0.08</f>
        <v>888.8888888888888</v>
      </c>
      <c r="G494" s="131">
        <f>+Tabla555727951527473113411318323331367368369289[[#This Row],[VENTA]]-Tabla555727951527473113411318323331367368369289[[#This Row],[ICO 8%]]</f>
        <v>11111.111111111111</v>
      </c>
      <c r="H494" s="133">
        <f>+Tabla555727951527473113411318323331367368369289[[#This Row],[COSTO]]/Tabla555727951527473113411318323331367368369289[[#This Row],[BASE]]</f>
        <v>0.31021455027222</v>
      </c>
      <c r="I494" s="134">
        <f>+Tabla555727951527473113411318323331367368369289[[#This Row],[BASE]]/Tabla555727951527473113411318323331367368369289[[#This Row],[COSTO]]</f>
        <v>3.223575422630816</v>
      </c>
      <c r="J494" s="135" t="e">
        <f>+VLOOKUP(Tabla555727951527473113411318323331367368369289[[#This Row],[CAFES]],#REF!,2,0)</f>
        <v>#REF!</v>
      </c>
      <c r="K494" s="136">
        <f>+D494/(100-75)*100</f>
        <v>13787.313345432</v>
      </c>
      <c r="L494" s="131">
        <f>+K494/1.08*0.08</f>
        <v>1021.2824700319999</v>
      </c>
      <c r="M494" s="137">
        <f>+Tabla555727951527473113411318323331367368369289[[#This Row],[PRECIO SUGERIDO]]+Tabla555727951527473113411318323331367368369289[[#This Row],[ICO2]]</f>
        <v>14808.595815463999</v>
      </c>
      <c r="N494" s="141">
        <v>12000</v>
      </c>
      <c r="O494" s="132">
        <f>+N494/1.08*0.08</f>
        <v>888.8888888888888</v>
      </c>
      <c r="P494" s="139">
        <f>+N494-O494</f>
        <v>11111.111111111111</v>
      </c>
      <c r="Q494" s="133">
        <f>+D494/P494</f>
        <v>0.31021455027222</v>
      </c>
      <c r="R494" s="194">
        <f>+P494/D494</f>
        <v>3.223575422630816</v>
      </c>
      <c r="S494" s="244">
        <v>13500</v>
      </c>
      <c r="T494" s="272">
        <f t="shared" si="230"/>
        <v>0.255320617508</v>
      </c>
    </row>
    <row r="495" spans="1:20" ht="13.8" thickBot="1" x14ac:dyDescent="0.3">
      <c r="A495" s="113">
        <v>4</v>
      </c>
      <c r="B495" s="143" t="str">
        <f>+CAFES!B40</f>
        <v>CAPUCCINO CON BAILEYS</v>
      </c>
      <c r="C495" s="143"/>
      <c r="D495" s="144">
        <f>+CAFES!I43</f>
        <v>6819.7377113580005</v>
      </c>
      <c r="E495" s="145">
        <f>+CAFES!I44</f>
        <v>21000</v>
      </c>
      <c r="F495" s="145">
        <f>+E495/1.08*0.08</f>
        <v>1555.5555555555554</v>
      </c>
      <c r="G495" s="144">
        <f>+Tabla555727951527473113411318323331367368369289[[#This Row],[VENTA]]-Tabla555727951527473113411318323331367368369289[[#This Row],[ICO 8%]]</f>
        <v>19444.444444444445</v>
      </c>
      <c r="H495" s="146">
        <f>+Tabla555727951527473113411318323331367368369289[[#This Row],[COSTO]]/Tabla555727951527473113411318323331367368369289[[#This Row],[BASE]]</f>
        <v>0.35072936801269716</v>
      </c>
      <c r="I495" s="147">
        <f>+Tabla555727951527473113411318323331367368369289[[#This Row],[BASE]]/Tabla555727951527473113411318323331367368369289[[#This Row],[COSTO]]</f>
        <v>2.8512012143898877</v>
      </c>
      <c r="J495" s="148" t="e">
        <f>+VLOOKUP(Tabla555727951527473113411318323331367368369289[[#This Row],[CAFES]],#REF!,2,0)</f>
        <v>#REF!</v>
      </c>
      <c r="K495" s="149">
        <f>+D495/(100-75)*100</f>
        <v>27278.950845432002</v>
      </c>
      <c r="L495" s="144">
        <f>+K495/1.08*0.08</f>
        <v>2020.6630255875557</v>
      </c>
      <c r="M495" s="150">
        <f>+Tabla555727951527473113411318323331367368369289[[#This Row],[PRECIO SUGERIDO]]+Tabla555727951527473113411318323331367368369289[[#This Row],[ICO2]]</f>
        <v>29299.613871019559</v>
      </c>
      <c r="N495" s="195">
        <v>21000</v>
      </c>
      <c r="O495" s="145">
        <f>+N495/1.08*0.08</f>
        <v>1555.5555555555554</v>
      </c>
      <c r="P495" s="151">
        <f>+N495-O495</f>
        <v>19444.444444444445</v>
      </c>
      <c r="Q495" s="146">
        <f>+D495/P495</f>
        <v>0.35072936801269716</v>
      </c>
      <c r="R495" s="196">
        <f>+P495/D495</f>
        <v>2.8512012143898877</v>
      </c>
      <c r="S495" s="244">
        <v>24000</v>
      </c>
      <c r="T495" s="272">
        <f t="shared" si="230"/>
        <v>0.28415573797325</v>
      </c>
    </row>
    <row r="496" spans="1:20" ht="13.8" thickBot="1" x14ac:dyDescent="0.3">
      <c r="B496" s="153" t="s">
        <v>35</v>
      </c>
      <c r="C496" s="181"/>
      <c r="D496" s="155"/>
      <c r="E496" s="156"/>
      <c r="F496" s="156"/>
      <c r="G496" s="155"/>
      <c r="H496" s="158">
        <f>SUBTOTAL(101,Tabla555727951527473113411318323331367368369289[%])</f>
        <v>0.21674400418661391</v>
      </c>
      <c r="I496" s="156"/>
      <c r="J496" s="156"/>
      <c r="K496" s="159"/>
      <c r="L496" s="155"/>
      <c r="M496" s="156"/>
      <c r="N496" s="160"/>
      <c r="O496" s="156"/>
      <c r="P496" s="155"/>
      <c r="Q496" s="161"/>
      <c r="R496" s="162">
        <f>SUBTOTAL(109,Tabla555727951527473113411318323331367368369289[RATION])</f>
        <v>25.588788533877441</v>
      </c>
      <c r="S496" s="232"/>
      <c r="T496" s="275"/>
    </row>
    <row r="500" spans="1:20" x14ac:dyDescent="0.25">
      <c r="E500" s="117" t="s">
        <v>25</v>
      </c>
      <c r="F500" s="114"/>
      <c r="G500" s="118"/>
      <c r="H500" s="114"/>
      <c r="I500" s="114"/>
      <c r="J500" s="70"/>
      <c r="K500" s="396" t="s">
        <v>29</v>
      </c>
      <c r="L500" s="396"/>
      <c r="M500" s="396"/>
      <c r="N500" s="395" t="s">
        <v>1090</v>
      </c>
      <c r="O500" s="395"/>
      <c r="P500" s="395"/>
      <c r="Q500" s="395"/>
    </row>
    <row r="501" spans="1:20" x14ac:dyDescent="0.25">
      <c r="B501" s="183" t="s">
        <v>535</v>
      </c>
      <c r="C501" s="184" t="s">
        <v>316</v>
      </c>
      <c r="D501" s="185" t="s">
        <v>7</v>
      </c>
      <c r="E501" s="186" t="s">
        <v>20</v>
      </c>
      <c r="F501" s="187" t="s">
        <v>33</v>
      </c>
      <c r="G501" s="185" t="s">
        <v>26</v>
      </c>
      <c r="H501" s="188" t="s">
        <v>21</v>
      </c>
      <c r="I501" s="189" t="s">
        <v>22</v>
      </c>
      <c r="J501" s="189" t="s">
        <v>23</v>
      </c>
      <c r="K501" s="189" t="s">
        <v>27</v>
      </c>
      <c r="L501" s="185" t="s">
        <v>32</v>
      </c>
      <c r="M501" s="189" t="s">
        <v>28</v>
      </c>
      <c r="N501" s="190" t="s">
        <v>30</v>
      </c>
      <c r="O501" s="185" t="s">
        <v>34</v>
      </c>
      <c r="P501" s="185" t="s">
        <v>25</v>
      </c>
      <c r="Q501" s="191" t="s">
        <v>31</v>
      </c>
      <c r="R501" s="192" t="s">
        <v>24</v>
      </c>
      <c r="S501" s="234" t="s">
        <v>1262</v>
      </c>
      <c r="T501" s="276" t="s">
        <v>1263</v>
      </c>
    </row>
    <row r="502" spans="1:20" x14ac:dyDescent="0.25">
      <c r="A502" s="113">
        <v>1</v>
      </c>
      <c r="B502" s="143" t="str">
        <f>+AROMATICAS!B6</f>
        <v>AROMATICA HIERBABUENA</v>
      </c>
      <c r="C502" s="143"/>
      <c r="D502" s="144">
        <f>+AROMATICAS!K9</f>
        <v>461.343023625</v>
      </c>
      <c r="E502" s="145">
        <f>+AROMATICAS!K10</f>
        <v>13500</v>
      </c>
      <c r="F502" s="145">
        <f>+E502/1.08*0.08</f>
        <v>1000</v>
      </c>
      <c r="G502" s="144">
        <f>+Tabla555727951527473113411318323331367368369289290[[#This Row],[VENTA]]-Tabla555727951527473113411318323331367368369289290[[#This Row],[ICO 8%]]</f>
        <v>12500</v>
      </c>
      <c r="H502" s="146">
        <f>+Tabla555727951527473113411318323331367368369289290[[#This Row],[COSTO]]/Tabla555727951527473113411318323331367368369289290[[#This Row],[BASE]]</f>
        <v>3.6907441890000003E-2</v>
      </c>
      <c r="I502" s="147">
        <f>+Tabla555727951527473113411318323331367368369289290[[#This Row],[BASE]]/Tabla555727951527473113411318323331367368369289290[[#This Row],[COSTO]]</f>
        <v>27.094806597011754</v>
      </c>
      <c r="J502" s="148" t="e">
        <f>+VLOOKUP(Tabla555727951527473113411318323331367368369289290[[#This Row],[AROMATICAS]],#REF!,2,0)</f>
        <v>#REF!</v>
      </c>
      <c r="K502" s="149">
        <f t="shared" ref="K502" si="231">+D502/(100-75)*100</f>
        <v>1845.3720945</v>
      </c>
      <c r="L502" s="144">
        <f>+K502/1.08*0.08</f>
        <v>136.69422922222222</v>
      </c>
      <c r="M502" s="150">
        <f>+Tabla555727951527473113411318323331367368369289290[[#This Row],[PRECIO SUGERIDO]]+Tabla555727951527473113411318323331367368369289290[[#This Row],[ICO2]]</f>
        <v>1982.0663237222223</v>
      </c>
      <c r="N502" s="195">
        <v>6500</v>
      </c>
      <c r="O502" s="145">
        <f>+N502/1.08*0.08</f>
        <v>481.48148148148147</v>
      </c>
      <c r="P502" s="151">
        <f t="shared" ref="P502" si="232">+N502-O502</f>
        <v>6018.5185185185182</v>
      </c>
      <c r="Q502" s="146">
        <f t="shared" ref="Q502" si="233">+D502/P502</f>
        <v>7.665391777153846E-2</v>
      </c>
      <c r="R502" s="196">
        <f t="shared" ref="R502" si="234">+P502/D502</f>
        <v>13.045647620783438</v>
      </c>
      <c r="S502" s="244">
        <v>13500</v>
      </c>
      <c r="T502" s="272">
        <f t="shared" ref="T502:T504" si="235">+D502/S502</f>
        <v>3.4173557305555553E-2</v>
      </c>
    </row>
    <row r="503" spans="1:20" x14ac:dyDescent="0.25">
      <c r="B503" s="143" t="str">
        <f>+AROMATICAS!B19</f>
        <v>AROMATICA DE FRUTOS ROJOS</v>
      </c>
      <c r="C503" s="143"/>
      <c r="D503" s="144">
        <f>+AROMATICAS!K22</f>
        <v>863.14929442500011</v>
      </c>
      <c r="E503" s="145"/>
      <c r="F503" s="145">
        <f>+E503/1.08*0.08</f>
        <v>0</v>
      </c>
      <c r="G503" s="144">
        <f>+Tabla555727951527473113411318323331367368369289290[[#This Row],[VENTA]]-Tabla555727951527473113411318323331367368369289290[[#This Row],[ICO 8%]]</f>
        <v>0</v>
      </c>
      <c r="H503" s="146" t="e">
        <f>+Tabla555727951527473113411318323331367368369289290[[#This Row],[COSTO]]/Tabla555727951527473113411318323331367368369289290[[#This Row],[BASE]]</f>
        <v>#DIV/0!</v>
      </c>
      <c r="I503" s="147">
        <f>+Tabla555727951527473113411318323331367368369289290[[#This Row],[BASE]]/Tabla555727951527473113411318323331367368369289290[[#This Row],[COSTO]]</f>
        <v>0</v>
      </c>
      <c r="J503" s="148" t="e">
        <f>+VLOOKUP(Tabla555727951527473113411318323331367368369289290[[#This Row],[AROMATICAS]],#REF!,2,0)</f>
        <v>#REF!</v>
      </c>
      <c r="K503" s="149">
        <f>+D503/(100-75)*100</f>
        <v>3452.5971777000004</v>
      </c>
      <c r="L503" s="144">
        <f>+K503/1.08*0.08</f>
        <v>255.7479390888889</v>
      </c>
      <c r="M503" s="150">
        <f>+Tabla555727951527473113411318323331367368369289290[[#This Row],[PRECIO SUGERIDO]]+Tabla555727951527473113411318323331367368369289290[[#This Row],[ICO2]]</f>
        <v>3708.3451167888893</v>
      </c>
      <c r="N503" s="195"/>
      <c r="O503" s="145">
        <f>+N503/1.08*0.08</f>
        <v>0</v>
      </c>
      <c r="P503" s="151">
        <f>+N503-O503</f>
        <v>0</v>
      </c>
      <c r="Q503" s="146" t="e">
        <f>+D503/P503</f>
        <v>#DIV/0!</v>
      </c>
      <c r="R503" s="196">
        <f>+P503/D503</f>
        <v>0</v>
      </c>
      <c r="S503" s="244">
        <v>13500</v>
      </c>
      <c r="T503" s="272">
        <f t="shared" si="235"/>
        <v>6.3936984772222233E-2</v>
      </c>
    </row>
    <row r="504" spans="1:20" ht="13.8" thickBot="1" x14ac:dyDescent="0.3">
      <c r="B504" s="171" t="str">
        <f>+AROMATICAS!B32</f>
        <v xml:space="preserve">AROMATICA MIEL Y JENGIBRE </v>
      </c>
      <c r="C504" s="171"/>
      <c r="D504" s="172">
        <f>+AROMATICAS!K35</f>
        <v>855.96672754999997</v>
      </c>
      <c r="E504" s="173"/>
      <c r="F504" s="173">
        <f>+E504/1.08*0.08</f>
        <v>0</v>
      </c>
      <c r="G504" s="172">
        <f>+Tabla555727951527473113411318323331367368369289290[[#This Row],[VENTA]]-Tabla555727951527473113411318323331367368369289290[[#This Row],[ICO 8%]]</f>
        <v>0</v>
      </c>
      <c r="H504" s="174" t="e">
        <f>+Tabla555727951527473113411318323331367368369289290[[#This Row],[COSTO]]/Tabla555727951527473113411318323331367368369289290[[#This Row],[BASE]]</f>
        <v>#DIV/0!</v>
      </c>
      <c r="I504" s="175">
        <f>+Tabla555727951527473113411318323331367368369289290[[#This Row],[BASE]]/Tabla555727951527473113411318323331367368369289290[[#This Row],[COSTO]]</f>
        <v>0</v>
      </c>
      <c r="J504" s="113" t="e">
        <f>+VLOOKUP(Tabla555727951527473113411318323331367368369289290[[#This Row],[AROMATICAS]],#REF!,2,0)</f>
        <v>#REF!</v>
      </c>
      <c r="K504" s="176">
        <f>+D504/(100-75)*100</f>
        <v>3423.8669101999994</v>
      </c>
      <c r="L504" s="172">
        <f>+K504/1.08*0.08</f>
        <v>253.61977112592587</v>
      </c>
      <c r="M504" s="177">
        <f>+Tabla555727951527473113411318323331367368369289290[[#This Row],[PRECIO SUGERIDO]]+Tabla555727951527473113411318323331367368369289290[[#This Row],[ICO2]]</f>
        <v>3677.4866813259255</v>
      </c>
      <c r="N504" s="268"/>
      <c r="O504" s="173">
        <f>+N504/1.08*0.08</f>
        <v>0</v>
      </c>
      <c r="P504" s="179">
        <f>+N504-O504</f>
        <v>0</v>
      </c>
      <c r="Q504" s="250" t="e">
        <f>+D504/P504</f>
        <v>#DIV/0!</v>
      </c>
      <c r="R504" s="180">
        <f>+P504/D504</f>
        <v>0</v>
      </c>
      <c r="S504" s="244">
        <v>13500</v>
      </c>
      <c r="T504" s="272">
        <f t="shared" si="235"/>
        <v>6.3404942781481483E-2</v>
      </c>
    </row>
    <row r="505" spans="1:20" ht="13.8" thickBot="1" x14ac:dyDescent="0.3">
      <c r="B505" s="153" t="s">
        <v>35</v>
      </c>
      <c r="C505" s="181"/>
      <c r="D505" s="155"/>
      <c r="E505" s="156"/>
      <c r="F505" s="156"/>
      <c r="G505" s="155"/>
      <c r="H505" s="158" t="e">
        <f>SUBTOTAL(101,Tabla555727951527473113411318323331367368369289290[%])</f>
        <v>#DIV/0!</v>
      </c>
      <c r="I505" s="156"/>
      <c r="J505" s="156"/>
      <c r="K505" s="159"/>
      <c r="L505" s="155"/>
      <c r="M505" s="156"/>
      <c r="N505" s="160"/>
      <c r="O505" s="156"/>
      <c r="P505" s="155"/>
      <c r="Q505" s="161"/>
      <c r="R505" s="162">
        <f>SUBTOTAL(109,Tabla555727951527473113411318323331367368369289290[RATION])</f>
        <v>13.045647620783438</v>
      </c>
      <c r="S505" s="232"/>
      <c r="T505" s="275"/>
    </row>
  </sheetData>
  <mergeCells count="73">
    <mergeCell ref="B2:T2"/>
    <mergeCell ref="K472:M472"/>
    <mergeCell ref="K480:M480"/>
    <mergeCell ref="K490:M490"/>
    <mergeCell ref="K500:M500"/>
    <mergeCell ref="K375:M375"/>
    <mergeCell ref="K456:M456"/>
    <mergeCell ref="K390:M390"/>
    <mergeCell ref="K399:M399"/>
    <mergeCell ref="K418:M418"/>
    <mergeCell ref="K429:M429"/>
    <mergeCell ref="K435:M435"/>
    <mergeCell ref="K445:M445"/>
    <mergeCell ref="K322:M322"/>
    <mergeCell ref="K331:M331"/>
    <mergeCell ref="K344:M344"/>
    <mergeCell ref="K355:M355"/>
    <mergeCell ref="K364:M364"/>
    <mergeCell ref="K291:M291"/>
    <mergeCell ref="K75:M75"/>
    <mergeCell ref="K95:M95"/>
    <mergeCell ref="K109:M109"/>
    <mergeCell ref="K120:M120"/>
    <mergeCell ref="K129:M129"/>
    <mergeCell ref="N3:Q3"/>
    <mergeCell ref="K301:M301"/>
    <mergeCell ref="K44:M44"/>
    <mergeCell ref="K55:M55"/>
    <mergeCell ref="K63:M63"/>
    <mergeCell ref="K3:M3"/>
    <mergeCell ref="K26:M26"/>
    <mergeCell ref="K36:M36"/>
    <mergeCell ref="K152:M152"/>
    <mergeCell ref="K188:M188"/>
    <mergeCell ref="K217:M217"/>
    <mergeCell ref="K236:M236"/>
    <mergeCell ref="K250:M250"/>
    <mergeCell ref="K266:M266"/>
    <mergeCell ref="N26:Q26"/>
    <mergeCell ref="N36:Q36"/>
    <mergeCell ref="N44:Q44"/>
    <mergeCell ref="N55:Q55"/>
    <mergeCell ref="N63:Q63"/>
    <mergeCell ref="N75:Q75"/>
    <mergeCell ref="N95:Q95"/>
    <mergeCell ref="N109:Q109"/>
    <mergeCell ref="N120:Q120"/>
    <mergeCell ref="N129:Q129"/>
    <mergeCell ref="N152:Q152"/>
    <mergeCell ref="N188:Q188"/>
    <mergeCell ref="N217:Q217"/>
    <mergeCell ref="N236:Q236"/>
    <mergeCell ref="N250:Q250"/>
    <mergeCell ref="N266:Q266"/>
    <mergeCell ref="N291:Q291"/>
    <mergeCell ref="N301:Q301"/>
    <mergeCell ref="N322:Q322"/>
    <mergeCell ref="N331:Q331"/>
    <mergeCell ref="N344:Q344"/>
    <mergeCell ref="N355:Q355"/>
    <mergeCell ref="N364:Q364"/>
    <mergeCell ref="N375:Q375"/>
    <mergeCell ref="N390:Q390"/>
    <mergeCell ref="N399:Q399"/>
    <mergeCell ref="N418:Q418"/>
    <mergeCell ref="N429:Q429"/>
    <mergeCell ref="N435:Q435"/>
    <mergeCell ref="N490:Q490"/>
    <mergeCell ref="N500:Q500"/>
    <mergeCell ref="N445:Q445"/>
    <mergeCell ref="N456:Q456"/>
    <mergeCell ref="N472:Q472"/>
    <mergeCell ref="N480:Q480"/>
  </mergeCells>
  <phoneticPr fontId="16" type="noConversion"/>
  <conditionalFormatting sqref="H5:H21 H28:H32 Q28:Q32">
    <cfRule type="cellIs" dxfId="2780" priority="118" operator="lessThan">
      <formula>0.34</formula>
    </cfRule>
    <cfRule type="cellIs" dxfId="2779" priority="119" operator="greaterThan">
      <formula>0.35</formula>
    </cfRule>
  </conditionalFormatting>
  <conditionalFormatting sqref="H38:H40">
    <cfRule type="cellIs" dxfId="2778" priority="287" operator="lessThan">
      <formula>0.34</formula>
    </cfRule>
    <cfRule type="cellIs" dxfId="2777" priority="288" operator="greaterThan">
      <formula>0.35</formula>
    </cfRule>
  </conditionalFormatting>
  <conditionalFormatting sqref="H46:H50">
    <cfRule type="cellIs" dxfId="2776" priority="126" operator="greaterThan">
      <formula>0.35</formula>
    </cfRule>
    <cfRule type="cellIs" dxfId="2775" priority="285" operator="lessThan">
      <formula>0.34</formula>
    </cfRule>
  </conditionalFormatting>
  <conditionalFormatting sqref="H57:H58">
    <cfRule type="cellIs" dxfId="2774" priority="283" operator="lessThan">
      <formula>0.34</formula>
    </cfRule>
    <cfRule type="cellIs" dxfId="2773" priority="284" operator="greaterThan">
      <formula>0.35</formula>
    </cfRule>
  </conditionalFormatting>
  <conditionalFormatting sqref="H65:H70">
    <cfRule type="cellIs" dxfId="2772" priority="281" operator="lessThan">
      <formula>0.34</formula>
    </cfRule>
    <cfRule type="cellIs" dxfId="2771" priority="282" operator="greaterThan">
      <formula>0.35</formula>
    </cfRule>
  </conditionalFormatting>
  <conditionalFormatting sqref="H77:H90">
    <cfRule type="cellIs" dxfId="2770" priority="279" operator="lessThan">
      <formula>0.34</formula>
    </cfRule>
    <cfRule type="cellIs" dxfId="2769" priority="280" operator="greaterThan">
      <formula>0.35</formula>
    </cfRule>
  </conditionalFormatting>
  <conditionalFormatting sqref="H97:H104">
    <cfRule type="cellIs" dxfId="2768" priority="277" operator="lessThan">
      <formula>0.34</formula>
    </cfRule>
    <cfRule type="cellIs" dxfId="2767" priority="278" operator="greaterThan">
      <formula>0.35</formula>
    </cfRule>
  </conditionalFormatting>
  <conditionalFormatting sqref="H111:H116">
    <cfRule type="cellIs" dxfId="2766" priority="106" operator="lessThan">
      <formula>0.34</formula>
    </cfRule>
    <cfRule type="cellIs" dxfId="2765" priority="107" operator="greaterThan">
      <formula>0.35</formula>
    </cfRule>
  </conditionalFormatting>
  <conditionalFormatting sqref="H122:H124">
    <cfRule type="cellIs" dxfId="2764" priority="225" operator="lessThan">
      <formula>0.34</formula>
    </cfRule>
    <cfRule type="cellIs" dxfId="2763" priority="226" operator="greaterThan">
      <formula>0.35</formula>
    </cfRule>
  </conditionalFormatting>
  <conditionalFormatting sqref="H131:H148">
    <cfRule type="cellIs" dxfId="2762" priority="102" operator="lessThan">
      <formula>0.34</formula>
    </cfRule>
    <cfRule type="cellIs" dxfId="2761" priority="103" operator="greaterThan">
      <formula>0.35</formula>
    </cfRule>
  </conditionalFormatting>
  <conditionalFormatting sqref="H154:H184 Q154:Q184">
    <cfRule type="cellIs" dxfId="2760" priority="98" operator="lessThan">
      <formula>0.34</formula>
    </cfRule>
    <cfRule type="cellIs" dxfId="2759" priority="99" operator="greaterThan">
      <formula>0.35</formula>
    </cfRule>
  </conditionalFormatting>
  <conditionalFormatting sqref="H190:H214 Q190:Q214 H219:H233 Q219:Q233 H238:H247 Q238:Q247 H252:H262 Q252:Q262 H268:H287 Q268:Q287 H303:H318 Q303:Q318 H333:H340 Q333:Q340 H377:H386 Q377:Q386 H392:H394 Q392:Q394 H401:H409 Q401:Q409 H420:H425 Q420:Q425 H437:H441 Q437:Q441">
    <cfRule type="cellIs" dxfId="2758" priority="267" operator="lessThan">
      <formula>0.25</formula>
    </cfRule>
    <cfRule type="cellIs" dxfId="2757" priority="268" operator="greaterThan">
      <formula>0.22</formula>
    </cfRule>
  </conditionalFormatting>
  <conditionalFormatting sqref="H293:H298">
    <cfRule type="cellIs" dxfId="2756" priority="259" operator="lessThan">
      <formula>0.25</formula>
    </cfRule>
    <cfRule type="cellIs" dxfId="2755" priority="260" operator="greaterThan">
      <formula>0.22</formula>
    </cfRule>
  </conditionalFormatting>
  <conditionalFormatting sqref="H324:H328">
    <cfRule type="cellIs" dxfId="2754" priority="255" operator="lessThan">
      <formula>0.25</formula>
    </cfRule>
    <cfRule type="cellIs" dxfId="2753" priority="256" operator="greaterThan">
      <formula>0.22</formula>
    </cfRule>
  </conditionalFormatting>
  <conditionalFormatting sqref="H346:H351">
    <cfRule type="cellIs" dxfId="2752" priority="251" operator="lessThan">
      <formula>0.25</formula>
    </cfRule>
    <cfRule type="cellIs" dxfId="2751" priority="252" operator="greaterThan">
      <formula>0.22</formula>
    </cfRule>
  </conditionalFormatting>
  <conditionalFormatting sqref="H357:H360">
    <cfRule type="cellIs" dxfId="2750" priority="249" operator="lessThan">
      <formula>0.25</formula>
    </cfRule>
    <cfRule type="cellIs" dxfId="2749" priority="250" operator="greaterThan">
      <formula>0.22</formula>
    </cfRule>
  </conditionalFormatting>
  <conditionalFormatting sqref="H366:H371">
    <cfRule type="cellIs" dxfId="2748" priority="247" operator="lessThan">
      <formula>0.25</formula>
    </cfRule>
    <cfRule type="cellIs" dxfId="2747" priority="248" operator="greaterThan">
      <formula>0.22</formula>
    </cfRule>
  </conditionalFormatting>
  <conditionalFormatting sqref="H431">
    <cfRule type="cellIs" dxfId="2746" priority="239" operator="lessThan">
      <formula>0.25</formula>
    </cfRule>
    <cfRule type="cellIs" dxfId="2745" priority="240" operator="greaterThan">
      <formula>0.22</formula>
    </cfRule>
  </conditionalFormatting>
  <conditionalFormatting sqref="H447:H451">
    <cfRule type="cellIs" dxfId="2744" priority="235" operator="lessThan">
      <formula>0.25</formula>
    </cfRule>
    <cfRule type="cellIs" dxfId="2743" priority="236" operator="greaterThan">
      <formula>0.22</formula>
    </cfRule>
  </conditionalFormatting>
  <conditionalFormatting sqref="H458:H466">
    <cfRule type="cellIs" dxfId="2742" priority="233" operator="lessThan">
      <formula>0.25</formula>
    </cfRule>
    <cfRule type="cellIs" dxfId="2741" priority="234" operator="greaterThan">
      <formula>0.22</formula>
    </cfRule>
  </conditionalFormatting>
  <conditionalFormatting sqref="H474:H477">
    <cfRule type="cellIs" dxfId="2740" priority="231" operator="lessThan">
      <formula>0.25</formula>
    </cfRule>
    <cfRule type="cellIs" dxfId="2739" priority="232" operator="greaterThan">
      <formula>0.22</formula>
    </cfRule>
  </conditionalFormatting>
  <conditionalFormatting sqref="H482:H486">
    <cfRule type="cellIs" dxfId="2738" priority="229" operator="lessThan">
      <formula>0.25</formula>
    </cfRule>
    <cfRule type="cellIs" dxfId="2737" priority="230" operator="greaterThan">
      <formula>0.22</formula>
    </cfRule>
  </conditionalFormatting>
  <conditionalFormatting sqref="H492:H495">
    <cfRule type="cellIs" dxfId="2736" priority="157" operator="lessThan">
      <formula>0.25</formula>
    </cfRule>
    <cfRule type="cellIs" dxfId="2735" priority="158" operator="greaterThan">
      <formula>0.22</formula>
    </cfRule>
  </conditionalFormatting>
  <conditionalFormatting sqref="H502:H504">
    <cfRule type="cellIs" dxfId="2734" priority="153" operator="lessThan">
      <formula>0.25</formula>
    </cfRule>
    <cfRule type="cellIs" dxfId="2733" priority="154" operator="greaterThan">
      <formula>0.22</formula>
    </cfRule>
  </conditionalFormatting>
  <conditionalFormatting sqref="Q5:Q21">
    <cfRule type="cellIs" dxfId="2732" priority="120" operator="lessThan">
      <formula>0.34</formula>
    </cfRule>
    <cfRule type="cellIs" dxfId="2731" priority="121" operator="greaterThan">
      <formula>0.35</formula>
    </cfRule>
  </conditionalFormatting>
  <conditionalFormatting sqref="Q38:Q40">
    <cfRule type="cellIs" dxfId="2730" priority="217" operator="lessThan">
      <formula>0.34</formula>
    </cfRule>
    <cfRule type="cellIs" dxfId="2729" priority="218" operator="greaterThan">
      <formula>0.35</formula>
    </cfRule>
  </conditionalFormatting>
  <conditionalFormatting sqref="Q46:Q50">
    <cfRule type="cellIs" dxfId="2728" priority="221" operator="lessThan">
      <formula>0.34</formula>
    </cfRule>
    <cfRule type="cellIs" dxfId="2727" priority="222" operator="greaterThan">
      <formula>0.35</formula>
    </cfRule>
  </conditionalFormatting>
  <conditionalFormatting sqref="Q57:Q58">
    <cfRule type="cellIs" dxfId="2726" priority="215" operator="lessThan">
      <formula>0.34</formula>
    </cfRule>
    <cfRule type="cellIs" dxfId="2725" priority="216" operator="greaterThan">
      <formula>0.35</formula>
    </cfRule>
  </conditionalFormatting>
  <conditionalFormatting sqref="Q65:Q70">
    <cfRule type="cellIs" dxfId="2724" priority="213" operator="lessThan">
      <formula>0.34</formula>
    </cfRule>
    <cfRule type="cellIs" dxfId="2723" priority="214" operator="greaterThan">
      <formula>0.35</formula>
    </cfRule>
  </conditionalFormatting>
  <conditionalFormatting sqref="Q77:Q90">
    <cfRule type="cellIs" dxfId="2722" priority="211" operator="lessThan">
      <formula>0.34</formula>
    </cfRule>
    <cfRule type="cellIs" dxfId="2721" priority="212" operator="greaterThan">
      <formula>0.35</formula>
    </cfRule>
  </conditionalFormatting>
  <conditionalFormatting sqref="Q97:Q104">
    <cfRule type="cellIs" dxfId="2720" priority="209" operator="lessThan">
      <formula>0.34</formula>
    </cfRule>
    <cfRule type="cellIs" dxfId="2719" priority="210" operator="greaterThan">
      <formula>0.35</formula>
    </cfRule>
  </conditionalFormatting>
  <conditionalFormatting sqref="Q111:Q116">
    <cfRule type="cellIs" dxfId="2718" priority="104" operator="lessThan">
      <formula>0.34</formula>
    </cfRule>
    <cfRule type="cellIs" dxfId="2717" priority="105" operator="greaterThan">
      <formula>0.35</formula>
    </cfRule>
  </conditionalFormatting>
  <conditionalFormatting sqref="Q122:Q124">
    <cfRule type="cellIs" dxfId="2716" priority="205" operator="lessThan">
      <formula>0.34</formula>
    </cfRule>
    <cfRule type="cellIs" dxfId="2715" priority="206" operator="greaterThan">
      <formula>0.35</formula>
    </cfRule>
  </conditionalFormatting>
  <conditionalFormatting sqref="Q131:Q148">
    <cfRule type="cellIs" dxfId="2714" priority="100" operator="lessThan">
      <formula>0.34</formula>
    </cfRule>
    <cfRule type="cellIs" dxfId="2713" priority="101" operator="greaterThan">
      <formula>0.35</formula>
    </cfRule>
  </conditionalFormatting>
  <conditionalFormatting sqref="Q293:Q298">
    <cfRule type="cellIs" dxfId="2712" priority="191" operator="lessThan">
      <formula>0.25</formula>
    </cfRule>
    <cfRule type="cellIs" dxfId="2711" priority="192" operator="greaterThan">
      <formula>0.22</formula>
    </cfRule>
  </conditionalFormatting>
  <conditionalFormatting sqref="Q324:Q328">
    <cfRule type="cellIs" dxfId="2710" priority="187" operator="lessThan">
      <formula>0.25</formula>
    </cfRule>
    <cfRule type="cellIs" dxfId="2709" priority="188" operator="greaterThan">
      <formula>0.22</formula>
    </cfRule>
  </conditionalFormatting>
  <conditionalFormatting sqref="Q346:Q351">
    <cfRule type="cellIs" dxfId="2708" priority="183" operator="lessThan">
      <formula>0.25</formula>
    </cfRule>
    <cfRule type="cellIs" dxfId="2707" priority="184" operator="greaterThan">
      <formula>0.22</formula>
    </cfRule>
  </conditionalFormatting>
  <conditionalFormatting sqref="Q357:Q360">
    <cfRule type="cellIs" dxfId="2706" priority="181" operator="lessThan">
      <formula>0.25</formula>
    </cfRule>
    <cfRule type="cellIs" dxfId="2705" priority="182" operator="greaterThan">
      <formula>0.22</formula>
    </cfRule>
  </conditionalFormatting>
  <conditionalFormatting sqref="Q366:Q371">
    <cfRule type="cellIs" dxfId="2704" priority="179" operator="lessThan">
      <formula>0.25</formula>
    </cfRule>
    <cfRule type="cellIs" dxfId="2703" priority="180" operator="greaterThan">
      <formula>0.22</formula>
    </cfRule>
  </conditionalFormatting>
  <conditionalFormatting sqref="Q431">
    <cfRule type="cellIs" dxfId="2702" priority="171" operator="lessThan">
      <formula>0.25</formula>
    </cfRule>
    <cfRule type="cellIs" dxfId="2701" priority="172" operator="greaterThan">
      <formula>0.22</formula>
    </cfRule>
  </conditionalFormatting>
  <conditionalFormatting sqref="Q447:Q451">
    <cfRule type="cellIs" dxfId="2700" priority="167" operator="lessThan">
      <formula>0.25</formula>
    </cfRule>
    <cfRule type="cellIs" dxfId="2699" priority="168" operator="greaterThan">
      <formula>0.22</formula>
    </cfRule>
  </conditionalFormatting>
  <conditionalFormatting sqref="Q458:Q466">
    <cfRule type="cellIs" dxfId="2698" priority="165" operator="lessThan">
      <formula>0.25</formula>
    </cfRule>
    <cfRule type="cellIs" dxfId="2697" priority="166" operator="greaterThan">
      <formula>0.22</formula>
    </cfRule>
  </conditionalFormatting>
  <conditionalFormatting sqref="Q474:Q477">
    <cfRule type="cellIs" dxfId="2696" priority="163" operator="lessThan">
      <formula>0.25</formula>
    </cfRule>
    <cfRule type="cellIs" dxfId="2695" priority="164" operator="greaterThan">
      <formula>0.22</formula>
    </cfRule>
  </conditionalFormatting>
  <conditionalFormatting sqref="Q482:Q486">
    <cfRule type="cellIs" dxfId="2694" priority="161" operator="lessThan">
      <formula>0.25</formula>
    </cfRule>
    <cfRule type="cellIs" dxfId="2693" priority="162" operator="greaterThan">
      <formula>0.22</formula>
    </cfRule>
  </conditionalFormatting>
  <conditionalFormatting sqref="Q492:Q495">
    <cfRule type="cellIs" dxfId="2692" priority="155" operator="lessThan">
      <formula>0.25</formula>
    </cfRule>
    <cfRule type="cellIs" dxfId="2691" priority="156" operator="greaterThan">
      <formula>0.22</formula>
    </cfRule>
  </conditionalFormatting>
  <conditionalFormatting sqref="Q502:Q504">
    <cfRule type="cellIs" dxfId="2690" priority="151" operator="lessThan">
      <formula>0.25</formula>
    </cfRule>
    <cfRule type="cellIs" dxfId="2689" priority="152" operator="greaterThan">
      <formula>0.22</formula>
    </cfRule>
  </conditionalFormatting>
  <conditionalFormatting sqref="T5:T18">
    <cfRule type="cellIs" dxfId="2688" priority="31" operator="greaterThan">
      <formula>0.32</formula>
    </cfRule>
    <cfRule type="cellIs" dxfId="2687" priority="52" operator="lessThan">
      <formula>0.34</formula>
    </cfRule>
    <cfRule type="cellIs" dxfId="2686" priority="53" operator="greaterThan">
      <formula>0.35</formula>
    </cfRule>
  </conditionalFormatting>
  <conditionalFormatting sqref="T28:T32">
    <cfRule type="cellIs" dxfId="2685" priority="28" operator="greaterThan">
      <formula>0.32</formula>
    </cfRule>
    <cfRule type="cellIs" dxfId="2684" priority="29" operator="lessThan">
      <formula>0.34</formula>
    </cfRule>
    <cfRule type="cellIs" dxfId="2683" priority="30" operator="greaterThan">
      <formula>0.35</formula>
    </cfRule>
  </conditionalFormatting>
  <conditionalFormatting sqref="T38:T40">
    <cfRule type="cellIs" dxfId="2682" priority="25" operator="greaterThan">
      <formula>0.32</formula>
    </cfRule>
    <cfRule type="cellIs" dxfId="2681" priority="26" operator="lessThan">
      <formula>0.34</formula>
    </cfRule>
    <cfRule type="cellIs" dxfId="2680" priority="27" operator="greaterThan">
      <formula>0.35</formula>
    </cfRule>
  </conditionalFormatting>
  <conditionalFormatting sqref="T46:T50">
    <cfRule type="cellIs" dxfId="2679" priority="22" operator="greaterThan">
      <formula>0.32</formula>
    </cfRule>
    <cfRule type="cellIs" dxfId="2678" priority="23" operator="lessThan">
      <formula>0.34</formula>
    </cfRule>
    <cfRule type="cellIs" dxfId="2677" priority="24" operator="greaterThan">
      <formula>0.35</formula>
    </cfRule>
  </conditionalFormatting>
  <conditionalFormatting sqref="T57:T58">
    <cfRule type="cellIs" dxfId="2676" priority="19" operator="greaterThan">
      <formula>0.32</formula>
    </cfRule>
    <cfRule type="cellIs" dxfId="2675" priority="20" operator="lessThan">
      <formula>0.34</formula>
    </cfRule>
    <cfRule type="cellIs" dxfId="2674" priority="21" operator="greaterThan">
      <formula>0.35</formula>
    </cfRule>
  </conditionalFormatting>
  <conditionalFormatting sqref="T65:T70">
    <cfRule type="cellIs" dxfId="2673" priority="16" operator="greaterThan">
      <formula>0.32</formula>
    </cfRule>
    <cfRule type="cellIs" dxfId="2672" priority="17" operator="lessThan">
      <formula>0.34</formula>
    </cfRule>
    <cfRule type="cellIs" dxfId="2671" priority="18" operator="greaterThan">
      <formula>0.35</formula>
    </cfRule>
  </conditionalFormatting>
  <conditionalFormatting sqref="T77:T90">
    <cfRule type="cellIs" dxfId="2670" priority="13" operator="greaterThan">
      <formula>0.32</formula>
    </cfRule>
    <cfRule type="cellIs" dxfId="2669" priority="14" operator="lessThan">
      <formula>0.34</formula>
    </cfRule>
    <cfRule type="cellIs" dxfId="2668" priority="15" operator="greaterThan">
      <formula>0.35</formula>
    </cfRule>
  </conditionalFormatting>
  <conditionalFormatting sqref="T97:T104">
    <cfRule type="cellIs" dxfId="2667" priority="10" operator="greaterThan">
      <formula>0.32</formula>
    </cfRule>
    <cfRule type="cellIs" dxfId="2666" priority="11" operator="lessThan">
      <formula>0.34</formula>
    </cfRule>
    <cfRule type="cellIs" dxfId="2665" priority="12" operator="greaterThan">
      <formula>0.35</formula>
    </cfRule>
  </conditionalFormatting>
  <conditionalFormatting sqref="T111:T117">
    <cfRule type="cellIs" dxfId="2664" priority="7" operator="greaterThan">
      <formula>0.32</formula>
    </cfRule>
    <cfRule type="cellIs" dxfId="2663" priority="8" operator="lessThan">
      <formula>0.34</formula>
    </cfRule>
    <cfRule type="cellIs" dxfId="2662" priority="9" operator="greaterThan">
      <formula>0.35</formula>
    </cfRule>
  </conditionalFormatting>
  <conditionalFormatting sqref="T122:T124">
    <cfRule type="cellIs" dxfId="2661" priority="4" operator="greaterThan">
      <formula>0.32</formula>
    </cfRule>
    <cfRule type="cellIs" dxfId="2660" priority="5" operator="lessThan">
      <formula>0.34</formula>
    </cfRule>
    <cfRule type="cellIs" dxfId="2659" priority="6" operator="greaterThan">
      <formula>0.35</formula>
    </cfRule>
  </conditionalFormatting>
  <conditionalFormatting sqref="T131:T136">
    <cfRule type="cellIs" dxfId="2658" priority="1" operator="greaterThan">
      <formula>0.32</formula>
    </cfRule>
  </conditionalFormatting>
  <conditionalFormatting sqref="T131:T148">
    <cfRule type="cellIs" dxfId="2657" priority="2" operator="lessThan">
      <formula>0.34</formula>
    </cfRule>
    <cfRule type="cellIs" dxfId="2656" priority="3" operator="greaterThan">
      <formula>0.35</formula>
    </cfRule>
  </conditionalFormatting>
  <conditionalFormatting sqref="T190:T214 T238:T247 T252:T262">
    <cfRule type="cellIs" dxfId="2655" priority="79" operator="greaterThan">
      <formula>0.35</formula>
    </cfRule>
  </conditionalFormatting>
  <conditionalFormatting sqref="T219:T233">
    <cfRule type="cellIs" dxfId="2654" priority="78" operator="greaterThan">
      <formula>0.35</formula>
    </cfRule>
  </conditionalFormatting>
  <conditionalFormatting sqref="T268:T287">
    <cfRule type="cellIs" dxfId="2653" priority="74" operator="greaterThan">
      <formula>0.35</formula>
    </cfRule>
  </conditionalFormatting>
  <conditionalFormatting sqref="T293:T298">
    <cfRule type="cellIs" dxfId="2652" priority="73" operator="greaterThan">
      <formula>0.35</formula>
    </cfRule>
  </conditionalFormatting>
  <conditionalFormatting sqref="T303:T318">
    <cfRule type="cellIs" dxfId="2651" priority="72" operator="greaterThan">
      <formula>0.35</formula>
    </cfRule>
  </conditionalFormatting>
  <conditionalFormatting sqref="T324:T328">
    <cfRule type="cellIs" dxfId="2650" priority="71" operator="greaterThan">
      <formula>0.35</formula>
    </cfRule>
  </conditionalFormatting>
  <conditionalFormatting sqref="T333:T340">
    <cfRule type="cellIs" dxfId="2649" priority="70" operator="greaterThan">
      <formula>0.35</formula>
    </cfRule>
  </conditionalFormatting>
  <conditionalFormatting sqref="T346:T351">
    <cfRule type="cellIs" dxfId="2648" priority="69" operator="greaterThan">
      <formula>0.35</formula>
    </cfRule>
  </conditionalFormatting>
  <conditionalFormatting sqref="T357:T360">
    <cfRule type="cellIs" dxfId="2647" priority="68" operator="greaterThan">
      <formula>0.35</formula>
    </cfRule>
  </conditionalFormatting>
  <conditionalFormatting sqref="T366:T371">
    <cfRule type="cellIs" dxfId="2646" priority="67" operator="greaterThan">
      <formula>0.35</formula>
    </cfRule>
  </conditionalFormatting>
  <conditionalFormatting sqref="T377:T386">
    <cfRule type="cellIs" dxfId="2645" priority="66" operator="greaterThan">
      <formula>0.35</formula>
    </cfRule>
  </conditionalFormatting>
  <conditionalFormatting sqref="T392:T394">
    <cfRule type="cellIs" dxfId="2644" priority="65" operator="greaterThan">
      <formula>0.35</formula>
    </cfRule>
  </conditionalFormatting>
  <conditionalFormatting sqref="T401:T409">
    <cfRule type="cellIs" dxfId="2643" priority="64" operator="greaterThan">
      <formula>0.35</formula>
    </cfRule>
  </conditionalFormatting>
  <conditionalFormatting sqref="T420:T425">
    <cfRule type="cellIs" dxfId="2642" priority="63" operator="greaterThan">
      <formula>0.35</formula>
    </cfRule>
  </conditionalFormatting>
  <conditionalFormatting sqref="T431">
    <cfRule type="cellIs" dxfId="2641" priority="62" operator="greaterThan">
      <formula>0.35</formula>
    </cfRule>
  </conditionalFormatting>
  <conditionalFormatting sqref="T437:T441">
    <cfRule type="cellIs" dxfId="2640" priority="61" operator="greaterThan">
      <formula>0.35</formula>
    </cfRule>
  </conditionalFormatting>
  <conditionalFormatting sqref="T447:T451">
    <cfRule type="cellIs" dxfId="2639" priority="60" operator="greaterThan">
      <formula>0.35</formula>
    </cfRule>
  </conditionalFormatting>
  <conditionalFormatting sqref="T458:T466">
    <cfRule type="cellIs" dxfId="2638" priority="59" operator="greaterThan">
      <formula>0.35</formula>
    </cfRule>
  </conditionalFormatting>
  <conditionalFormatting sqref="T474:T477">
    <cfRule type="cellIs" dxfId="2637" priority="58" operator="greaterThan">
      <formula>0.35</formula>
    </cfRule>
  </conditionalFormatting>
  <conditionalFormatting sqref="T482:T486">
    <cfRule type="cellIs" dxfId="2636" priority="57" operator="greaterThan">
      <formula>0.35</formula>
    </cfRule>
  </conditionalFormatting>
  <conditionalFormatting sqref="T492:T495">
    <cfRule type="cellIs" dxfId="2635" priority="55" operator="greaterThan">
      <formula>0.35</formula>
    </cfRule>
  </conditionalFormatting>
  <conditionalFormatting sqref="T502:T504">
    <cfRule type="cellIs" dxfId="2634" priority="54" operator="greaterThan">
      <formula>0.35</formula>
    </cfRule>
  </conditionalFormatting>
  <hyperlinks>
    <hyperlink ref="B130" location="POSTRES!A1" display="POSTRES" xr:uid="{CAC3833B-E708-4321-A79A-1E12C49ADD56}"/>
    <hyperlink ref="B4" location="ENTRADAS!A1" display="ENTRADAS" xr:uid="{4E95770D-F914-4609-92C0-C3DF66366B80}"/>
    <hyperlink ref="B153" location="BRUNCH!A1" display="BRUCH" xr:uid="{11A60F57-ADF7-4E2C-A0AA-992DE8F58DF6}"/>
    <hyperlink ref="B189" location="'COCTELES TRADICIONALES'!A1" display="COCTELES TRADICIONALES" xr:uid="{F20711C3-7FEF-4078-80C8-C94DBDACDE45}"/>
    <hyperlink ref="B218" location="'COCTELES MALANGA'!A1" display="COCTELES MALANGA" xr:uid="{7E7E988F-58A9-432A-B02F-33047A02C637}"/>
    <hyperlink ref="B237" location="SANGRIAS!A1" display="SANGRIAS" xr:uid="{91061E89-829B-4415-B185-972E49CCBEB6}"/>
    <hyperlink ref="B446" location="SODAS!A1" display="SODAS" xr:uid="{3B7488C2-203F-477F-9E59-D8119F7F1D8E}"/>
    <hyperlink ref="B27" location="'LOS ARREBATOS DEL CHEF'!A1" display="LOS ARREBATOS DEL CHEF" xr:uid="{AAF985C9-0B01-4FA2-8704-B299A7FFF987}"/>
    <hyperlink ref="B37" location="LANGOSTINOS!A1" display="LANGOSTINOS" xr:uid="{19300920-601B-47D3-8A65-D1753BC17623}"/>
    <hyperlink ref="B45" location="CEVICHES!A1" display="CEVICHES" xr:uid="{2160D3D0-C2A8-4F61-AAA5-E8D516654ED4}"/>
    <hyperlink ref="B56" location="ENSALADAS!A1" display="ENSALADAS" xr:uid="{ECE232E5-DB1B-44E5-8B94-325AFC9B48C0}"/>
    <hyperlink ref="B64" location="ARROCES!A1" display="ARROCES" xr:uid="{3A905528-61D5-4DD7-80DC-37002FCF5933}"/>
    <hyperlink ref="B76" location="'FUERTES MAR'!A1" display="FUERTES MAR" xr:uid="{F196EF57-5D79-449E-B39B-C7B705682BEF}"/>
    <hyperlink ref="B96" location="'FUERTES TIERRA'!A1" display="FUERTES TIERRA" xr:uid="{CF43AEC8-A285-44BA-9C1F-4EC676F542CA}"/>
    <hyperlink ref="B110" location="'FUERTES MAR Y TIERRA'!A1" display="FUERTES MAR Y TIERRA" xr:uid="{2DFC2F38-A749-446A-BD31-14359B3A1D34}"/>
    <hyperlink ref="B121" location="'MENU INFANTIL'!A1" display="MENU INFANTIL" xr:uid="{073E4501-4F48-4A12-8AFB-0656301EBDCA}"/>
    <hyperlink ref="B251" location="RON!A1" display="RON" xr:uid="{0E2AC8A1-C021-4B99-959A-9D1DCE382EEC}"/>
    <hyperlink ref="B267" location="TEQUILA!A1" display="TEQUILA" xr:uid="{DC616C0A-8B72-4229-856B-A82933C689DC}"/>
    <hyperlink ref="B292" location="VODKA!A1" display="VODKA" xr:uid="{4842EB87-F552-4264-80AC-A906FCE5FB92}"/>
    <hyperlink ref="B302" location="WISKHY!A1" display="WISKHY" xr:uid="{1F697E16-6845-4D95-9E9F-95F5D8BD9906}"/>
    <hyperlink ref="B323" location="MALTAS!A1" display="MALTAS" xr:uid="{54B4454A-F435-40C5-A699-19E7B904F4E1}"/>
    <hyperlink ref="B332" location="GINEBRA!A1" display="GINEBRA" xr:uid="{1F386759-3975-42F3-88F7-A55048522812}"/>
    <hyperlink ref="B345" location="AGUARDIENTE!A1" display="AGUARDIENTE" xr:uid="{B38CE4F8-5BAD-436B-BAE9-C1118C97DCF7}"/>
    <hyperlink ref="B356" location="MEZCAL!A1" display="MEZCAL" xr:uid="{36D082DD-3EDA-4460-B6CC-5AE8C5CCA0ED}"/>
    <hyperlink ref="B365" location="CERVEZAS!A1" display="CERVEZA " xr:uid="{9A89E702-E69B-479B-AECD-C48FF324ED9B}"/>
    <hyperlink ref="B376" location="'VINO TINTO'!A1" display="VINO TINTO" xr:uid="{A8C2A11F-314B-4F65-9A24-005FF67243A4}"/>
    <hyperlink ref="B457" location="BEBIDAS!A1" display="BEBIDAS" xr:uid="{0A6CF01E-434F-405F-9A60-9FB317EB7AE3}"/>
    <hyperlink ref="B391" location="'VINO ROSADO'!A1" display="VINO ROSADO" xr:uid="{A83CF48F-4933-440A-8F75-D2536FDA7A5D}"/>
    <hyperlink ref="B400" location="'VINO BLANCO'!A1" display="VINO BLANCO" xr:uid="{66A496D6-6274-4B66-8E2D-3D93BFEE1113}"/>
    <hyperlink ref="B419" location="'CHAMPAÑAS Y ESPUMOSOS'!A1" display="CHAPAÑAS Y ESPUMOSOSO" xr:uid="{AD597667-C4A4-46CB-A7C6-98A5C089A240}"/>
    <hyperlink ref="B430" location="REFAJO!A1" display="REFAJO" xr:uid="{58815601-45F4-4C76-9A8D-BC994049817B}"/>
    <hyperlink ref="B436" location="MEZCLADORES!A1" display="MEZCLADORES" xr:uid="{75FF4A39-1A6D-47DC-9830-D7764CB4B25B}"/>
    <hyperlink ref="B473" location="MOCKTAILS!A1" display="MOCKTAILS" xr:uid="{0E371E66-783D-4933-9090-36731C6309A4}"/>
    <hyperlink ref="B481" location="'JUGOS NATURALES'!A1" display="JUGOS" xr:uid="{FF5E9CC1-33D0-4D71-A863-AA9DC01B9A89}"/>
    <hyperlink ref="B491" location="CAFES!A1" display="CAFES" xr:uid="{11F993CE-4E85-49FA-94ED-82658506EBF4}"/>
    <hyperlink ref="B501" location="AROMATICAS!A1" display="AROMATICAS" xr:uid="{F800C1B8-7461-455B-9842-B0B85F4C71DB}"/>
  </hyperlinks>
  <pageMargins left="0.7" right="0.7" top="0.75" bottom="0.75" header="0.3" footer="0.3"/>
  <pageSetup orientation="portrait" horizontalDpi="360" verticalDpi="360" r:id="rId1"/>
  <legacyDrawing r:id="rId2"/>
  <tableParts count="36">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6C36-AFC5-434E-B4E6-DE5DB35AB176}">
  <dimension ref="B7:M977"/>
  <sheetViews>
    <sheetView showGridLines="0" tabSelected="1" topLeftCell="A372" zoomScale="91" zoomScaleNormal="91" workbookViewId="0">
      <selection activeCell="A372" sqref="A1:XFD1048576"/>
    </sheetView>
  </sheetViews>
  <sheetFormatPr baseColWidth="10" defaultRowHeight="13.2" x14ac:dyDescent="0.25"/>
  <cols>
    <col min="1" max="1" width="2.21875" style="40" customWidth="1"/>
    <col min="2" max="2" width="36.33203125" style="40" customWidth="1"/>
    <col min="3" max="3" width="19.44140625" style="40" bestFit="1" customWidth="1"/>
    <col min="4" max="4" width="20.21875" style="40" bestFit="1" customWidth="1"/>
    <col min="5" max="6" width="11.5546875" style="40"/>
    <col min="7" max="7" width="8.109375" style="40" customWidth="1"/>
    <col min="8" max="8" width="18.109375" style="40" customWidth="1"/>
    <col min="9" max="9" width="2.88671875" style="40" customWidth="1"/>
    <col min="10" max="10" width="27.21875" style="40" bestFit="1" customWidth="1"/>
    <col min="11" max="12" width="11.5546875" style="40"/>
    <col min="13" max="13" width="40.77734375" style="40" bestFit="1" customWidth="1"/>
    <col min="14" max="16384" width="11.5546875" style="40"/>
  </cols>
  <sheetData>
    <row r="7" spans="2:13" s="40" customFormat="1" x14ac:dyDescent="0.25">
      <c r="B7" s="1" t="s">
        <v>126</v>
      </c>
      <c r="C7" s="2"/>
      <c r="D7" s="2"/>
      <c r="E7" s="3"/>
      <c r="F7" s="3"/>
      <c r="G7" s="3"/>
      <c r="H7" s="3"/>
      <c r="J7" s="399" t="s">
        <v>0</v>
      </c>
      <c r="K7" s="399"/>
      <c r="M7" s="406" t="s">
        <v>1383</v>
      </c>
    </row>
    <row r="8" spans="2:13" s="40" customFormat="1" x14ac:dyDescent="0.25">
      <c r="B8" s="16" t="s">
        <v>857</v>
      </c>
      <c r="C8" s="17" t="s">
        <v>895</v>
      </c>
      <c r="D8" s="17" t="s">
        <v>892</v>
      </c>
      <c r="E8" s="17" t="s">
        <v>893</v>
      </c>
      <c r="F8" s="17" t="s">
        <v>894</v>
      </c>
      <c r="G8" s="76" t="s">
        <v>901</v>
      </c>
      <c r="H8" s="76" t="s">
        <v>902</v>
      </c>
      <c r="J8" s="8" t="s">
        <v>6</v>
      </c>
      <c r="K8" s="9">
        <f>SUM(Tabla1103453454455456479116117118120740126148156186[Coste LÃ­nea])</f>
        <v>7224.8993249699997</v>
      </c>
      <c r="M8" s="384"/>
    </row>
    <row r="9" spans="2:13" s="40" customFormat="1" x14ac:dyDescent="0.25">
      <c r="B9" s="10" t="s">
        <v>817</v>
      </c>
      <c r="C9" s="11" t="s">
        <v>67</v>
      </c>
      <c r="D9" s="12">
        <v>30</v>
      </c>
      <c r="E9" s="12">
        <v>0</v>
      </c>
      <c r="F9" s="12">
        <v>30</v>
      </c>
      <c r="G9" s="337">
        <f>+VLOOKUP(Tabla1103453454455456479116117118120740126148156186[[#This Row],[ArtÃ­culo]],Tabla34[#All],3,0)</f>
        <v>6</v>
      </c>
      <c r="H9" s="338">
        <f>+Tabla1103453454455456479116117118120740126148156186[[#This Row],[Coste Componente]]*Tabla1103453454455456479116117118120740126148156186[[#This Row],[Unidades]]</f>
        <v>180</v>
      </c>
      <c r="J9" s="8" t="s">
        <v>12</v>
      </c>
      <c r="K9" s="15">
        <f>+K8*5%</f>
        <v>361.24496624850002</v>
      </c>
      <c r="M9" s="384"/>
    </row>
    <row r="10" spans="2:13" s="40" customFormat="1" x14ac:dyDescent="0.25">
      <c r="B10" s="10" t="s">
        <v>1004</v>
      </c>
      <c r="C10" s="11" t="s">
        <v>67</v>
      </c>
      <c r="D10" s="12">
        <v>20</v>
      </c>
      <c r="E10" s="12">
        <v>0</v>
      </c>
      <c r="F10" s="12">
        <v>20</v>
      </c>
      <c r="G10" s="337">
        <f>+VLOOKUP(Tabla1103453454455456479116117118120740126148156186[[#This Row],[ArtÃ­culo]],Tabla34[#All],3,0)</f>
        <v>27.146000000000001</v>
      </c>
      <c r="H10" s="338">
        <f>+Tabla1103453454455456479116117118120740126148156186[[#This Row],[Coste Componente]]*Tabla1103453454455456479116117118120740126148156186[[#This Row],[Unidades]]</f>
        <v>542.92000000000007</v>
      </c>
      <c r="I10" s="4"/>
      <c r="J10" s="8" t="s">
        <v>13</v>
      </c>
      <c r="K10" s="15">
        <f>+K8+K9</f>
        <v>7586.1442912184993</v>
      </c>
      <c r="M10" s="384"/>
    </row>
    <row r="11" spans="2:13" s="40" customFormat="1" x14ac:dyDescent="0.25">
      <c r="B11" s="10" t="s">
        <v>695</v>
      </c>
      <c r="C11" s="11" t="s">
        <v>67</v>
      </c>
      <c r="D11" s="12">
        <v>20</v>
      </c>
      <c r="E11" s="12">
        <v>0</v>
      </c>
      <c r="F11" s="12">
        <v>20</v>
      </c>
      <c r="G11" s="337">
        <f>+VLOOKUP(Tabla1103453454455456479116117118120740126148156186[[#This Row],[ArtÃ­culo]],Tabla34[#All],3,0)</f>
        <v>5</v>
      </c>
      <c r="H11" s="338">
        <f>+Tabla1103453454455456479116117118120740126148156186[[#This Row],[Coste Componente]]*Tabla1103453454455456479116117118120740126148156186[[#This Row],[Unidades]]</f>
        <v>100</v>
      </c>
      <c r="I11" s="4"/>
      <c r="J11" s="20" t="s">
        <v>1313</v>
      </c>
      <c r="K11" s="328">
        <v>325</v>
      </c>
      <c r="M11" s="384"/>
    </row>
    <row r="12" spans="2:13" s="40" customFormat="1" x14ac:dyDescent="0.25">
      <c r="B12" s="10" t="s">
        <v>199</v>
      </c>
      <c r="C12" s="11" t="s">
        <v>67</v>
      </c>
      <c r="D12" s="12">
        <v>1</v>
      </c>
      <c r="E12" s="12">
        <v>0</v>
      </c>
      <c r="F12" s="12">
        <v>1</v>
      </c>
      <c r="G12" s="337">
        <f>+VLOOKUP(Tabla1103453454455456479116117118120740126148156186[[#This Row],[ArtÃ­culo]],Tabla34[#All],3,0)</f>
        <v>60.010800000000003</v>
      </c>
      <c r="H12" s="338">
        <f>+Tabla1103453454455456479116117118120740126148156186[[#This Row],[Coste Componente]]*Tabla1103453454455456479116117118120740126148156186[[#This Row],[Unidades]]</f>
        <v>60.010800000000003</v>
      </c>
      <c r="I12" s="4"/>
      <c r="J12" s="8" t="s">
        <v>15</v>
      </c>
      <c r="K12" s="15">
        <f>+K10/K11</f>
        <v>23.34198243451846</v>
      </c>
    </row>
    <row r="13" spans="2:13" s="40" customFormat="1" x14ac:dyDescent="0.25">
      <c r="B13" s="10" t="s">
        <v>818</v>
      </c>
      <c r="C13" s="11" t="s">
        <v>67</v>
      </c>
      <c r="D13" s="12">
        <v>5</v>
      </c>
      <c r="E13" s="12">
        <v>0</v>
      </c>
      <c r="F13" s="12">
        <v>5</v>
      </c>
      <c r="G13" s="337">
        <f>+VLOOKUP(Tabla1103453454455456479116117118120740126148156186[[#This Row],[ArtÃ­culo]],Tabla34[#All],3,0)</f>
        <v>8</v>
      </c>
      <c r="H13" s="338">
        <f>+Tabla1103453454455456479116117118120740126148156186[[#This Row],[Coste Componente]]*Tabla1103453454455456479116117118120740126148156186[[#This Row],[Unidades]]</f>
        <v>40</v>
      </c>
      <c r="M13" s="406" t="s">
        <v>1377</v>
      </c>
    </row>
    <row r="14" spans="2:13" s="40" customFormat="1" x14ac:dyDescent="0.25">
      <c r="B14" s="10" t="s">
        <v>1037</v>
      </c>
      <c r="C14" s="11" t="s">
        <v>67</v>
      </c>
      <c r="D14" s="12">
        <v>30</v>
      </c>
      <c r="E14" s="12">
        <v>0</v>
      </c>
      <c r="F14" s="12">
        <v>30</v>
      </c>
      <c r="G14" s="337">
        <f>+VLOOKUP(Tabla1103453454455456479116117118120740126148156186[[#This Row],[ArtÃ­culo]],Tabla34[#All],3,0)</f>
        <v>16</v>
      </c>
      <c r="H14" s="338">
        <f>+Tabla1103453454455456479116117118120740126148156186[[#This Row],[Coste Componente]]*Tabla1103453454455456479116117118120740126148156186[[#This Row],[Unidades]]</f>
        <v>480</v>
      </c>
      <c r="M14" s="384"/>
    </row>
    <row r="15" spans="2:13" s="40" customFormat="1" x14ac:dyDescent="0.25">
      <c r="B15" s="10" t="s">
        <v>619</v>
      </c>
      <c r="C15" s="11" t="s">
        <v>67</v>
      </c>
      <c r="D15" s="12">
        <v>170</v>
      </c>
      <c r="E15" s="12">
        <v>0</v>
      </c>
      <c r="F15" s="12">
        <v>170</v>
      </c>
      <c r="G15" s="337">
        <f>+VLOOKUP(Tabla1103453454455456479116117118120740126148156186[[#This Row],[ArtÃ­culo]],Tabla34[#All],3,0)</f>
        <v>26.27257651</v>
      </c>
      <c r="H15" s="338">
        <f>+Tabla1103453454455456479116117118120740126148156186[[#This Row],[Coste Componente]]*Tabla1103453454455456479116117118120740126148156186[[#This Row],[Unidades]]</f>
        <v>4466.3380066999998</v>
      </c>
      <c r="M15" s="384"/>
    </row>
    <row r="16" spans="2:13" s="40" customFormat="1" x14ac:dyDescent="0.25">
      <c r="B16" s="10" t="s">
        <v>828</v>
      </c>
      <c r="C16" s="11" t="s">
        <v>67</v>
      </c>
      <c r="D16" s="12">
        <v>15</v>
      </c>
      <c r="E16" s="12">
        <v>0</v>
      </c>
      <c r="F16" s="12">
        <v>15</v>
      </c>
      <c r="G16" s="337">
        <f>+VLOOKUP(Tabla1103453454455456479116117118120740126148156186[[#This Row],[ArtÃ­culo]],Tabla34[#All],3,0)</f>
        <v>9.8000000000000007</v>
      </c>
      <c r="H16" s="338">
        <f>+Tabla1103453454455456479116117118120740126148156186[[#This Row],[Coste Componente]]*Tabla1103453454455456479116117118120740126148156186[[#This Row],[Unidades]]</f>
        <v>147</v>
      </c>
      <c r="M16" s="384"/>
    </row>
    <row r="17" spans="2:13" s="40" customFormat="1" x14ac:dyDescent="0.25">
      <c r="B17" s="10" t="s">
        <v>730</v>
      </c>
      <c r="C17" s="11" t="s">
        <v>67</v>
      </c>
      <c r="D17" s="12">
        <v>5</v>
      </c>
      <c r="E17" s="12">
        <v>0</v>
      </c>
      <c r="F17" s="12">
        <v>5</v>
      </c>
      <c r="G17" s="337">
        <f>+VLOOKUP(Tabla1103453454455456479116117118120740126148156186[[#This Row],[ArtÃ­culo]],Tabla34[#All],3,0)</f>
        <v>12</v>
      </c>
      <c r="H17" s="338">
        <f>+Tabla1103453454455456479116117118120740126148156186[[#This Row],[Coste Componente]]*Tabla1103453454455456479116117118120740126148156186[[#This Row],[Unidades]]</f>
        <v>60</v>
      </c>
      <c r="M17" s="384"/>
    </row>
    <row r="18" spans="2:13" s="40" customFormat="1" x14ac:dyDescent="0.25">
      <c r="B18" s="10" t="s">
        <v>835</v>
      </c>
      <c r="C18" s="11" t="s">
        <v>67</v>
      </c>
      <c r="D18" s="12">
        <v>120</v>
      </c>
      <c r="E18" s="12">
        <v>0</v>
      </c>
      <c r="F18" s="12">
        <v>120</v>
      </c>
      <c r="G18" s="337">
        <f>+VLOOKUP(Tabla1103453454455456479116117118120740126148156186[[#This Row],[ArtÃ­culo]],Tabla34[#All],3,0)</f>
        <v>4.5</v>
      </c>
      <c r="H18" s="338">
        <f>+Tabla1103453454455456479116117118120740126148156186[[#This Row],[Coste Componente]]*Tabla1103453454455456479116117118120740126148156186[[#This Row],[Unidades]]</f>
        <v>540</v>
      </c>
    </row>
    <row r="19" spans="2:13" s="40" customFormat="1" x14ac:dyDescent="0.25">
      <c r="B19" s="10" t="s">
        <v>450</v>
      </c>
      <c r="C19" s="11" t="s">
        <v>67</v>
      </c>
      <c r="D19" s="12">
        <v>5</v>
      </c>
      <c r="E19" s="12">
        <v>0</v>
      </c>
      <c r="F19" s="12">
        <v>5</v>
      </c>
      <c r="G19" s="337">
        <f>+VLOOKUP(Tabla1103453454455456479116117118120740126148156186[[#This Row],[ArtÃ­culo]],Tabla34[#All],3,0)</f>
        <v>13.40129132</v>
      </c>
      <c r="H19" s="338">
        <f>+Tabla1103453454455456479116117118120740126148156186[[#This Row],[Coste Componente]]*Tabla1103453454455456479116117118120740126148156186[[#This Row],[Unidades]]</f>
        <v>67.006456600000007</v>
      </c>
    </row>
    <row r="20" spans="2:13" s="40" customFormat="1" x14ac:dyDescent="0.25">
      <c r="B20" s="10" t="s">
        <v>89</v>
      </c>
      <c r="C20" s="11" t="s">
        <v>67</v>
      </c>
      <c r="D20" s="12">
        <v>6</v>
      </c>
      <c r="E20" s="12">
        <v>0</v>
      </c>
      <c r="F20" s="12">
        <v>6</v>
      </c>
      <c r="G20" s="337">
        <f>+VLOOKUP(Tabla1103453454455456479116117118120740126148156186[[#This Row],[ArtÃ­culo]],Tabla34[#All],3,0)</f>
        <v>2.4009999999999998</v>
      </c>
      <c r="H20" s="338">
        <f>+Tabla1103453454455456479116117118120740126148156186[[#This Row],[Coste Componente]]*Tabla1103453454455456479116117118120740126148156186[[#This Row],[Unidades]]</f>
        <v>14.405999999999999</v>
      </c>
    </row>
    <row r="21" spans="2:13" s="40" customFormat="1" x14ac:dyDescent="0.25">
      <c r="B21" s="10" t="s">
        <v>840</v>
      </c>
      <c r="C21" s="11" t="s">
        <v>67</v>
      </c>
      <c r="D21" s="12">
        <v>1</v>
      </c>
      <c r="E21" s="12">
        <v>0</v>
      </c>
      <c r="F21" s="12">
        <v>1</v>
      </c>
      <c r="G21" s="337">
        <f>+VLOOKUP(Tabla1103453454455456479116117118120740126148156186[[#This Row],[ArtÃ­culo]],Tabla34[#All],3,0)</f>
        <v>57.218061669999997</v>
      </c>
      <c r="H21" s="338">
        <f>+Tabla1103453454455456479116117118120740126148156186[[#This Row],[Coste Componente]]*Tabla1103453454455456479116117118120740126148156186[[#This Row],[Unidades]]</f>
        <v>57.218061669999997</v>
      </c>
    </row>
    <row r="22" spans="2:13" s="40" customFormat="1" x14ac:dyDescent="0.25">
      <c r="B22" s="10" t="s">
        <v>187</v>
      </c>
      <c r="C22" s="11" t="s">
        <v>67</v>
      </c>
      <c r="D22" s="12">
        <v>100</v>
      </c>
      <c r="E22" s="12">
        <v>0</v>
      </c>
      <c r="F22" s="12">
        <v>100</v>
      </c>
      <c r="G22" s="337">
        <f>+VLOOKUP(Tabla1103453454455456479116117118120740126148156186[[#This Row],[ArtÃ­culo]],Tabla34[#All],3,0)</f>
        <v>4.7</v>
      </c>
      <c r="H22" s="338">
        <f>+Tabla1103453454455456479116117118120740126148156186[[#This Row],[Coste Componente]]*Tabla1103453454455456479116117118120740126148156186[[#This Row],[Unidades]]</f>
        <v>470</v>
      </c>
    </row>
    <row r="23" spans="2:13" s="40" customFormat="1" x14ac:dyDescent="0.25">
      <c r="B23" s="16"/>
      <c r="C23" s="17"/>
      <c r="D23" s="17"/>
      <c r="E23" s="17"/>
      <c r="F23" s="17"/>
      <c r="G23" s="18"/>
      <c r="H23" s="18">
        <f>SUBTOTAL(109,Tabla1103453454455456479116117118120740126148156186[Coste LÃ­nea])</f>
        <v>7224.8993249699997</v>
      </c>
    </row>
    <row r="26" spans="2:13" s="40" customFormat="1" x14ac:dyDescent="0.25">
      <c r="B26" s="1" t="s">
        <v>51</v>
      </c>
      <c r="C26" s="2"/>
      <c r="D26" s="2"/>
      <c r="E26" s="3"/>
      <c r="F26" s="3"/>
      <c r="G26" s="3"/>
      <c r="H26" s="3"/>
      <c r="J26" s="399" t="s">
        <v>0</v>
      </c>
      <c r="K26" s="399"/>
      <c r="M26" s="406" t="s">
        <v>1383</v>
      </c>
    </row>
    <row r="27" spans="2:13" s="40" customFormat="1" x14ac:dyDescent="0.25">
      <c r="B27" s="16" t="s">
        <v>857</v>
      </c>
      <c r="C27" s="17" t="s">
        <v>895</v>
      </c>
      <c r="D27" s="17" t="s">
        <v>892</v>
      </c>
      <c r="E27" s="17" t="s">
        <v>893</v>
      </c>
      <c r="F27" s="17" t="s">
        <v>894</v>
      </c>
      <c r="G27" s="76" t="s">
        <v>901</v>
      </c>
      <c r="H27" s="76" t="s">
        <v>902</v>
      </c>
      <c r="J27" s="8" t="s">
        <v>6</v>
      </c>
      <c r="K27" s="9">
        <f>SUM(Tabla1103453454455456479116117118120740126148156186184[Coste LÃ­nea])</f>
        <v>12627.899369999999</v>
      </c>
      <c r="M27" s="384"/>
    </row>
    <row r="28" spans="2:13" s="40" customFormat="1" x14ac:dyDescent="0.25">
      <c r="B28" s="10" t="s">
        <v>313</v>
      </c>
      <c r="C28" s="11" t="s">
        <v>67</v>
      </c>
      <c r="D28" s="12">
        <v>1000</v>
      </c>
      <c r="E28" s="12">
        <v>0</v>
      </c>
      <c r="F28" s="12">
        <v>1000</v>
      </c>
      <c r="G28" s="337">
        <f>+VLOOKUP(Tabla1103453454455456479116117118120740126148156186184[[#This Row],[ArtÃ­culo]],Tabla34[#All],3,0)</f>
        <v>7.6838499999999996</v>
      </c>
      <c r="H28" s="338">
        <f>+Tabla1103453454455456479116117118120740126148156186184[[#This Row],[Coste Componente]]*Tabla1103453454455456479116117118120740126148156186184[[#This Row],[Unidades]]</f>
        <v>7683.8499999999995</v>
      </c>
      <c r="J28" s="8" t="s">
        <v>12</v>
      </c>
      <c r="K28" s="15">
        <f>+K27*5%</f>
        <v>631.3949685</v>
      </c>
      <c r="M28" s="384"/>
    </row>
    <row r="29" spans="2:13" s="40" customFormat="1" x14ac:dyDescent="0.25">
      <c r="B29" s="10" t="s">
        <v>806</v>
      </c>
      <c r="C29" s="11" t="s">
        <v>67</v>
      </c>
      <c r="D29" s="12">
        <v>250</v>
      </c>
      <c r="E29" s="12">
        <v>0</v>
      </c>
      <c r="F29" s="12">
        <v>250</v>
      </c>
      <c r="G29" s="337">
        <f>+VLOOKUP(Tabla1103453454455456479116117118120740126148156186184[[#This Row],[ArtÃ­culo]],Tabla34[#All],3,0)</f>
        <v>19.77619748</v>
      </c>
      <c r="H29" s="338">
        <f>+Tabla1103453454455456479116117118120740126148156186184[[#This Row],[Coste Componente]]*Tabla1103453454455456479116117118120740126148156186184[[#This Row],[Unidades]]</f>
        <v>4944.0493699999997</v>
      </c>
      <c r="I29" s="4"/>
      <c r="J29" s="8" t="s">
        <v>13</v>
      </c>
      <c r="K29" s="15">
        <f>+K27+K28</f>
        <v>13259.2943385</v>
      </c>
      <c r="M29" s="384"/>
    </row>
    <row r="30" spans="2:13" s="40" customFormat="1" x14ac:dyDescent="0.25">
      <c r="B30" s="16"/>
      <c r="C30" s="17"/>
      <c r="D30" s="17"/>
      <c r="E30" s="17"/>
      <c r="F30" s="17"/>
      <c r="G30" s="18"/>
      <c r="H30" s="18">
        <f>SUBTOTAL(109,Tabla1103453454455456479116117118120740126148156186184[Coste LÃ­nea])</f>
        <v>12627.899369999999</v>
      </c>
      <c r="I30" s="4"/>
      <c r="J30" s="20" t="s">
        <v>1313</v>
      </c>
      <c r="K30" s="328">
        <v>1000</v>
      </c>
      <c r="M30" s="384"/>
    </row>
    <row r="31" spans="2:13" s="40" customFormat="1" x14ac:dyDescent="0.25">
      <c r="I31" s="4"/>
      <c r="J31" s="8" t="s">
        <v>15</v>
      </c>
      <c r="K31" s="15">
        <f>+K29/K30</f>
        <v>13.2592943385</v>
      </c>
    </row>
    <row r="32" spans="2:13" s="40" customFormat="1" x14ac:dyDescent="0.25">
      <c r="M32" s="406" t="s">
        <v>1377</v>
      </c>
    </row>
    <row r="33" spans="2:13" s="40" customFormat="1" x14ac:dyDescent="0.25">
      <c r="B33" s="1" t="s">
        <v>136</v>
      </c>
      <c r="C33" s="2"/>
      <c r="D33" s="2"/>
      <c r="E33" s="3"/>
      <c r="F33" s="3"/>
      <c r="G33" s="3"/>
      <c r="H33" s="3"/>
      <c r="J33" s="399" t="s">
        <v>0</v>
      </c>
      <c r="K33" s="399"/>
      <c r="M33" s="384"/>
    </row>
    <row r="34" spans="2:13" s="40" customFormat="1" x14ac:dyDescent="0.25">
      <c r="B34" s="16" t="s">
        <v>857</v>
      </c>
      <c r="C34" s="17" t="s">
        <v>895</v>
      </c>
      <c r="D34" s="17" t="s">
        <v>892</v>
      </c>
      <c r="E34" s="17" t="s">
        <v>893</v>
      </c>
      <c r="F34" s="17" t="s">
        <v>894</v>
      </c>
      <c r="G34" s="76" t="s">
        <v>901</v>
      </c>
      <c r="H34" s="76" t="s">
        <v>902</v>
      </c>
      <c r="J34" s="8" t="s">
        <v>6</v>
      </c>
      <c r="K34" s="9">
        <f>SUM(Tabla1103453454455456479116117118120740126148156186185[Coste LÃ­nea])</f>
        <v>172105.00868700002</v>
      </c>
      <c r="M34" s="384"/>
    </row>
    <row r="35" spans="2:13" s="40" customFormat="1" x14ac:dyDescent="0.25">
      <c r="B35" s="10" t="s">
        <v>619</v>
      </c>
      <c r="C35" s="11" t="s">
        <v>67</v>
      </c>
      <c r="D35" s="12">
        <v>2810</v>
      </c>
      <c r="E35" s="12">
        <v>0</v>
      </c>
      <c r="F35" s="12">
        <v>2810</v>
      </c>
      <c r="G35" s="337">
        <f>+VLOOKUP(Tabla1103453454455456479116117118120740126148156186185[[#This Row],[ArtÃ­culo]],Tabla34[#All],3,0)</f>
        <v>26.27257651</v>
      </c>
      <c r="H35" s="338">
        <f>+Tabla1103453454455456479116117118120740126148156186185[[#This Row],[Coste Componente]]*Tabla1103453454455456479116117118120740126148156186185[[#This Row],[Unidades]]</f>
        <v>73825.939993100008</v>
      </c>
      <c r="J35" s="8" t="s">
        <v>12</v>
      </c>
      <c r="K35" s="15">
        <f>+K34*5%</f>
        <v>8605.2504343500023</v>
      </c>
      <c r="M35" s="384"/>
    </row>
    <row r="36" spans="2:13" s="40" customFormat="1" x14ac:dyDescent="0.25">
      <c r="B36" s="10" t="s">
        <v>835</v>
      </c>
      <c r="C36" s="11" t="s">
        <v>67</v>
      </c>
      <c r="D36" s="12">
        <v>1840</v>
      </c>
      <c r="E36" s="12">
        <v>78</v>
      </c>
      <c r="F36" s="12">
        <v>8363.6370000000006</v>
      </c>
      <c r="G36" s="337">
        <f>+VLOOKUP(Tabla1103453454455456479116117118120740126148156186185[[#This Row],[ArtÃ­culo]],Tabla34[#All],3,0)</f>
        <v>4.5</v>
      </c>
      <c r="H36" s="338">
        <f>+Tabla1103453454455456479116117118120740126148156186185[[#This Row],[Coste Componente]]*Tabla1103453454455456479116117118120740126148156186185[[#This Row],[Unidades]]</f>
        <v>37636.366500000004</v>
      </c>
      <c r="J36" s="8" t="s">
        <v>13</v>
      </c>
      <c r="K36" s="15">
        <f>+K34+K35</f>
        <v>180710.25912135001</v>
      </c>
      <c r="M36" s="384"/>
    </row>
    <row r="37" spans="2:13" s="40" customFormat="1" x14ac:dyDescent="0.25">
      <c r="B37" s="10" t="s">
        <v>145</v>
      </c>
      <c r="C37" s="11" t="s">
        <v>67</v>
      </c>
      <c r="D37" s="12">
        <v>1440</v>
      </c>
      <c r="E37" s="12">
        <v>0</v>
      </c>
      <c r="F37" s="12">
        <v>1440</v>
      </c>
      <c r="G37" s="337">
        <f>+VLOOKUP(Tabla1103453454455456479116117118120740126148156186185[[#This Row],[ArtÃ­culo]],Tabla34[#All],3,0)</f>
        <v>40.425119780000003</v>
      </c>
      <c r="H37" s="338">
        <f>+Tabla1103453454455456479116117118120740126148156186185[[#This Row],[Coste Componente]]*Tabla1103453454455456479116117118120740126148156186185[[#This Row],[Unidades]]</f>
        <v>58212.172483200004</v>
      </c>
      <c r="J37" s="20" t="s">
        <v>1313</v>
      </c>
      <c r="K37" s="328">
        <v>6300</v>
      </c>
    </row>
    <row r="38" spans="2:13" s="40" customFormat="1" x14ac:dyDescent="0.25">
      <c r="B38" s="10" t="s">
        <v>37</v>
      </c>
      <c r="C38" s="11" t="s">
        <v>67</v>
      </c>
      <c r="D38" s="12">
        <v>70</v>
      </c>
      <c r="E38" s="12">
        <v>0</v>
      </c>
      <c r="F38" s="12">
        <v>70</v>
      </c>
      <c r="G38" s="337">
        <f>+VLOOKUP(Tabla1103453454455456479116117118120740126148156186185[[#This Row],[ArtÃ­culo]],Tabla34[#All],3,0)</f>
        <v>14.25783539</v>
      </c>
      <c r="H38" s="338">
        <f>+Tabla1103453454455456479116117118120740126148156186185[[#This Row],[Coste Componente]]*Tabla1103453454455456479116117118120740126148156186185[[#This Row],[Unidades]]</f>
        <v>998.04847730000006</v>
      </c>
      <c r="J38" s="8" t="s">
        <v>15</v>
      </c>
      <c r="K38" s="15">
        <f>+K36/K37</f>
        <v>28.6841681145</v>
      </c>
    </row>
    <row r="39" spans="2:13" s="40" customFormat="1" x14ac:dyDescent="0.25">
      <c r="B39" s="10" t="s">
        <v>89</v>
      </c>
      <c r="C39" s="11" t="s">
        <v>67</v>
      </c>
      <c r="D39" s="12">
        <v>120</v>
      </c>
      <c r="E39" s="12">
        <v>0</v>
      </c>
      <c r="F39" s="12">
        <v>120</v>
      </c>
      <c r="G39" s="337">
        <f>+VLOOKUP(Tabla1103453454455456479116117118120740126148156186185[[#This Row],[ArtÃ­culo]],Tabla34[#All],3,0)</f>
        <v>2.4009999999999998</v>
      </c>
      <c r="H39" s="338">
        <f>+Tabla1103453454455456479116117118120740126148156186185[[#This Row],[Coste Componente]]*Tabla1103453454455456479116117118120740126148156186185[[#This Row],[Unidades]]</f>
        <v>288.12</v>
      </c>
    </row>
    <row r="40" spans="2:13" s="40" customFormat="1" x14ac:dyDescent="0.25">
      <c r="B40" s="10" t="s">
        <v>840</v>
      </c>
      <c r="C40" s="11" t="s">
        <v>67</v>
      </c>
      <c r="D40" s="12">
        <v>20</v>
      </c>
      <c r="E40" s="12">
        <v>0</v>
      </c>
      <c r="F40" s="12">
        <v>20</v>
      </c>
      <c r="G40" s="337">
        <f>+VLOOKUP(Tabla1103453454455456479116117118120740126148156186185[[#This Row],[ArtÃ­culo]],Tabla34[#All],3,0)</f>
        <v>57.218061669999997</v>
      </c>
      <c r="H40" s="338">
        <f>+Tabla1103453454455456479116117118120740126148156186185[[#This Row],[Coste Componente]]*Tabla1103453454455456479116117118120740126148156186185[[#This Row],[Unidades]]</f>
        <v>1144.3612333999999</v>
      </c>
    </row>
    <row r="41" spans="2:13" s="40" customFormat="1" x14ac:dyDescent="0.25">
      <c r="B41" s="16"/>
      <c r="C41" s="17"/>
      <c r="D41" s="17"/>
      <c r="E41" s="17"/>
      <c r="F41" s="17"/>
      <c r="G41" s="18"/>
      <c r="H41" s="18">
        <f>SUBTOTAL(109,Tabla1103453454455456479116117118120740126148156186185[Coste LÃ­nea])</f>
        <v>172105.00868700002</v>
      </c>
      <c r="I41" s="4"/>
    </row>
    <row r="42" spans="2:13" s="40" customFormat="1" x14ac:dyDescent="0.25">
      <c r="I42" s="4"/>
    </row>
    <row r="43" spans="2:13" s="40" customFormat="1" x14ac:dyDescent="0.25">
      <c r="B43" s="1" t="s">
        <v>36</v>
      </c>
      <c r="C43" s="2"/>
      <c r="D43" s="2"/>
      <c r="E43" s="3"/>
      <c r="F43" s="3"/>
      <c r="G43" s="3"/>
      <c r="H43" s="3"/>
      <c r="J43" s="399" t="s">
        <v>0</v>
      </c>
      <c r="K43" s="399"/>
      <c r="M43" s="406" t="s">
        <v>1383</v>
      </c>
    </row>
    <row r="44" spans="2:13" s="40" customFormat="1" x14ac:dyDescent="0.25">
      <c r="B44" s="16" t="s">
        <v>857</v>
      </c>
      <c r="C44" s="17" t="s">
        <v>895</v>
      </c>
      <c r="D44" s="17" t="s">
        <v>892</v>
      </c>
      <c r="E44" s="17" t="s">
        <v>893</v>
      </c>
      <c r="F44" s="17" t="s">
        <v>894</v>
      </c>
      <c r="G44" s="76" t="s">
        <v>901</v>
      </c>
      <c r="H44" s="76" t="s">
        <v>902</v>
      </c>
      <c r="J44" s="8" t="s">
        <v>6</v>
      </c>
      <c r="K44" s="9">
        <f>SUM(Tabla1103453454455456479116117118120740126148156186227[Coste LÃ­nea])</f>
        <v>3798.1416340000005</v>
      </c>
      <c r="M44" s="384"/>
    </row>
    <row r="45" spans="2:13" s="40" customFormat="1" x14ac:dyDescent="0.25">
      <c r="B45" s="10" t="s">
        <v>687</v>
      </c>
      <c r="C45" s="11" t="s">
        <v>67</v>
      </c>
      <c r="D45" s="12">
        <v>185</v>
      </c>
      <c r="E45" s="12">
        <v>0</v>
      </c>
      <c r="F45" s="12">
        <v>185</v>
      </c>
      <c r="G45" s="337">
        <f>+VLOOKUP(Tabla1103453454455456479116117118120740126148156186227[[#This Row],[ArtÃ­culo]],Tabla34[#All],3,0)</f>
        <v>2.8</v>
      </c>
      <c r="H45" s="338">
        <f>+Tabla1103453454455456479116117118120740126148156186227[[#This Row],[Coste Componente]]*Tabla1103453454455456479116117118120740126148156186227[[#This Row],[Unidades]]</f>
        <v>518</v>
      </c>
      <c r="J45" s="8" t="s">
        <v>12</v>
      </c>
      <c r="K45" s="15">
        <f>+K44*5%</f>
        <v>189.90708170000005</v>
      </c>
      <c r="M45" s="384"/>
    </row>
    <row r="46" spans="2:13" s="40" customFormat="1" x14ac:dyDescent="0.25">
      <c r="B46" s="10" t="s">
        <v>828</v>
      </c>
      <c r="C46" s="11" t="s">
        <v>67</v>
      </c>
      <c r="D46" s="12">
        <v>65</v>
      </c>
      <c r="E46" s="12">
        <v>0</v>
      </c>
      <c r="F46" s="12">
        <v>65</v>
      </c>
      <c r="G46" s="337">
        <f>+VLOOKUP(Tabla1103453454455456479116117118120740126148156186227[[#This Row],[ArtÃ­culo]],Tabla34[#All],3,0)</f>
        <v>9.8000000000000007</v>
      </c>
      <c r="H46" s="338">
        <f>+Tabla1103453454455456479116117118120740126148156186227[[#This Row],[Coste Componente]]*Tabla1103453454455456479116117118120740126148156186227[[#This Row],[Unidades]]</f>
        <v>637</v>
      </c>
      <c r="J46" s="8" t="s">
        <v>13</v>
      </c>
      <c r="K46" s="15">
        <f>+K44+K45</f>
        <v>3988.0487157000007</v>
      </c>
      <c r="M46" s="384"/>
    </row>
    <row r="47" spans="2:13" s="40" customFormat="1" x14ac:dyDescent="0.25">
      <c r="B47" s="10" t="s">
        <v>1004</v>
      </c>
      <c r="C47" s="11" t="s">
        <v>67</v>
      </c>
      <c r="D47" s="12">
        <v>25</v>
      </c>
      <c r="E47" s="12">
        <v>0</v>
      </c>
      <c r="F47" s="12">
        <v>25</v>
      </c>
      <c r="G47" s="337">
        <f>+VLOOKUP(Tabla1103453454455456479116117118120740126148156186227[[#This Row],[ArtÃ­culo]],Tabla34[#All],3,0)</f>
        <v>27.146000000000001</v>
      </c>
      <c r="H47" s="338">
        <f>+Tabla1103453454455456479116117118120740126148156186227[[#This Row],[Coste Componente]]*Tabla1103453454455456479116117118120740126148156186227[[#This Row],[Unidades]]</f>
        <v>678.65</v>
      </c>
      <c r="J47" s="20" t="s">
        <v>1313</v>
      </c>
      <c r="K47" s="328">
        <v>2135</v>
      </c>
      <c r="M47" s="384"/>
    </row>
    <row r="48" spans="2:13" s="40" customFormat="1" x14ac:dyDescent="0.25">
      <c r="B48" s="10" t="s">
        <v>92</v>
      </c>
      <c r="C48" s="11" t="s">
        <v>67</v>
      </c>
      <c r="D48" s="12">
        <v>80</v>
      </c>
      <c r="E48" s="12">
        <v>0</v>
      </c>
      <c r="F48" s="12">
        <v>80</v>
      </c>
      <c r="G48" s="337">
        <f>+VLOOKUP(Tabla1103453454455456479116117118120740126148156186227[[#This Row],[ArtÃ­culo]],Tabla34[#All],3,0)</f>
        <v>18.859000000000002</v>
      </c>
      <c r="H48" s="338">
        <f>+Tabla1103453454455456479116117118120740126148156186227[[#This Row],[Coste Componente]]*Tabla1103453454455456479116117118120740126148156186227[[#This Row],[Unidades]]</f>
        <v>1508.7200000000003</v>
      </c>
      <c r="J48" s="8" t="s">
        <v>15</v>
      </c>
      <c r="K48" s="15">
        <f>+K46/K47</f>
        <v>1.8679385085245905</v>
      </c>
    </row>
    <row r="49" spans="2:13" s="40" customFormat="1" x14ac:dyDescent="0.25">
      <c r="B49" s="10" t="s">
        <v>89</v>
      </c>
      <c r="C49" s="11" t="s">
        <v>67</v>
      </c>
      <c r="D49" s="12">
        <v>20</v>
      </c>
      <c r="E49" s="12">
        <v>0</v>
      </c>
      <c r="F49" s="12">
        <v>20</v>
      </c>
      <c r="G49" s="337">
        <f>+VLOOKUP(Tabla1103453454455456479116117118120740126148156186227[[#This Row],[ArtÃ­culo]],Tabla34[#All],3,0)</f>
        <v>2.4009999999999998</v>
      </c>
      <c r="H49" s="338">
        <f>+Tabla1103453454455456479116117118120740126148156186227[[#This Row],[Coste Componente]]*Tabla1103453454455456479116117118120740126148156186227[[#This Row],[Unidades]]</f>
        <v>48.019999999999996</v>
      </c>
      <c r="M49" s="406" t="s">
        <v>1377</v>
      </c>
    </row>
    <row r="50" spans="2:13" s="40" customFormat="1" x14ac:dyDescent="0.25">
      <c r="B50" s="10" t="s">
        <v>91</v>
      </c>
      <c r="C50" s="11" t="s">
        <v>67</v>
      </c>
      <c r="D50" s="12">
        <v>40</v>
      </c>
      <c r="E50" s="12">
        <v>0</v>
      </c>
      <c r="F50" s="12">
        <v>40</v>
      </c>
      <c r="G50" s="337">
        <f>+VLOOKUP(Tabla1103453454455456479116117118120740126148156186227[[#This Row],[ArtÃ­culo]],Tabla34[#All],3,0)</f>
        <v>10.193790849999999</v>
      </c>
      <c r="H50" s="338">
        <f>+Tabla1103453454455456479116117118120740126148156186227[[#This Row],[Coste Componente]]*Tabla1103453454455456479116117118120740126148156186227[[#This Row],[Unidades]]</f>
        <v>407.75163399999997</v>
      </c>
      <c r="M50" s="384"/>
    </row>
    <row r="51" spans="2:13" s="40" customFormat="1" x14ac:dyDescent="0.25">
      <c r="B51" s="16"/>
      <c r="C51" s="17"/>
      <c r="D51" s="17"/>
      <c r="E51" s="17"/>
      <c r="F51" s="17"/>
      <c r="G51" s="18"/>
      <c r="H51" s="18">
        <f>SUBTOTAL(109,Tabla1103453454455456479116117118120740126148156186227[Coste LÃ­nea])</f>
        <v>3798.1416340000005</v>
      </c>
      <c r="I51" s="4"/>
      <c r="M51" s="384"/>
    </row>
    <row r="52" spans="2:13" s="40" customFormat="1" x14ac:dyDescent="0.25">
      <c r="I52" s="4"/>
      <c r="M52" s="384"/>
    </row>
    <row r="53" spans="2:13" s="40" customFormat="1" x14ac:dyDescent="0.25">
      <c r="B53" s="1" t="s">
        <v>55</v>
      </c>
      <c r="C53" s="2"/>
      <c r="D53" s="2"/>
      <c r="E53" s="3"/>
      <c r="F53" s="3"/>
      <c r="G53" s="3"/>
      <c r="H53" s="3"/>
      <c r="J53" s="399" t="s">
        <v>0</v>
      </c>
      <c r="K53" s="399"/>
      <c r="M53" s="406" t="s">
        <v>1383</v>
      </c>
    </row>
    <row r="54" spans="2:13" s="40" customFormat="1" x14ac:dyDescent="0.25">
      <c r="B54" s="16" t="s">
        <v>857</v>
      </c>
      <c r="C54" s="17" t="s">
        <v>895</v>
      </c>
      <c r="D54" s="17" t="s">
        <v>892</v>
      </c>
      <c r="E54" s="17" t="s">
        <v>893</v>
      </c>
      <c r="F54" s="17" t="s">
        <v>894</v>
      </c>
      <c r="G54" s="76" t="s">
        <v>901</v>
      </c>
      <c r="H54" s="76" t="s">
        <v>902</v>
      </c>
      <c r="J54" s="8" t="s">
        <v>6</v>
      </c>
      <c r="K54" s="9">
        <f>SUM(Tabla1103453454455456479116117118120740126148156186243[Coste LÃ­nea])</f>
        <v>4102.6547725199998</v>
      </c>
      <c r="M54" s="384"/>
    </row>
    <row r="55" spans="2:13" s="40" customFormat="1" x14ac:dyDescent="0.25">
      <c r="B55" s="10" t="s">
        <v>54</v>
      </c>
      <c r="C55" s="11" t="s">
        <v>67</v>
      </c>
      <c r="D55" s="12">
        <v>50</v>
      </c>
      <c r="E55" s="12">
        <v>0</v>
      </c>
      <c r="F55" s="12">
        <v>50</v>
      </c>
      <c r="G55" s="337">
        <f>+VLOOKUP(Tabla1103453454455456479116117118120740126148156186243[[#This Row],[ArtÃ­culo]],Tabla34[#All],3,0)</f>
        <v>1.50866101</v>
      </c>
      <c r="H55" s="338">
        <f>+Tabla1103453454455456479116117118120740126148156186243[[#This Row],[Coste Componente]]*Tabla1103453454455456479116117118120740126148156186243[[#This Row],[Unidades]]</f>
        <v>75.433050499999993</v>
      </c>
      <c r="J55" s="8" t="s">
        <v>12</v>
      </c>
      <c r="K55" s="15">
        <f>+K54*5%</f>
        <v>205.13273862599999</v>
      </c>
      <c r="M55" s="384"/>
    </row>
    <row r="56" spans="2:13" s="40" customFormat="1" x14ac:dyDescent="0.25">
      <c r="B56" s="10" t="s">
        <v>56</v>
      </c>
      <c r="C56" s="11" t="s">
        <v>67</v>
      </c>
      <c r="D56" s="12">
        <v>30</v>
      </c>
      <c r="E56" s="12">
        <v>30</v>
      </c>
      <c r="F56" s="12">
        <v>42.856999999999999</v>
      </c>
      <c r="G56" s="337">
        <f>+VLOOKUP(Tabla1103453454455456479116117118120740126148156186243[[#This Row],[ArtÃ­culo]],Tabla34[#All],3,0)</f>
        <v>3.5</v>
      </c>
      <c r="H56" s="338">
        <f>+Tabla1103453454455456479116117118120740126148156186243[[#This Row],[Coste Componente]]*Tabla1103453454455456479116117118120740126148156186243[[#This Row],[Unidades]]</f>
        <v>149.99950000000001</v>
      </c>
      <c r="J56" s="8" t="s">
        <v>13</v>
      </c>
      <c r="K56" s="15">
        <f>+K54+K55</f>
        <v>4307.7875111459998</v>
      </c>
    </row>
    <row r="57" spans="2:13" s="40" customFormat="1" x14ac:dyDescent="0.25">
      <c r="B57" s="10" t="s">
        <v>340</v>
      </c>
      <c r="C57" s="11" t="s">
        <v>847</v>
      </c>
      <c r="D57" s="12">
        <v>1</v>
      </c>
      <c r="E57" s="12">
        <v>0</v>
      </c>
      <c r="F57" s="12">
        <v>1</v>
      </c>
      <c r="G57" s="337">
        <f>+VLOOKUP(Tabla1103453454455456479116117118120740126148156186243[[#This Row],[ArtÃ­culo]],Tabla34[#All],3,0)</f>
        <v>3877.2222220200001</v>
      </c>
      <c r="H57" s="338">
        <f>+Tabla1103453454455456479116117118120740126148156186243[[#This Row],[Coste Componente]]*Tabla1103453454455456479116117118120740126148156186243[[#This Row],[Unidades]]</f>
        <v>3877.2222220200001</v>
      </c>
      <c r="J57" s="20" t="s">
        <v>1313</v>
      </c>
      <c r="K57" s="328">
        <v>1</v>
      </c>
      <c r="M57" s="406" t="s">
        <v>1377</v>
      </c>
    </row>
    <row r="58" spans="2:13" s="40" customFormat="1" x14ac:dyDescent="0.25">
      <c r="B58" s="16"/>
      <c r="C58" s="17"/>
      <c r="D58" s="17"/>
      <c r="E58" s="17"/>
      <c r="F58" s="17"/>
      <c r="G58" s="18"/>
      <c r="H58" s="18">
        <f>SUBTOTAL(109,Tabla1103453454455456479116117118120740126148156186243[Coste LÃ­nea])</f>
        <v>4102.6547725199998</v>
      </c>
      <c r="J58" s="8" t="s">
        <v>15</v>
      </c>
      <c r="K58" s="15">
        <f>+K56/K57</f>
        <v>4307.7875111459998</v>
      </c>
      <c r="M58" s="384"/>
    </row>
    <row r="59" spans="2:13" s="40" customFormat="1" x14ac:dyDescent="0.25">
      <c r="M59" s="384"/>
    </row>
    <row r="60" spans="2:13" s="40" customFormat="1" x14ac:dyDescent="0.25">
      <c r="M60" s="384"/>
    </row>
    <row r="61" spans="2:13" s="40" customFormat="1" x14ac:dyDescent="0.25">
      <c r="B61" s="1" t="s">
        <v>144</v>
      </c>
      <c r="C61" s="2"/>
      <c r="D61" s="2"/>
      <c r="E61" s="3"/>
      <c r="F61" s="3"/>
      <c r="G61" s="3"/>
      <c r="H61" s="3"/>
      <c r="J61" s="399" t="s">
        <v>0</v>
      </c>
      <c r="K61" s="399"/>
      <c r="M61" s="406" t="s">
        <v>1383</v>
      </c>
    </row>
    <row r="62" spans="2:13" s="40" customFormat="1" x14ac:dyDescent="0.25">
      <c r="B62" s="16" t="s">
        <v>857</v>
      </c>
      <c r="C62" s="17" t="s">
        <v>895</v>
      </c>
      <c r="D62" s="17" t="s">
        <v>892</v>
      </c>
      <c r="E62" s="17" t="s">
        <v>893</v>
      </c>
      <c r="F62" s="17" t="s">
        <v>894</v>
      </c>
      <c r="G62" s="76" t="s">
        <v>901</v>
      </c>
      <c r="H62" s="76" t="s">
        <v>902</v>
      </c>
      <c r="I62" s="4"/>
      <c r="J62" s="8" t="s">
        <v>6</v>
      </c>
      <c r="K62" s="9">
        <f>SUM(Tabla1103453454455456479116117118120740126148156186246[Coste LÃ­nea])</f>
        <v>252.71629999999999</v>
      </c>
      <c r="M62" s="384"/>
    </row>
    <row r="63" spans="2:13" s="40" customFormat="1" x14ac:dyDescent="0.25">
      <c r="B63" s="10" t="s">
        <v>98</v>
      </c>
      <c r="C63" s="11" t="s">
        <v>67</v>
      </c>
      <c r="D63" s="12">
        <v>500</v>
      </c>
      <c r="E63" s="12">
        <v>0</v>
      </c>
      <c r="F63" s="12">
        <v>500</v>
      </c>
      <c r="G63" s="337">
        <f>+VLOOKUP(Tabla1103453454455456479116117118120740126148156186246[[#This Row],[ArtÃ­culo]],Tabla34[#All],3,0)</f>
        <v>0</v>
      </c>
      <c r="H63" s="338">
        <f>+Tabla1103453454455456479116117118120740126148156186246[[#This Row],[Coste Componente]]*Tabla1103453454455456479116117118120740126148156186246[[#This Row],[Unidades]]</f>
        <v>0</v>
      </c>
      <c r="I63" s="4"/>
      <c r="J63" s="8" t="s">
        <v>12</v>
      </c>
      <c r="K63" s="15">
        <f>+K62*5%</f>
        <v>12.635815000000001</v>
      </c>
      <c r="M63" s="384"/>
    </row>
    <row r="64" spans="2:13" s="40" customFormat="1" x14ac:dyDescent="0.25">
      <c r="B64" s="10" t="s">
        <v>38</v>
      </c>
      <c r="C64" s="11" t="s">
        <v>67</v>
      </c>
      <c r="D64" s="12">
        <v>900</v>
      </c>
      <c r="E64" s="12">
        <v>0</v>
      </c>
      <c r="F64" s="12">
        <v>900</v>
      </c>
      <c r="G64" s="337">
        <f>+VLOOKUP(Tabla1103453454455456479116117118120740126148156186246[[#This Row],[ArtÃ­culo]],Tabla34[#All],3,0)</f>
        <v>0</v>
      </c>
      <c r="H64" s="338">
        <f>+Tabla1103453454455456479116117118120740126148156186246[[#This Row],[Coste Componente]]*Tabla1103453454455456479116117118120740126148156186246[[#This Row],[Unidades]]</f>
        <v>0</v>
      </c>
      <c r="I64" s="4"/>
      <c r="J64" s="8" t="s">
        <v>13</v>
      </c>
      <c r="K64" s="15">
        <f>+K62+K63</f>
        <v>265.35211499999997</v>
      </c>
    </row>
    <row r="65" spans="2:13" s="40" customFormat="1" x14ac:dyDescent="0.25">
      <c r="B65" s="10" t="s">
        <v>687</v>
      </c>
      <c r="C65" s="11" t="s">
        <v>67</v>
      </c>
      <c r="D65" s="12">
        <v>50</v>
      </c>
      <c r="E65" s="12">
        <v>17</v>
      </c>
      <c r="F65" s="12">
        <v>60.241</v>
      </c>
      <c r="G65" s="337">
        <f>+VLOOKUP(Tabla1103453454455456479116117118120740126148156186246[[#This Row],[ArtÃ­culo]],Tabla34[#All],3,0)</f>
        <v>2.8</v>
      </c>
      <c r="H65" s="338">
        <f>+Tabla1103453454455456479116117118120740126148156186246[[#This Row],[Coste Componente]]*Tabla1103453454455456479116117118120740126148156186246[[#This Row],[Unidades]]</f>
        <v>168.67479999999998</v>
      </c>
      <c r="J65" s="20" t="s">
        <v>1313</v>
      </c>
      <c r="K65" s="328">
        <v>1100</v>
      </c>
      <c r="M65" s="406" t="s">
        <v>1377</v>
      </c>
    </row>
    <row r="66" spans="2:13" s="40" customFormat="1" x14ac:dyDescent="0.25">
      <c r="B66" s="10" t="s">
        <v>89</v>
      </c>
      <c r="C66" s="11" t="s">
        <v>67</v>
      </c>
      <c r="D66" s="12">
        <v>3</v>
      </c>
      <c r="E66" s="12">
        <v>0</v>
      </c>
      <c r="F66" s="12">
        <v>3</v>
      </c>
      <c r="G66" s="337">
        <f>+VLOOKUP(Tabla1103453454455456479116117118120740126148156186246[[#This Row],[ArtÃ­culo]],Tabla34[#All],3,0)</f>
        <v>2.4009999999999998</v>
      </c>
      <c r="H66" s="338">
        <f>+Tabla1103453454455456479116117118120740126148156186246[[#This Row],[Coste Componente]]*Tabla1103453454455456479116117118120740126148156186246[[#This Row],[Unidades]]</f>
        <v>7.2029999999999994</v>
      </c>
      <c r="J66" s="8" t="s">
        <v>15</v>
      </c>
      <c r="K66" s="15">
        <f>+K64/K65</f>
        <v>0.24122919545454544</v>
      </c>
      <c r="M66" s="384"/>
    </row>
    <row r="67" spans="2:13" s="40" customFormat="1" x14ac:dyDescent="0.25">
      <c r="B67" s="10" t="s">
        <v>313</v>
      </c>
      <c r="C67" s="11" t="s">
        <v>67</v>
      </c>
      <c r="D67" s="12">
        <v>10</v>
      </c>
      <c r="E67" s="12">
        <v>0</v>
      </c>
      <c r="F67" s="12">
        <v>10</v>
      </c>
      <c r="G67" s="337">
        <f>+VLOOKUP(Tabla1103453454455456479116117118120740126148156186246[[#This Row],[ArtÃ­culo]],Tabla34[#All],3,0)</f>
        <v>7.6838499999999996</v>
      </c>
      <c r="H67" s="338">
        <f>+Tabla1103453454455456479116117118120740126148156186246[[#This Row],[Coste Componente]]*Tabla1103453454455456479116117118120740126148156186246[[#This Row],[Unidades]]</f>
        <v>76.838499999999996</v>
      </c>
    </row>
    <row r="68" spans="2:13" s="40" customFormat="1" x14ac:dyDescent="0.25">
      <c r="B68" s="16"/>
      <c r="C68" s="17"/>
      <c r="D68" s="17"/>
      <c r="E68" s="17"/>
      <c r="F68" s="17"/>
      <c r="G68" s="18"/>
      <c r="H68" s="18">
        <f>SUBTOTAL(109,Tabla1103453454455456479116117118120740126148156186246[Coste LÃ­nea])</f>
        <v>252.71629999999999</v>
      </c>
    </row>
    <row r="71" spans="2:13" s="40" customFormat="1" x14ac:dyDescent="0.25">
      <c r="B71" s="1" t="s">
        <v>119</v>
      </c>
      <c r="C71" s="2"/>
      <c r="D71" s="2"/>
      <c r="E71" s="3"/>
      <c r="F71" s="3"/>
      <c r="G71" s="3"/>
      <c r="H71" s="3"/>
      <c r="J71" s="399" t="s">
        <v>0</v>
      </c>
      <c r="K71" s="399"/>
      <c r="M71" s="406" t="s">
        <v>1383</v>
      </c>
    </row>
    <row r="72" spans="2:13" s="40" customFormat="1" x14ac:dyDescent="0.25">
      <c r="B72" s="16" t="s">
        <v>857</v>
      </c>
      <c r="C72" s="17" t="s">
        <v>895</v>
      </c>
      <c r="D72" s="17" t="s">
        <v>892</v>
      </c>
      <c r="E72" s="17" t="s">
        <v>893</v>
      </c>
      <c r="F72" s="17" t="s">
        <v>894</v>
      </c>
      <c r="G72" s="76" t="s">
        <v>901</v>
      </c>
      <c r="H72" s="76" t="s">
        <v>902</v>
      </c>
      <c r="I72" s="4"/>
      <c r="J72" s="8" t="s">
        <v>6</v>
      </c>
      <c r="K72" s="9">
        <f>SUM(Tabla1103453454455456479116117118120740126148156186249[Coste LÃ­nea])</f>
        <v>34171.105000000003</v>
      </c>
      <c r="M72" s="384"/>
    </row>
    <row r="73" spans="2:13" s="40" customFormat="1" x14ac:dyDescent="0.25">
      <c r="B73" s="10" t="s">
        <v>301</v>
      </c>
      <c r="C73" s="11" t="s">
        <v>67</v>
      </c>
      <c r="D73" s="12">
        <v>3000</v>
      </c>
      <c r="E73" s="12">
        <v>0</v>
      </c>
      <c r="F73" s="12">
        <v>3000</v>
      </c>
      <c r="G73" s="337">
        <f>+VLOOKUP(Tabla1103453454455456479116117118120740126148156186249[[#This Row],[ArtÃ­culo]],Tabla34[#All],3,0)</f>
        <v>10.616</v>
      </c>
      <c r="H73" s="338">
        <f>+Tabla1103453454455456479116117118120740126148156186249[[#This Row],[Coste Componente]]*Tabla1103453454455456479116117118120740126148156186249[[#This Row],[Unidades]]</f>
        <v>31848</v>
      </c>
      <c r="I73" s="4"/>
      <c r="J73" s="8" t="s">
        <v>12</v>
      </c>
      <c r="K73" s="15">
        <f>+K72*5%</f>
        <v>1708.5552500000003</v>
      </c>
      <c r="M73" s="384"/>
    </row>
    <row r="74" spans="2:13" s="40" customFormat="1" x14ac:dyDescent="0.25">
      <c r="B74" s="10" t="s">
        <v>89</v>
      </c>
      <c r="C74" s="11" t="s">
        <v>67</v>
      </c>
      <c r="D74" s="12">
        <v>25</v>
      </c>
      <c r="E74" s="12">
        <v>0</v>
      </c>
      <c r="F74" s="12">
        <v>25</v>
      </c>
      <c r="G74" s="337">
        <f>+VLOOKUP(Tabla1103453454455456479116117118120740126148156186249[[#This Row],[ArtÃ­culo]],Tabla34[#All],3,0)</f>
        <v>2.4009999999999998</v>
      </c>
      <c r="H74" s="338">
        <f>+Tabla1103453454455456479116117118120740126148156186249[[#This Row],[Coste Componente]]*Tabla1103453454455456479116117118120740126148156186249[[#This Row],[Unidades]]</f>
        <v>60.024999999999991</v>
      </c>
      <c r="I74" s="4"/>
      <c r="J74" s="8" t="s">
        <v>13</v>
      </c>
      <c r="K74" s="15">
        <f>+K72+K73</f>
        <v>35879.660250000001</v>
      </c>
    </row>
    <row r="75" spans="2:13" s="40" customFormat="1" x14ac:dyDescent="0.25">
      <c r="B75" s="10" t="s">
        <v>38</v>
      </c>
      <c r="C75" s="11" t="s">
        <v>67</v>
      </c>
      <c r="D75" s="12">
        <v>8000</v>
      </c>
      <c r="E75" s="12">
        <v>0</v>
      </c>
      <c r="F75" s="12">
        <v>8000</v>
      </c>
      <c r="G75" s="337">
        <f>+VLOOKUP(Tabla1103453454455456479116117118120740126148156186249[[#This Row],[ArtÃ­culo]],Tabla34[#All],3,0)</f>
        <v>0</v>
      </c>
      <c r="H75" s="338">
        <f>+Tabla1103453454455456479116117118120740126148156186249[[#This Row],[Coste Componente]]*Tabla1103453454455456479116117118120740126148156186249[[#This Row],[Unidades]]</f>
        <v>0</v>
      </c>
      <c r="J75" s="20" t="s">
        <v>1313</v>
      </c>
      <c r="K75" s="328">
        <v>9230</v>
      </c>
      <c r="M75" s="406" t="s">
        <v>1377</v>
      </c>
    </row>
    <row r="76" spans="2:13" s="40" customFormat="1" x14ac:dyDescent="0.25">
      <c r="B76" s="10" t="s">
        <v>92</v>
      </c>
      <c r="C76" s="11" t="s">
        <v>67</v>
      </c>
      <c r="D76" s="12">
        <v>120</v>
      </c>
      <c r="E76" s="12">
        <v>0</v>
      </c>
      <c r="F76" s="12">
        <v>120</v>
      </c>
      <c r="G76" s="337">
        <f>+VLOOKUP(Tabla1103453454455456479116117118120740126148156186249[[#This Row],[ArtÃ­culo]],Tabla34[#All],3,0)</f>
        <v>18.859000000000002</v>
      </c>
      <c r="H76" s="338">
        <f>+Tabla1103453454455456479116117118120740126148156186249[[#This Row],[Coste Componente]]*Tabla1103453454455456479116117118120740126148156186249[[#This Row],[Unidades]]</f>
        <v>2263.0800000000004</v>
      </c>
      <c r="J76" s="8" t="s">
        <v>15</v>
      </c>
      <c r="K76" s="15">
        <f>+K74/K75</f>
        <v>3.887287134344529</v>
      </c>
      <c r="M76" s="384"/>
    </row>
    <row r="77" spans="2:13" s="40" customFormat="1" x14ac:dyDescent="0.25">
      <c r="B77" s="16"/>
      <c r="C77" s="17"/>
      <c r="D77" s="17"/>
      <c r="E77" s="17"/>
      <c r="F77" s="17"/>
      <c r="G77" s="18"/>
      <c r="H77" s="18">
        <f>SUBTOTAL(109,Tabla1103453454455456479116117118120740126148156186249[Coste LÃ­nea])</f>
        <v>34171.105000000003</v>
      </c>
    </row>
    <row r="80" spans="2:13" s="40" customFormat="1" x14ac:dyDescent="0.25">
      <c r="B80" s="1" t="s">
        <v>1223</v>
      </c>
      <c r="C80" s="2"/>
      <c r="D80" s="2"/>
      <c r="E80" s="3"/>
      <c r="F80" s="3"/>
      <c r="G80" s="3"/>
      <c r="H80" s="3"/>
      <c r="J80" s="399" t="s">
        <v>0</v>
      </c>
      <c r="K80" s="399"/>
      <c r="M80" s="406" t="s">
        <v>1383</v>
      </c>
    </row>
    <row r="81" spans="2:13" s="40" customFormat="1" x14ac:dyDescent="0.25">
      <c r="B81" s="16" t="s">
        <v>857</v>
      </c>
      <c r="C81" s="17" t="s">
        <v>895</v>
      </c>
      <c r="D81" s="17" t="s">
        <v>892</v>
      </c>
      <c r="E81" s="17" t="s">
        <v>893</v>
      </c>
      <c r="F81" s="17" t="s">
        <v>894</v>
      </c>
      <c r="G81" s="76" t="s">
        <v>901</v>
      </c>
      <c r="H81" s="76" t="s">
        <v>902</v>
      </c>
      <c r="I81" s="4"/>
      <c r="J81" s="8" t="s">
        <v>6</v>
      </c>
      <c r="K81" s="9">
        <f>SUM(Tabla1103453454455456479116117118120740126148156186251[Coste LÃ­nea])</f>
        <v>12987.739503590001</v>
      </c>
      <c r="M81" s="384" t="s">
        <v>1774</v>
      </c>
    </row>
    <row r="82" spans="2:13" s="40" customFormat="1" x14ac:dyDescent="0.25">
      <c r="B82" s="10" t="s">
        <v>736</v>
      </c>
      <c r="C82" s="11" t="s">
        <v>67</v>
      </c>
      <c r="D82" s="12">
        <v>100</v>
      </c>
      <c r="E82" s="12">
        <v>30</v>
      </c>
      <c r="F82" s="12">
        <v>142.857</v>
      </c>
      <c r="G82" s="337">
        <f>+VLOOKUP(Tabla1103453454455456479116117118120740126148156186251[[#This Row],[ArtÃ­culo]],Tabla34[#All],3,0)</f>
        <v>2.2999999999999998</v>
      </c>
      <c r="H82" s="338">
        <f>+Tabla1103453454455456479116117118120740126148156186251[[#This Row],[Coste Componente]]*Tabla1103453454455456479116117118120740126148156186251[[#This Row],[Unidades]]</f>
        <v>328.5711</v>
      </c>
      <c r="I82" s="4"/>
      <c r="J82" s="8" t="s">
        <v>12</v>
      </c>
      <c r="K82" s="15">
        <f>+K81*5%</f>
        <v>649.38697517950004</v>
      </c>
      <c r="M82" s="384" t="s">
        <v>1775</v>
      </c>
    </row>
    <row r="83" spans="2:13" s="40" customFormat="1" x14ac:dyDescent="0.25">
      <c r="B83" s="10" t="s">
        <v>824</v>
      </c>
      <c r="C83" s="11" t="s">
        <v>67</v>
      </c>
      <c r="D83" s="12">
        <v>10</v>
      </c>
      <c r="E83" s="12">
        <v>0</v>
      </c>
      <c r="F83" s="12">
        <v>10</v>
      </c>
      <c r="G83" s="337">
        <f>+VLOOKUP(Tabla1103453454455456479116117118120740126148156186251[[#This Row],[ArtÃ­culo]],Tabla34[#All],3,0)</f>
        <v>19</v>
      </c>
      <c r="H83" s="338">
        <f>+Tabla1103453454455456479116117118120740126148156186251[[#This Row],[Coste Componente]]*Tabla1103453454455456479116117118120740126148156186251[[#This Row],[Unidades]]</f>
        <v>190</v>
      </c>
      <c r="I83" s="4"/>
      <c r="J83" s="8" t="s">
        <v>13</v>
      </c>
      <c r="K83" s="15">
        <f>+K81+K82</f>
        <v>13637.1264787695</v>
      </c>
    </row>
    <row r="84" spans="2:13" s="40" customFormat="1" x14ac:dyDescent="0.25">
      <c r="B84" s="10" t="s">
        <v>730</v>
      </c>
      <c r="C84" s="11" t="s">
        <v>67</v>
      </c>
      <c r="D84" s="12">
        <v>7</v>
      </c>
      <c r="E84" s="12">
        <v>40</v>
      </c>
      <c r="F84" s="12">
        <v>11.667</v>
      </c>
      <c r="G84" s="337">
        <f>+VLOOKUP(Tabla1103453454455456479116117118120740126148156186251[[#This Row],[ArtÃ­culo]],Tabla34[#All],3,0)</f>
        <v>12</v>
      </c>
      <c r="H84" s="338">
        <f>+Tabla1103453454455456479116117118120740126148156186251[[#This Row],[Coste Componente]]*Tabla1103453454455456479116117118120740126148156186251[[#This Row],[Unidades]]</f>
        <v>140.00399999999999</v>
      </c>
      <c r="J84" s="20" t="s">
        <v>1313</v>
      </c>
      <c r="K84" s="328">
        <v>630</v>
      </c>
      <c r="M84" s="406" t="s">
        <v>1377</v>
      </c>
    </row>
    <row r="85" spans="2:13" s="40" customFormat="1" x14ac:dyDescent="0.25">
      <c r="B85" s="10" t="s">
        <v>1014</v>
      </c>
      <c r="C85" s="11" t="s">
        <v>67</v>
      </c>
      <c r="D85" s="12">
        <v>50</v>
      </c>
      <c r="E85" s="12">
        <v>10</v>
      </c>
      <c r="F85" s="12">
        <v>55.555999999999997</v>
      </c>
      <c r="G85" s="337">
        <f>+VLOOKUP(Tabla1103453454455456479116117118120740126148156186251[[#This Row],[ArtÃ­culo]],Tabla34[#All],3,0)</f>
        <v>10.199999999999999</v>
      </c>
      <c r="H85" s="338">
        <f>+Tabla1103453454455456479116117118120740126148156186251[[#This Row],[Coste Componente]]*Tabla1103453454455456479116117118120740126148156186251[[#This Row],[Unidades]]</f>
        <v>566.67119999999989</v>
      </c>
      <c r="J85" s="8" t="s">
        <v>15</v>
      </c>
      <c r="K85" s="15">
        <f>+K83/K84</f>
        <v>21.646232505983335</v>
      </c>
      <c r="M85" s="384"/>
    </row>
    <row r="86" spans="2:13" s="40" customFormat="1" x14ac:dyDescent="0.25">
      <c r="B86" s="10" t="s">
        <v>620</v>
      </c>
      <c r="C86" s="11" t="s">
        <v>67</v>
      </c>
      <c r="D86" s="12">
        <v>150</v>
      </c>
      <c r="E86" s="12">
        <v>10</v>
      </c>
      <c r="F86" s="12">
        <v>166.667</v>
      </c>
      <c r="G86" s="337">
        <f>+VLOOKUP(Tabla1103453454455456479116117118120740126148156186251[[#This Row],[ArtÃ­culo]],Tabla34[#All],3,0)</f>
        <v>39</v>
      </c>
      <c r="H86" s="338">
        <f>+Tabla1103453454455456479116117118120740126148156186251[[#This Row],[Coste Componente]]*Tabla1103453454455456479116117118120740126148156186251[[#This Row],[Unidades]]</f>
        <v>6500.0129999999999</v>
      </c>
    </row>
    <row r="87" spans="2:13" s="40" customFormat="1" x14ac:dyDescent="0.25">
      <c r="B87" s="10" t="s">
        <v>835</v>
      </c>
      <c r="C87" s="11" t="s">
        <v>67</v>
      </c>
      <c r="D87" s="12">
        <v>150</v>
      </c>
      <c r="E87" s="12">
        <v>78</v>
      </c>
      <c r="F87" s="12">
        <v>681.81799999999998</v>
      </c>
      <c r="G87" s="337">
        <f>+VLOOKUP(Tabla1103453454455456479116117118120740126148156186251[[#This Row],[ArtÃ­culo]],Tabla34[#All],3,0)</f>
        <v>4.5</v>
      </c>
      <c r="H87" s="338">
        <f>+Tabla1103453454455456479116117118120740126148156186251[[#This Row],[Coste Componente]]*Tabla1103453454455456479116117118120740126148156186251[[#This Row],[Unidades]]</f>
        <v>3068.181</v>
      </c>
    </row>
    <row r="88" spans="2:13" s="40" customFormat="1" x14ac:dyDescent="0.25">
      <c r="B88" s="10" t="s">
        <v>828</v>
      </c>
      <c r="C88" s="11" t="s">
        <v>67</v>
      </c>
      <c r="D88" s="12">
        <v>15</v>
      </c>
      <c r="E88" s="12">
        <v>10</v>
      </c>
      <c r="F88" s="12">
        <v>16.667000000000002</v>
      </c>
      <c r="G88" s="337">
        <f>+VLOOKUP(Tabla1103453454455456479116117118120740126148156186251[[#This Row],[ArtÃ­culo]],Tabla34[#All],3,0)</f>
        <v>9.8000000000000007</v>
      </c>
      <c r="H88" s="338">
        <f>+Tabla1103453454455456479116117118120740126148156186251[[#This Row],[Coste Componente]]*Tabla1103453454455456479116117118120740126148156186251[[#This Row],[Unidades]]</f>
        <v>163.33660000000003</v>
      </c>
    </row>
    <row r="89" spans="2:13" s="40" customFormat="1" x14ac:dyDescent="0.25">
      <c r="B89" s="10" t="s">
        <v>183</v>
      </c>
      <c r="C89" s="11" t="s">
        <v>67</v>
      </c>
      <c r="D89" s="12">
        <v>500</v>
      </c>
      <c r="E89" s="12">
        <v>0</v>
      </c>
      <c r="F89" s="12">
        <v>500</v>
      </c>
      <c r="G89" s="337">
        <f>+VLOOKUP(Tabla1103453454455456479116117118120740126148156186251[[#This Row],[ArtÃ­culo]],Tabla34[#All],3,0)</f>
        <v>1</v>
      </c>
      <c r="H89" s="338">
        <f>+Tabla1103453454455456479116117118120740126148156186251[[#This Row],[Coste Componente]]*Tabla1103453454455456479116117118120740126148156186251[[#This Row],[Unidades]]</f>
        <v>500</v>
      </c>
    </row>
    <row r="90" spans="2:13" s="40" customFormat="1" x14ac:dyDescent="0.25">
      <c r="B90" s="10" t="s">
        <v>726</v>
      </c>
      <c r="C90" s="11" t="s">
        <v>67</v>
      </c>
      <c r="D90" s="12">
        <v>35</v>
      </c>
      <c r="E90" s="12">
        <v>40</v>
      </c>
      <c r="F90" s="12">
        <v>58.332999999999998</v>
      </c>
      <c r="G90" s="337">
        <f>+VLOOKUP(Tabla1103453454455456479116117118120740126148156186251[[#This Row],[ArtÃ­culo]],Tabla34[#All],3,0)</f>
        <v>18</v>
      </c>
      <c r="H90" s="338">
        <f>+Tabla1103453454455456479116117118120740126148156186251[[#This Row],[Coste Componente]]*Tabla1103453454455456479116117118120740126148156186251[[#This Row],[Unidades]]</f>
        <v>1049.9939999999999</v>
      </c>
    </row>
    <row r="91" spans="2:13" s="40" customFormat="1" x14ac:dyDescent="0.25">
      <c r="B91" s="10" t="s">
        <v>1229</v>
      </c>
      <c r="C91" s="11" t="s">
        <v>67</v>
      </c>
      <c r="D91" s="12">
        <v>175</v>
      </c>
      <c r="E91" s="12">
        <v>0</v>
      </c>
      <c r="F91" s="12">
        <v>175</v>
      </c>
      <c r="G91" s="337">
        <f>+VLOOKUP(Tabla1103453454455456479116117118120740126148156186251[[#This Row],[ArtÃ­culo]],Tabla34[#All],3,0)</f>
        <v>1.71968633</v>
      </c>
      <c r="H91" s="338">
        <f>+Tabla1103453454455456479116117118120740126148156186251[[#This Row],[Coste Componente]]*Tabla1103453454455456479116117118120740126148156186251[[#This Row],[Unidades]]</f>
        <v>300.94510775000003</v>
      </c>
    </row>
    <row r="92" spans="2:13" s="40" customFormat="1" x14ac:dyDescent="0.25">
      <c r="B92" s="10" t="s">
        <v>89</v>
      </c>
      <c r="C92" s="11" t="s">
        <v>67</v>
      </c>
      <c r="D92" s="12">
        <v>8</v>
      </c>
      <c r="E92" s="12">
        <v>0</v>
      </c>
      <c r="F92" s="12">
        <v>8</v>
      </c>
      <c r="G92" s="337">
        <f>+VLOOKUP(Tabla1103453454455456479116117118120740126148156186251[[#This Row],[ArtÃ­culo]],Tabla34[#All],3,0)</f>
        <v>2.4009999999999998</v>
      </c>
      <c r="H92" s="338">
        <f>+Tabla1103453454455456479116117118120740126148156186251[[#This Row],[Coste Componente]]*Tabla1103453454455456479116117118120740126148156186251[[#This Row],[Unidades]]</f>
        <v>19.207999999999998</v>
      </c>
    </row>
    <row r="93" spans="2:13" s="40" customFormat="1" x14ac:dyDescent="0.25">
      <c r="B93" s="10" t="s">
        <v>450</v>
      </c>
      <c r="C93" s="11" t="s">
        <v>67</v>
      </c>
      <c r="D93" s="12">
        <v>12</v>
      </c>
      <c r="E93" s="12">
        <v>0</v>
      </c>
      <c r="F93" s="12">
        <v>12</v>
      </c>
      <c r="G93" s="337">
        <f>+VLOOKUP(Tabla1103453454455456479116117118120740126148156186251[[#This Row],[ArtÃ­culo]],Tabla34[#All],3,0)</f>
        <v>13.40129132</v>
      </c>
      <c r="H93" s="338">
        <f>+Tabla1103453454455456479116117118120740126148156186251[[#This Row],[Coste Componente]]*Tabla1103453454455456479116117118120740126148156186251[[#This Row],[Unidades]]</f>
        <v>160.81549584000001</v>
      </c>
    </row>
    <row r="94" spans="2:13" s="40" customFormat="1" x14ac:dyDescent="0.25">
      <c r="B94" s="16"/>
      <c r="C94" s="17"/>
      <c r="D94" s="17"/>
      <c r="E94" s="17"/>
      <c r="F94" s="17"/>
      <c r="G94" s="18"/>
      <c r="H94" s="18">
        <f>SUBTOTAL(109,Tabla1103453454455456479116117118120740126148156186251[Coste LÃ­nea])</f>
        <v>12987.739503590001</v>
      </c>
    </row>
    <row r="97" spans="2:13" s="40" customFormat="1" x14ac:dyDescent="0.25">
      <c r="B97" s="1" t="s">
        <v>154</v>
      </c>
      <c r="C97" s="2"/>
      <c r="D97" s="2"/>
      <c r="E97" s="3"/>
      <c r="F97" s="3"/>
      <c r="G97" s="3"/>
      <c r="H97" s="3"/>
      <c r="J97" s="399" t="s">
        <v>0</v>
      </c>
      <c r="K97" s="399"/>
      <c r="M97" s="406" t="s">
        <v>1383</v>
      </c>
    </row>
    <row r="98" spans="2:13" s="40" customFormat="1" x14ac:dyDescent="0.25">
      <c r="B98" s="16" t="s">
        <v>857</v>
      </c>
      <c r="C98" s="17" t="s">
        <v>895</v>
      </c>
      <c r="D98" s="17" t="s">
        <v>892</v>
      </c>
      <c r="E98" s="17" t="s">
        <v>893</v>
      </c>
      <c r="F98" s="17" t="s">
        <v>894</v>
      </c>
      <c r="G98" s="76" t="s">
        <v>901</v>
      </c>
      <c r="H98" s="76" t="s">
        <v>902</v>
      </c>
      <c r="I98" s="4"/>
      <c r="J98" s="8" t="s">
        <v>6</v>
      </c>
      <c r="K98" s="9">
        <f>SUM(Tabla1103453454455456479116117118120740126148156186253[Coste LÃ­nea])</f>
        <v>87860.856112999987</v>
      </c>
      <c r="M98" s="384"/>
    </row>
    <row r="99" spans="2:13" s="40" customFormat="1" x14ac:dyDescent="0.25">
      <c r="B99" s="10" t="s">
        <v>90</v>
      </c>
      <c r="C99" s="11" t="s">
        <v>67</v>
      </c>
      <c r="D99" s="12">
        <v>3000</v>
      </c>
      <c r="E99" s="12">
        <v>0</v>
      </c>
      <c r="F99" s="12">
        <v>3000</v>
      </c>
      <c r="G99" s="337">
        <f>+VLOOKUP(Tabla1103453454455456479116117118120740126148156186253[[#This Row],[ArtÃ­culo]],Tabla34[#All],3,0)</f>
        <v>18.828045979999999</v>
      </c>
      <c r="H99" s="338">
        <f>+Tabla1103453454455456479116117118120740126148156186253[[#This Row],[Coste Componente]]*Tabla1103453454455456479116117118120740126148156186253[[#This Row],[Unidades]]</f>
        <v>56484.137939999993</v>
      </c>
      <c r="I99" s="4"/>
      <c r="J99" s="8" t="s">
        <v>12</v>
      </c>
      <c r="K99" s="15">
        <f>+K98*5%</f>
        <v>4393.0428056499995</v>
      </c>
      <c r="M99" s="384"/>
    </row>
    <row r="100" spans="2:13" s="40" customFormat="1" x14ac:dyDescent="0.25">
      <c r="B100" s="10" t="s">
        <v>178</v>
      </c>
      <c r="C100" s="11" t="s">
        <v>67</v>
      </c>
      <c r="D100" s="12">
        <v>500</v>
      </c>
      <c r="E100" s="12">
        <v>0</v>
      </c>
      <c r="F100" s="12">
        <v>500</v>
      </c>
      <c r="G100" s="337">
        <f>+VLOOKUP(Tabla1103453454455456479116117118120740126148156186253[[#This Row],[ArtÃ­culo]],Tabla34[#All],3,0)</f>
        <v>10.5</v>
      </c>
      <c r="H100" s="338">
        <f>+Tabla1103453454455456479116117118120740126148156186253[[#This Row],[Coste Componente]]*Tabla1103453454455456479116117118120740126148156186253[[#This Row],[Unidades]]</f>
        <v>5250</v>
      </c>
      <c r="I100" s="4"/>
      <c r="J100" s="8" t="s">
        <v>13</v>
      </c>
      <c r="K100" s="15">
        <f>+K98+K99</f>
        <v>92253.898918649982</v>
      </c>
    </row>
    <row r="101" spans="2:13" s="40" customFormat="1" x14ac:dyDescent="0.25">
      <c r="B101" s="10" t="s">
        <v>91</v>
      </c>
      <c r="C101" s="11" t="s">
        <v>67</v>
      </c>
      <c r="D101" s="12">
        <v>200</v>
      </c>
      <c r="E101" s="12">
        <v>0</v>
      </c>
      <c r="F101" s="12">
        <v>200</v>
      </c>
      <c r="G101" s="337">
        <f>+VLOOKUP(Tabla1103453454455456479116117118120740126148156186253[[#This Row],[ArtÃ­culo]],Tabla34[#All],3,0)</f>
        <v>10.193790849999999</v>
      </c>
      <c r="H101" s="338">
        <f>+Tabla1103453454455456479116117118120740126148156186253[[#This Row],[Coste Componente]]*Tabla1103453454455456479116117118120740126148156186253[[#This Row],[Unidades]]</f>
        <v>2038.7581699999998</v>
      </c>
      <c r="J101" s="20" t="s">
        <v>1313</v>
      </c>
      <c r="K101" s="328">
        <v>5286</v>
      </c>
      <c r="M101" s="406" t="s">
        <v>1377</v>
      </c>
    </row>
    <row r="102" spans="2:13" s="40" customFormat="1" x14ac:dyDescent="0.25">
      <c r="B102" s="10" t="s">
        <v>85</v>
      </c>
      <c r="C102" s="11" t="s">
        <v>67</v>
      </c>
      <c r="D102" s="12">
        <v>900</v>
      </c>
      <c r="E102" s="12">
        <v>0</v>
      </c>
      <c r="F102" s="12">
        <v>900</v>
      </c>
      <c r="G102" s="337">
        <f>+VLOOKUP(Tabla1103453454455456479116117118120740126148156186253[[#This Row],[ArtÃ­culo]],Tabla34[#All],3,0)</f>
        <v>4.8816666700000004</v>
      </c>
      <c r="H102" s="338">
        <f>+Tabla1103453454455456479116117118120740126148156186253[[#This Row],[Coste Componente]]*Tabla1103453454455456479116117118120740126148156186253[[#This Row],[Unidades]]</f>
        <v>4393.5000030000001</v>
      </c>
      <c r="J102" s="8" t="s">
        <v>15</v>
      </c>
      <c r="K102" s="15">
        <f>+K100/K101</f>
        <v>17.452496957746874</v>
      </c>
      <c r="M102" s="384"/>
    </row>
    <row r="103" spans="2:13" s="40" customFormat="1" x14ac:dyDescent="0.25">
      <c r="B103" s="10" t="s">
        <v>1368</v>
      </c>
      <c r="C103" s="11" t="s">
        <v>67</v>
      </c>
      <c r="D103" s="12">
        <v>1270</v>
      </c>
      <c r="E103" s="12">
        <v>0</v>
      </c>
      <c r="F103" s="12">
        <v>1270</v>
      </c>
      <c r="G103" s="337">
        <f>+VLOOKUP(Tabla1103453454455456479116117118120740126148156186253[[#This Row],[ArtÃ­culo]],Tabla34[#All],3,0)</f>
        <v>13.698</v>
      </c>
      <c r="H103" s="338">
        <f>+Tabla1103453454455456479116117118120740126148156186253[[#This Row],[Coste Componente]]*Tabla1103453454455456479116117118120740126148156186253[[#This Row],[Unidades]]</f>
        <v>17396.46</v>
      </c>
    </row>
    <row r="104" spans="2:13" s="40" customFormat="1" x14ac:dyDescent="0.25">
      <c r="B104" s="10" t="s">
        <v>705</v>
      </c>
      <c r="C104" s="11" t="s">
        <v>847</v>
      </c>
      <c r="D104" s="12">
        <v>1</v>
      </c>
      <c r="E104" s="12">
        <v>0</v>
      </c>
      <c r="F104" s="12">
        <v>1</v>
      </c>
      <c r="G104" s="337">
        <f>+VLOOKUP(Tabla1103453454455456479116117118120740126148156186253[[#This Row],[ArtÃ­culo]],Tabla34[#All],3,0)</f>
        <v>2298</v>
      </c>
      <c r="H104" s="338">
        <f>+Tabla1103453454455456479116117118120740126148156186253[[#This Row],[Coste Componente]]*Tabla1103453454455456479116117118120740126148156186253[[#This Row],[Unidades]]</f>
        <v>2298</v>
      </c>
    </row>
    <row r="105" spans="2:13" s="40" customFormat="1" x14ac:dyDescent="0.25">
      <c r="B105" s="16"/>
      <c r="C105" s="17"/>
      <c r="D105" s="17"/>
      <c r="E105" s="17"/>
      <c r="F105" s="17"/>
      <c r="G105" s="18"/>
      <c r="H105" s="18">
        <f>SUBTOTAL(109,Tabla1103453454455456479116117118120740126148156186253[Coste LÃ­nea])</f>
        <v>87860.856112999987</v>
      </c>
    </row>
    <row r="108" spans="2:13" s="40" customFormat="1" x14ac:dyDescent="0.25">
      <c r="B108" s="1" t="s">
        <v>131</v>
      </c>
      <c r="C108" s="2"/>
      <c r="D108" s="2"/>
      <c r="E108" s="3"/>
      <c r="F108" s="3"/>
      <c r="G108" s="3"/>
      <c r="H108" s="3"/>
      <c r="J108" s="399" t="s">
        <v>0</v>
      </c>
      <c r="K108" s="399"/>
      <c r="M108" s="406" t="s">
        <v>1383</v>
      </c>
    </row>
    <row r="109" spans="2:13" s="40" customFormat="1" x14ac:dyDescent="0.25">
      <c r="B109" s="16" t="s">
        <v>857</v>
      </c>
      <c r="C109" s="17" t="s">
        <v>895</v>
      </c>
      <c r="D109" s="17" t="s">
        <v>892</v>
      </c>
      <c r="E109" s="17" t="s">
        <v>893</v>
      </c>
      <c r="F109" s="17" t="s">
        <v>894</v>
      </c>
      <c r="G109" s="76" t="s">
        <v>901</v>
      </c>
      <c r="H109" s="76" t="s">
        <v>902</v>
      </c>
      <c r="I109" s="4"/>
      <c r="J109" s="8" t="s">
        <v>6</v>
      </c>
      <c r="K109" s="9">
        <f>SUM(Tabla1103453454455456479116117118120740126148156186254[Coste LÃ­nea])</f>
        <v>14546.251220234999</v>
      </c>
      <c r="M109" s="384"/>
    </row>
    <row r="110" spans="2:13" s="40" customFormat="1" x14ac:dyDescent="0.25">
      <c r="B110" s="10" t="s">
        <v>182</v>
      </c>
      <c r="C110" s="11" t="s">
        <v>67</v>
      </c>
      <c r="D110" s="12">
        <v>350</v>
      </c>
      <c r="E110" s="12">
        <v>0</v>
      </c>
      <c r="F110" s="12">
        <v>350</v>
      </c>
      <c r="G110" s="337">
        <f>+VLOOKUP(Tabla1103453454455456479116117118120740126148156186254[[#This Row],[ArtÃ­culo]],Tabla34[#All],3,0)</f>
        <v>11.78</v>
      </c>
      <c r="H110" s="338">
        <f>+Tabla1103453454455456479116117118120740126148156186254[[#This Row],[Coste Componente]]*Tabla1103453454455456479116117118120740126148156186254[[#This Row],[Unidades]]</f>
        <v>4123</v>
      </c>
      <c r="I110" s="4"/>
      <c r="J110" s="8" t="s">
        <v>12</v>
      </c>
      <c r="K110" s="15">
        <f>+K109*5%</f>
        <v>727.31256101174995</v>
      </c>
      <c r="M110" s="384"/>
    </row>
    <row r="111" spans="2:13" s="40" customFormat="1" x14ac:dyDescent="0.25">
      <c r="B111" s="10" t="s">
        <v>222</v>
      </c>
      <c r="C111" s="11" t="s">
        <v>67</v>
      </c>
      <c r="D111" s="12">
        <v>150</v>
      </c>
      <c r="E111" s="12">
        <v>0</v>
      </c>
      <c r="F111" s="12">
        <v>150</v>
      </c>
      <c r="G111" s="337">
        <f>+VLOOKUP(Tabla1103453454455456479116117118120740126148156186254[[#This Row],[ArtÃ­culo]],Tabla34[#All],3,0)</f>
        <v>10.749943330000001</v>
      </c>
      <c r="H111" s="338">
        <f>+Tabla1103453454455456479116117118120740126148156186254[[#This Row],[Coste Componente]]*Tabla1103453454455456479116117118120740126148156186254[[#This Row],[Unidades]]</f>
        <v>1612.4914995000001</v>
      </c>
      <c r="I111" s="4"/>
      <c r="J111" s="8" t="s">
        <v>13</v>
      </c>
      <c r="K111" s="15">
        <f>+K109+K110</f>
        <v>15273.563781246748</v>
      </c>
    </row>
    <row r="112" spans="2:13" s="40" customFormat="1" x14ac:dyDescent="0.25">
      <c r="B112" s="10" t="s">
        <v>212</v>
      </c>
      <c r="C112" s="11" t="s">
        <v>67</v>
      </c>
      <c r="D112" s="12">
        <v>100</v>
      </c>
      <c r="E112" s="12">
        <v>0</v>
      </c>
      <c r="F112" s="12">
        <v>100</v>
      </c>
      <c r="G112" s="337">
        <f>+VLOOKUP(Tabla1103453454455456479116117118120740126148156186254[[#This Row],[ArtÃ­culo]],Tabla34[#All],3,0)</f>
        <v>40.047916669999999</v>
      </c>
      <c r="H112" s="338">
        <f>+Tabla1103453454455456479116117118120740126148156186254[[#This Row],[Coste Componente]]*Tabla1103453454455456479116117118120740126148156186254[[#This Row],[Unidades]]</f>
        <v>4004.791667</v>
      </c>
      <c r="J112" s="20" t="s">
        <v>1313</v>
      </c>
      <c r="K112" s="328">
        <v>5286</v>
      </c>
      <c r="M112" s="406" t="s">
        <v>1377</v>
      </c>
    </row>
    <row r="113" spans="2:13" s="40" customFormat="1" x14ac:dyDescent="0.25">
      <c r="B113" s="10" t="s">
        <v>677</v>
      </c>
      <c r="C113" s="11" t="s">
        <v>67</v>
      </c>
      <c r="D113" s="12">
        <v>1000</v>
      </c>
      <c r="E113" s="12">
        <v>0</v>
      </c>
      <c r="F113" s="12">
        <v>1000</v>
      </c>
      <c r="G113" s="337">
        <f>+VLOOKUP(Tabla1103453454455456479116117118120740126148156186254[[#This Row],[ArtÃ­culo]],Tabla34[#All],3,0)</f>
        <v>2.5</v>
      </c>
      <c r="H113" s="338">
        <f>+Tabla1103453454455456479116117118120740126148156186254[[#This Row],[Coste Componente]]*Tabla1103453454455456479116117118120740126148156186254[[#This Row],[Unidades]]</f>
        <v>2500</v>
      </c>
      <c r="J113" s="8" t="s">
        <v>15</v>
      </c>
      <c r="K113" s="15">
        <f>+K111/K112</f>
        <v>2.889436962021708</v>
      </c>
      <c r="M113" s="384"/>
    </row>
    <row r="114" spans="2:13" s="40" customFormat="1" x14ac:dyDescent="0.25">
      <c r="B114" s="10" t="s">
        <v>644</v>
      </c>
      <c r="C114" s="11" t="s">
        <v>605</v>
      </c>
      <c r="D114" s="12">
        <v>0.5</v>
      </c>
      <c r="E114" s="12">
        <v>0</v>
      </c>
      <c r="F114" s="12">
        <v>0.5</v>
      </c>
      <c r="G114" s="337">
        <f>+VLOOKUP(Tabla1103453454455456479116117118120740126148156186254[[#This Row],[ArtÃ­culo]],Tabla34[#All],3,0)</f>
        <v>2082.9166666699998</v>
      </c>
      <c r="H114" s="338">
        <f>+Tabla1103453454455456479116117118120740126148156186254[[#This Row],[Coste Componente]]*Tabla1103453454455456479116117118120740126148156186254[[#This Row],[Unidades]]</f>
        <v>1041.4583333349999</v>
      </c>
    </row>
    <row r="115" spans="2:13" s="40" customFormat="1" x14ac:dyDescent="0.25">
      <c r="B115" s="10" t="s">
        <v>91</v>
      </c>
      <c r="C115" s="11" t="s">
        <v>67</v>
      </c>
      <c r="D115" s="12">
        <v>40</v>
      </c>
      <c r="E115" s="12">
        <v>0</v>
      </c>
      <c r="F115" s="12">
        <v>40</v>
      </c>
      <c r="G115" s="337">
        <f>+VLOOKUP(Tabla1103453454455456479116117118120740126148156186254[[#This Row],[ArtÃ­culo]],Tabla34[#All],3,0)</f>
        <v>10.193790849999999</v>
      </c>
      <c r="H115" s="338">
        <f>+Tabla1103453454455456479116117118120740126148156186254[[#This Row],[Coste Componente]]*Tabla1103453454455456479116117118120740126148156186254[[#This Row],[Unidades]]</f>
        <v>407.75163399999997</v>
      </c>
    </row>
    <row r="116" spans="2:13" s="40" customFormat="1" x14ac:dyDescent="0.25">
      <c r="B116" s="10" t="s">
        <v>89</v>
      </c>
      <c r="C116" s="11" t="s">
        <v>67</v>
      </c>
      <c r="D116" s="12">
        <v>5</v>
      </c>
      <c r="E116" s="12">
        <v>0</v>
      </c>
      <c r="F116" s="12">
        <v>5</v>
      </c>
      <c r="G116" s="337">
        <f>+VLOOKUP(Tabla1103453454455456479116117118120740126148156186254[[#This Row],[ArtÃ­culo]],Tabla34[#All],3,0)</f>
        <v>2.4009999999999998</v>
      </c>
      <c r="H116" s="338">
        <f>+Tabla1103453454455456479116117118120740126148156186254[[#This Row],[Coste Componente]]*Tabla1103453454455456479116117118120740126148156186254[[#This Row],[Unidades]]</f>
        <v>12.004999999999999</v>
      </c>
    </row>
    <row r="117" spans="2:13" s="40" customFormat="1" x14ac:dyDescent="0.25">
      <c r="B117" s="10" t="s">
        <v>174</v>
      </c>
      <c r="C117" s="11" t="s">
        <v>67</v>
      </c>
      <c r="D117" s="12">
        <v>10</v>
      </c>
      <c r="E117" s="12">
        <v>0</v>
      </c>
      <c r="F117" s="12">
        <v>10</v>
      </c>
      <c r="G117" s="337">
        <f>+VLOOKUP(Tabla1103453454455456479116117118120740126148156186254[[#This Row],[ArtÃ­culo]],Tabla34[#All],3,0)</f>
        <v>84.475308639999994</v>
      </c>
      <c r="H117" s="338">
        <f>+Tabla1103453454455456479116117118120740126148156186254[[#This Row],[Coste Componente]]*Tabla1103453454455456479116117118120740126148156186254[[#This Row],[Unidades]]</f>
        <v>844.75308639999992</v>
      </c>
    </row>
    <row r="118" spans="2:13" s="40" customFormat="1" x14ac:dyDescent="0.25">
      <c r="B118" s="16"/>
      <c r="C118" s="17"/>
      <c r="D118" s="17"/>
      <c r="E118" s="17"/>
      <c r="F118" s="17"/>
      <c r="G118" s="18"/>
      <c r="H118" s="18">
        <f>SUBTOTAL(109,Tabla1103453454455456479116117118120740126148156186254[Coste LÃ­nea])</f>
        <v>14546.251220234999</v>
      </c>
    </row>
    <row r="122" spans="2:13" s="40" customFormat="1" x14ac:dyDescent="0.25">
      <c r="B122" s="1" t="s">
        <v>822</v>
      </c>
      <c r="C122" s="2"/>
      <c r="D122" s="2"/>
      <c r="E122" s="3"/>
      <c r="F122" s="3"/>
      <c r="G122" s="3"/>
      <c r="H122" s="3"/>
      <c r="J122" s="399" t="s">
        <v>0</v>
      </c>
      <c r="K122" s="399"/>
      <c r="M122" s="406" t="s">
        <v>1383</v>
      </c>
    </row>
    <row r="123" spans="2:13" s="40" customFormat="1" x14ac:dyDescent="0.25">
      <c r="B123" s="16" t="s">
        <v>857</v>
      </c>
      <c r="C123" s="17" t="s">
        <v>895</v>
      </c>
      <c r="D123" s="17" t="s">
        <v>892</v>
      </c>
      <c r="E123" s="17" t="s">
        <v>893</v>
      </c>
      <c r="F123" s="17" t="s">
        <v>894</v>
      </c>
      <c r="G123" s="76" t="s">
        <v>901</v>
      </c>
      <c r="H123" s="76" t="s">
        <v>902</v>
      </c>
      <c r="I123" s="4"/>
      <c r="J123" s="8" t="s">
        <v>6</v>
      </c>
      <c r="K123" s="9">
        <f>SUM(Tabla1103453454455456479116117118120740126148156186254256[Coste LÃ­nea])</f>
        <v>12447.718001339999</v>
      </c>
      <c r="M123" s="384"/>
    </row>
    <row r="124" spans="2:13" s="40" customFormat="1" x14ac:dyDescent="0.25">
      <c r="B124" s="10" t="s">
        <v>312</v>
      </c>
      <c r="C124" s="11" t="s">
        <v>67</v>
      </c>
      <c r="D124" s="12">
        <v>390</v>
      </c>
      <c r="E124" s="12">
        <v>0</v>
      </c>
      <c r="F124" s="12">
        <v>390</v>
      </c>
      <c r="G124" s="337">
        <f>+VLOOKUP(Tabla1103453454455456479116117118120740126148156186254256[[#This Row],[ArtÃ­culo]],Tabla34[#All],3,0)</f>
        <v>4.2671999999999999</v>
      </c>
      <c r="H124" s="338">
        <f>+Tabla1103453454455456479116117118120740126148156186254256[[#This Row],[Coste Componente]]*Tabla1103453454455456479116117118120740126148156186254256[[#This Row],[Unidades]]</f>
        <v>1664.2079999999999</v>
      </c>
      <c r="I124" s="4"/>
      <c r="J124" s="8" t="s">
        <v>12</v>
      </c>
      <c r="K124" s="15">
        <f>+K123*5%</f>
        <v>622.38590006699997</v>
      </c>
      <c r="M124" s="384"/>
    </row>
    <row r="125" spans="2:13" s="40" customFormat="1" x14ac:dyDescent="0.25">
      <c r="B125" s="10" t="s">
        <v>85</v>
      </c>
      <c r="C125" s="11" t="s">
        <v>67</v>
      </c>
      <c r="D125" s="12">
        <v>390</v>
      </c>
      <c r="E125" s="12">
        <v>0</v>
      </c>
      <c r="F125" s="12">
        <v>390</v>
      </c>
      <c r="G125" s="337">
        <f>+VLOOKUP(Tabla1103453454455456479116117118120740126148156186254256[[#This Row],[ArtÃ­culo]],Tabla34[#All],3,0)</f>
        <v>4.8816666700000004</v>
      </c>
      <c r="H125" s="338">
        <f>+Tabla1103453454455456479116117118120740126148156186254256[[#This Row],[Coste Componente]]*Tabla1103453454455456479116117118120740126148156186254256[[#This Row],[Unidades]]</f>
        <v>1903.8500013000003</v>
      </c>
      <c r="I125" s="4"/>
      <c r="J125" s="8" t="s">
        <v>13</v>
      </c>
      <c r="K125" s="15">
        <f>+K123+K124</f>
        <v>13070.103901406999</v>
      </c>
    </row>
    <row r="126" spans="2:13" s="40" customFormat="1" x14ac:dyDescent="0.25">
      <c r="B126" s="10" t="s">
        <v>1194</v>
      </c>
      <c r="C126" s="11" t="s">
        <v>847</v>
      </c>
      <c r="D126" s="12">
        <v>12</v>
      </c>
      <c r="E126" s="12">
        <v>0</v>
      </c>
      <c r="F126" s="12">
        <v>12</v>
      </c>
      <c r="G126" s="337">
        <f>+VLOOKUP(Tabla1103453454455456479116117118120740126148156186254256[[#This Row],[ArtÃ­culo]],Tabla34[#All],3,0)</f>
        <v>726.66666667000004</v>
      </c>
      <c r="H126" s="338">
        <f>+Tabla1103453454455456479116117118120740126148156186254256[[#This Row],[Coste Componente]]*Tabla1103453454455456479116117118120740126148156186254256[[#This Row],[Unidades]]</f>
        <v>8720.0000000399996</v>
      </c>
      <c r="J126" s="20" t="s">
        <v>1313</v>
      </c>
      <c r="K126" s="328">
        <v>720</v>
      </c>
      <c r="M126" s="406" t="s">
        <v>1377</v>
      </c>
    </row>
    <row r="127" spans="2:13" s="40" customFormat="1" x14ac:dyDescent="0.25">
      <c r="B127" s="10" t="s">
        <v>202</v>
      </c>
      <c r="C127" s="11" t="s">
        <v>67</v>
      </c>
      <c r="D127" s="12">
        <v>10</v>
      </c>
      <c r="E127" s="12">
        <v>0</v>
      </c>
      <c r="F127" s="12">
        <v>10</v>
      </c>
      <c r="G127" s="337">
        <f>+VLOOKUP(Tabla1103453454455456479116117118120740126148156186254256[[#This Row],[ArtÃ­culo]],Tabla34[#All],3,0)</f>
        <v>15.965999999999999</v>
      </c>
      <c r="H127" s="338">
        <f>+Tabla1103453454455456479116117118120740126148156186254256[[#This Row],[Coste Componente]]*Tabla1103453454455456479116117118120740126148156186254256[[#This Row],[Unidades]]</f>
        <v>159.66</v>
      </c>
      <c r="J127" s="8" t="s">
        <v>15</v>
      </c>
      <c r="K127" s="15">
        <f>+K125/K126</f>
        <v>18.1529220852875</v>
      </c>
      <c r="M127" s="384"/>
    </row>
    <row r="128" spans="2:13" s="40" customFormat="1" x14ac:dyDescent="0.25">
      <c r="B128" s="16"/>
      <c r="C128" s="17"/>
      <c r="D128" s="17"/>
      <c r="E128" s="17"/>
      <c r="F128" s="17"/>
      <c r="G128" s="18"/>
      <c r="H128" s="18">
        <f>SUBTOTAL(109,Tabla1103453454455456479116117118120740126148156186254256[Coste LÃ­nea])</f>
        <v>12447.718001339999</v>
      </c>
    </row>
    <row r="131" spans="2:13" s="40" customFormat="1" x14ac:dyDescent="0.25">
      <c r="B131" s="1" t="s">
        <v>151</v>
      </c>
      <c r="C131" s="2"/>
      <c r="D131" s="2"/>
      <c r="E131" s="3"/>
      <c r="F131" s="3"/>
      <c r="G131" s="3"/>
      <c r="H131" s="3"/>
      <c r="J131" s="399" t="s">
        <v>0</v>
      </c>
      <c r="K131" s="399"/>
      <c r="M131" s="406" t="s">
        <v>1383</v>
      </c>
    </row>
    <row r="132" spans="2:13" s="40" customFormat="1" x14ac:dyDescent="0.25">
      <c r="B132" s="16" t="s">
        <v>857</v>
      </c>
      <c r="C132" s="17" t="s">
        <v>895</v>
      </c>
      <c r="D132" s="17" t="s">
        <v>892</v>
      </c>
      <c r="E132" s="17" t="s">
        <v>893</v>
      </c>
      <c r="F132" s="17" t="s">
        <v>894</v>
      </c>
      <c r="G132" s="76" t="s">
        <v>901</v>
      </c>
      <c r="H132" s="76" t="s">
        <v>902</v>
      </c>
      <c r="I132" s="4"/>
      <c r="J132" s="8" t="s">
        <v>6</v>
      </c>
      <c r="K132" s="9">
        <f>SUM(Tabla1103453454455456479116117118120740126148156186254256257[Coste LÃ­nea])</f>
        <v>37328.096968359998</v>
      </c>
      <c r="M132" s="384"/>
    </row>
    <row r="133" spans="2:13" s="40" customFormat="1" x14ac:dyDescent="0.25">
      <c r="B133" s="10" t="s">
        <v>631</v>
      </c>
      <c r="C133" s="11" t="s">
        <v>67</v>
      </c>
      <c r="D133" s="12">
        <v>560</v>
      </c>
      <c r="E133" s="12">
        <v>0</v>
      </c>
      <c r="F133" s="12">
        <v>560</v>
      </c>
      <c r="G133" s="337">
        <f>+VLOOKUP(Tabla1103453454455456479116117118120740126148156186254256257[[#This Row],[ArtÃ­culo]],Tabla34[#All],3,0)</f>
        <v>34.714285709999999</v>
      </c>
      <c r="H133" s="338">
        <f>+Tabla1103453454455456479116117118120740126148156186254256257[[#This Row],[Coste Componente]]*Tabla1103453454455456479116117118120740126148156186254256257[[#This Row],[Unidades]]</f>
        <v>19439.9999976</v>
      </c>
      <c r="I133" s="4"/>
      <c r="J133" s="8" t="s">
        <v>12</v>
      </c>
      <c r="K133" s="15">
        <f>+K132*5%</f>
        <v>1866.404848418</v>
      </c>
      <c r="M133" s="384"/>
    </row>
    <row r="134" spans="2:13" s="40" customFormat="1" x14ac:dyDescent="0.25">
      <c r="B134" s="10" t="s">
        <v>85</v>
      </c>
      <c r="C134" s="11" t="s">
        <v>67</v>
      </c>
      <c r="D134" s="12">
        <v>680</v>
      </c>
      <c r="E134" s="12">
        <v>0</v>
      </c>
      <c r="F134" s="12">
        <v>680</v>
      </c>
      <c r="G134" s="337">
        <f>+VLOOKUP(Tabla1103453454455456479116117118120740126148156186254256257[[#This Row],[ArtÃ­culo]],Tabla34[#All],3,0)</f>
        <v>4.8816666700000004</v>
      </c>
      <c r="H134" s="338">
        <f>+Tabla1103453454455456479116117118120740126148156186254256257[[#This Row],[Coste Componente]]*Tabla1103453454455456479116117118120740126148156186254256257[[#This Row],[Unidades]]</f>
        <v>3319.5333356000001</v>
      </c>
      <c r="I134" s="4"/>
      <c r="J134" s="8" t="s">
        <v>13</v>
      </c>
      <c r="K134" s="15">
        <f>+K132+K133</f>
        <v>39194.501816778</v>
      </c>
    </row>
    <row r="135" spans="2:13" s="40" customFormat="1" x14ac:dyDescent="0.25">
      <c r="B135" s="10" t="s">
        <v>1194</v>
      </c>
      <c r="C135" s="11" t="s">
        <v>847</v>
      </c>
      <c r="D135" s="12">
        <v>8</v>
      </c>
      <c r="E135" s="12">
        <v>0</v>
      </c>
      <c r="F135" s="12">
        <v>8</v>
      </c>
      <c r="G135" s="337">
        <f>+VLOOKUP(Tabla1103453454455456479116117118120740126148156186254256257[[#This Row],[ArtÃ­culo]],Tabla34[#All],3,0)</f>
        <v>726.66666667000004</v>
      </c>
      <c r="H135" s="338">
        <f>+Tabla1103453454455456479116117118120740126148156186254256257[[#This Row],[Coste Componente]]*Tabla1103453454455456479116117118120740126148156186254256257[[#This Row],[Unidades]]</f>
        <v>5813.3333333600003</v>
      </c>
      <c r="J135" s="20" t="s">
        <v>1313</v>
      </c>
      <c r="K135" s="328">
        <v>24</v>
      </c>
      <c r="M135" s="406" t="s">
        <v>1377</v>
      </c>
    </row>
    <row r="136" spans="2:13" s="40" customFormat="1" x14ac:dyDescent="0.25">
      <c r="B136" s="10" t="s">
        <v>819</v>
      </c>
      <c r="C136" s="11" t="s">
        <v>67</v>
      </c>
      <c r="D136" s="12">
        <v>8</v>
      </c>
      <c r="E136" s="12">
        <v>0</v>
      </c>
      <c r="F136" s="12">
        <v>8</v>
      </c>
      <c r="G136" s="337">
        <f>+VLOOKUP(Tabla1103453454455456479116117118120740126148156186254256257[[#This Row],[ArtÃ­culo]],Tabla34[#All],3,0)</f>
        <v>21.363943110000001</v>
      </c>
      <c r="H136" s="338">
        <f>+Tabla1103453454455456479116117118120740126148156186254256257[[#This Row],[Coste Componente]]*Tabla1103453454455456479116117118120740126148156186254256257[[#This Row],[Unidades]]</f>
        <v>170.91154488000001</v>
      </c>
      <c r="J136" s="8" t="s">
        <v>15</v>
      </c>
      <c r="K136" s="15">
        <f>+K134/K135</f>
        <v>1633.10424236575</v>
      </c>
      <c r="M136" s="384"/>
    </row>
    <row r="137" spans="2:13" s="40" customFormat="1" x14ac:dyDescent="0.25">
      <c r="B137" s="10" t="s">
        <v>312</v>
      </c>
      <c r="C137" s="11" t="s">
        <v>67</v>
      </c>
      <c r="D137" s="12">
        <v>500</v>
      </c>
      <c r="E137" s="12">
        <v>0</v>
      </c>
      <c r="F137" s="12">
        <v>500</v>
      </c>
      <c r="G137" s="337">
        <f>+VLOOKUP(Tabla1103453454455456479116117118120740126148156186254256257[[#This Row],[ArtÃ­culo]],Tabla34[#All],3,0)</f>
        <v>4.2671999999999999</v>
      </c>
      <c r="H137" s="338">
        <f>+Tabla1103453454455456479116117118120740126148156186254256257[[#This Row],[Coste Componente]]*Tabla1103453454455456479116117118120740126148156186254256257[[#This Row],[Unidades]]</f>
        <v>2133.6</v>
      </c>
    </row>
    <row r="138" spans="2:13" s="40" customFormat="1" x14ac:dyDescent="0.25">
      <c r="B138" s="10" t="s">
        <v>89</v>
      </c>
      <c r="C138" s="11" t="s">
        <v>67</v>
      </c>
      <c r="D138" s="12">
        <v>4</v>
      </c>
      <c r="E138" s="12">
        <v>0</v>
      </c>
      <c r="F138" s="12">
        <v>4</v>
      </c>
      <c r="G138" s="337">
        <f>+VLOOKUP(Tabla1103453454455456479116117118120740126148156186254256257[[#This Row],[ArtÃ­culo]],Tabla34[#All],3,0)</f>
        <v>2.4009999999999998</v>
      </c>
      <c r="H138" s="338">
        <f>+Tabla1103453454455456479116117118120740126148156186254256257[[#This Row],[Coste Componente]]*Tabla1103453454455456479116117118120740126148156186254256257[[#This Row],[Unidades]]</f>
        <v>9.6039999999999992</v>
      </c>
    </row>
    <row r="139" spans="2:13" s="40" customFormat="1" x14ac:dyDescent="0.25">
      <c r="B139" s="10" t="s">
        <v>945</v>
      </c>
      <c r="C139" s="11" t="s">
        <v>67</v>
      </c>
      <c r="D139" s="12">
        <v>60</v>
      </c>
      <c r="E139" s="12">
        <v>0</v>
      </c>
      <c r="F139" s="12">
        <v>60</v>
      </c>
      <c r="G139" s="337">
        <f>+VLOOKUP(Tabla1103453454455456479116117118120740126148156186254256257[[#This Row],[ArtÃ­culo]],Tabla34[#All],3,0)</f>
        <v>46.15576197</v>
      </c>
      <c r="H139" s="338">
        <f>+Tabla1103453454455456479116117118120740126148156186254256257[[#This Row],[Coste Componente]]*Tabla1103453454455456479116117118120740126148156186254256257[[#This Row],[Unidades]]</f>
        <v>2769.3457182000002</v>
      </c>
    </row>
    <row r="140" spans="2:13" s="40" customFormat="1" x14ac:dyDescent="0.25">
      <c r="B140" s="10" t="s">
        <v>968</v>
      </c>
      <c r="C140" s="11" t="s">
        <v>67</v>
      </c>
      <c r="D140" s="12">
        <v>40</v>
      </c>
      <c r="E140" s="12">
        <v>0</v>
      </c>
      <c r="F140" s="12">
        <v>40</v>
      </c>
      <c r="G140" s="337">
        <f>+VLOOKUP(Tabla1103453454455456479116117118120740126148156186254256257[[#This Row],[ArtÃ­culo]],Tabla34[#All],3,0)</f>
        <v>44.497999999999998</v>
      </c>
      <c r="H140" s="338">
        <f>+Tabla1103453454455456479116117118120740126148156186254256257[[#This Row],[Coste Componente]]*Tabla1103453454455456479116117118120740126148156186254256257[[#This Row],[Unidades]]</f>
        <v>1779.9199999999998</v>
      </c>
    </row>
    <row r="141" spans="2:13" s="40" customFormat="1" x14ac:dyDescent="0.25">
      <c r="B141" s="10" t="s">
        <v>1226</v>
      </c>
      <c r="C141" s="11" t="s">
        <v>67</v>
      </c>
      <c r="D141" s="12">
        <v>96</v>
      </c>
      <c r="E141" s="12">
        <v>0</v>
      </c>
      <c r="F141" s="12">
        <v>96</v>
      </c>
      <c r="G141" s="337">
        <f>+VLOOKUP(Tabla1103453454455456479116117118120740126148156186254256257[[#This Row],[ArtÃ­culo]],Tabla34[#All],3,0)</f>
        <v>19.70676082</v>
      </c>
      <c r="H141" s="338">
        <f>+Tabla1103453454455456479116117118120740126148156186254256257[[#This Row],[Coste Componente]]*Tabla1103453454455456479116117118120740126148156186254256257[[#This Row],[Unidades]]</f>
        <v>1891.84903872</v>
      </c>
      <c r="M141" s="50"/>
    </row>
    <row r="142" spans="2:13" s="40" customFormat="1" x14ac:dyDescent="0.25">
      <c r="B142" s="16"/>
      <c r="C142" s="17"/>
      <c r="D142" s="17"/>
      <c r="E142" s="17"/>
      <c r="F142" s="17"/>
      <c r="G142" s="18"/>
      <c r="H142" s="18">
        <f>SUBTOTAL(109,Tabla1103453454455456479116117118120740126148156186254256257[Coste LÃ­nea])</f>
        <v>37328.096968359998</v>
      </c>
    </row>
    <row r="143" spans="2:13" s="50" customFormat="1" x14ac:dyDescent="0.25">
      <c r="B143" s="32"/>
      <c r="C143" s="33"/>
      <c r="D143" s="33"/>
      <c r="E143" s="33"/>
      <c r="F143" s="33"/>
      <c r="G143" s="34"/>
      <c r="H143" s="34"/>
      <c r="M143" s="40"/>
    </row>
    <row r="144" spans="2:13" s="40" customFormat="1" x14ac:dyDescent="0.25">
      <c r="B144" s="1" t="s">
        <v>158</v>
      </c>
      <c r="C144" s="2"/>
      <c r="D144" s="2"/>
      <c r="E144" s="3"/>
      <c r="F144" s="3"/>
      <c r="G144" s="3"/>
      <c r="H144" s="3"/>
      <c r="J144" s="399" t="s">
        <v>0</v>
      </c>
      <c r="K144" s="399"/>
      <c r="M144" s="406" t="s">
        <v>1383</v>
      </c>
    </row>
    <row r="145" spans="2:13" s="40" customFormat="1" x14ac:dyDescent="0.25">
      <c r="B145" s="16" t="s">
        <v>857</v>
      </c>
      <c r="C145" s="17" t="s">
        <v>895</v>
      </c>
      <c r="D145" s="17" t="s">
        <v>892</v>
      </c>
      <c r="E145" s="17" t="s">
        <v>893</v>
      </c>
      <c r="F145" s="17" t="s">
        <v>894</v>
      </c>
      <c r="G145" s="76" t="s">
        <v>901</v>
      </c>
      <c r="H145" s="76" t="s">
        <v>902</v>
      </c>
      <c r="I145" s="4"/>
      <c r="J145" s="8" t="s">
        <v>6</v>
      </c>
      <c r="K145" s="9">
        <f>SUM(Tabla1103453454455456479116117118120740126148156186254256266[Coste LÃ­nea])</f>
        <v>59395.225196259998</v>
      </c>
      <c r="M145" s="384"/>
    </row>
    <row r="146" spans="2:13" s="40" customFormat="1" x14ac:dyDescent="0.25">
      <c r="B146" s="10" t="s">
        <v>631</v>
      </c>
      <c r="C146" s="11" t="s">
        <v>67</v>
      </c>
      <c r="D146" s="12">
        <v>450</v>
      </c>
      <c r="E146" s="12">
        <v>0</v>
      </c>
      <c r="F146" s="12">
        <v>450</v>
      </c>
      <c r="G146" s="337">
        <f>+VLOOKUP(Tabla1103453454455456479116117118120740126148156186254256266[[#This Row],[ArtÃ­culo]],Tabla34[#All],3,0)</f>
        <v>34.714285709999999</v>
      </c>
      <c r="H146" s="338">
        <f>+Tabla1103453454455456479116117118120740126148156186254256266[[#This Row],[Coste Componente]]*Tabla1103453454455456479116117118120740126148156186254256266[[#This Row],[Unidades]]</f>
        <v>15621.4285695</v>
      </c>
      <c r="I146" s="4"/>
      <c r="J146" s="8" t="s">
        <v>12</v>
      </c>
      <c r="K146" s="15">
        <f>+K145*5%</f>
        <v>2969.7612598129999</v>
      </c>
      <c r="M146" s="384"/>
    </row>
    <row r="147" spans="2:13" s="40" customFormat="1" x14ac:dyDescent="0.25">
      <c r="B147" s="10" t="s">
        <v>99</v>
      </c>
      <c r="C147" s="11" t="s">
        <v>67</v>
      </c>
      <c r="D147" s="12">
        <v>560</v>
      </c>
      <c r="E147" s="12">
        <v>0</v>
      </c>
      <c r="F147" s="12">
        <v>560</v>
      </c>
      <c r="G147" s="337">
        <f>+VLOOKUP(Tabla1103453454455456479116117118120740126148156186254256266[[#This Row],[ArtÃ­culo]],Tabla34[#All],3,0)</f>
        <v>49.977947020000002</v>
      </c>
      <c r="H147" s="338">
        <f>+Tabla1103453454455456479116117118120740126148156186254256266[[#This Row],[Coste Componente]]*Tabla1103453454455456479116117118120740126148156186254256266[[#This Row],[Unidades]]</f>
        <v>27987.650331200002</v>
      </c>
      <c r="I147" s="4"/>
      <c r="J147" s="8" t="s">
        <v>13</v>
      </c>
      <c r="K147" s="15">
        <f>+K145+K146</f>
        <v>62364.986456072998</v>
      </c>
    </row>
    <row r="148" spans="2:13" s="40" customFormat="1" x14ac:dyDescent="0.25">
      <c r="B148" s="10" t="s">
        <v>85</v>
      </c>
      <c r="C148" s="11" t="s">
        <v>67</v>
      </c>
      <c r="D148" s="12">
        <v>635</v>
      </c>
      <c r="E148" s="12">
        <v>0</v>
      </c>
      <c r="F148" s="12">
        <v>635</v>
      </c>
      <c r="G148" s="337">
        <f>+VLOOKUP(Tabla1103453454455456479116117118120740126148156186254256266[[#This Row],[ArtÃ­culo]],Tabla34[#All],3,0)</f>
        <v>4.8816666700000004</v>
      </c>
      <c r="H148" s="338">
        <f>+Tabla1103453454455456479116117118120740126148156186254256266[[#This Row],[Coste Componente]]*Tabla1103453454455456479116117118120740126148156186254256266[[#This Row],[Unidades]]</f>
        <v>3099.8583354500001</v>
      </c>
      <c r="J148" s="20" t="s">
        <v>1313</v>
      </c>
      <c r="K148" s="328">
        <v>24</v>
      </c>
      <c r="M148" s="406" t="s">
        <v>1377</v>
      </c>
    </row>
    <row r="149" spans="2:13" s="40" customFormat="1" x14ac:dyDescent="0.25">
      <c r="B149" s="10" t="s">
        <v>1194</v>
      </c>
      <c r="C149" s="11" t="s">
        <v>847</v>
      </c>
      <c r="D149" s="12">
        <v>8</v>
      </c>
      <c r="E149" s="12">
        <v>0</v>
      </c>
      <c r="F149" s="12">
        <v>8</v>
      </c>
      <c r="G149" s="337">
        <f>+VLOOKUP(Tabla1103453454455456479116117118120740126148156186254256266[[#This Row],[ArtÃ­culo]],Tabla34[#All],3,0)</f>
        <v>726.66666667000004</v>
      </c>
      <c r="H149" s="338">
        <f>+Tabla1103453454455456479116117118120740126148156186254256266[[#This Row],[Coste Componente]]*Tabla1103453454455456479116117118120740126148156186254256266[[#This Row],[Unidades]]</f>
        <v>5813.3333333600003</v>
      </c>
      <c r="J149" s="8" t="s">
        <v>15</v>
      </c>
      <c r="K149" s="15">
        <f>+K147/K148</f>
        <v>2598.5411023363749</v>
      </c>
      <c r="M149" s="384"/>
    </row>
    <row r="150" spans="2:13" s="40" customFormat="1" x14ac:dyDescent="0.25">
      <c r="B150" s="10" t="s">
        <v>819</v>
      </c>
      <c r="C150" s="11" t="s">
        <v>67</v>
      </c>
      <c r="D150" s="12">
        <v>15</v>
      </c>
      <c r="E150" s="12">
        <v>0</v>
      </c>
      <c r="F150" s="12">
        <v>15</v>
      </c>
      <c r="G150" s="337">
        <f>+VLOOKUP(Tabla1103453454455456479116117118120740126148156186254256266[[#This Row],[ArtÃ­culo]],Tabla34[#All],3,0)</f>
        <v>21.363943110000001</v>
      </c>
      <c r="H150" s="338">
        <f>+Tabla1103453454455456479116117118120740126148156186254256266[[#This Row],[Coste Componente]]*Tabla1103453454455456479116117118120740126148156186254256266[[#This Row],[Unidades]]</f>
        <v>320.45914665000004</v>
      </c>
    </row>
    <row r="151" spans="2:13" s="40" customFormat="1" x14ac:dyDescent="0.25">
      <c r="B151" s="10" t="s">
        <v>312</v>
      </c>
      <c r="C151" s="11" t="s">
        <v>67</v>
      </c>
      <c r="D151" s="12">
        <v>750</v>
      </c>
      <c r="E151" s="12">
        <v>0</v>
      </c>
      <c r="F151" s="12">
        <v>750</v>
      </c>
      <c r="G151" s="337">
        <f>+VLOOKUP(Tabla1103453454455456479116117118120740126148156186254256266[[#This Row],[ArtÃ­culo]],Tabla34[#All],3,0)</f>
        <v>4.2671999999999999</v>
      </c>
      <c r="H151" s="338">
        <f>+Tabla1103453454455456479116117118120740126148156186254256266[[#This Row],[Coste Componente]]*Tabla1103453454455456479116117118120740126148156186254256266[[#This Row],[Unidades]]</f>
        <v>3200.4</v>
      </c>
    </row>
    <row r="152" spans="2:13" s="40" customFormat="1" x14ac:dyDescent="0.25">
      <c r="B152" s="10" t="s">
        <v>194</v>
      </c>
      <c r="C152" s="11" t="s">
        <v>67</v>
      </c>
      <c r="D152" s="12">
        <v>120</v>
      </c>
      <c r="E152" s="12">
        <v>0</v>
      </c>
      <c r="F152" s="12">
        <v>120</v>
      </c>
      <c r="G152" s="337">
        <f>+VLOOKUP(Tabla1103453454455456479116117118120740126148156186254256266[[#This Row],[ArtÃ­culo]],Tabla34[#All],3,0)</f>
        <v>27.466702179999999</v>
      </c>
      <c r="H152" s="338">
        <f>+Tabla1103453454455456479116117118120740126148156186254256266[[#This Row],[Coste Componente]]*Tabla1103453454455456479116117118120740126148156186254256266[[#This Row],[Unidades]]</f>
        <v>3296.0042616000001</v>
      </c>
    </row>
    <row r="153" spans="2:13" s="40" customFormat="1" x14ac:dyDescent="0.25">
      <c r="B153" s="10" t="s">
        <v>89</v>
      </c>
      <c r="C153" s="11" t="s">
        <v>67</v>
      </c>
      <c r="D153" s="12">
        <v>5</v>
      </c>
      <c r="E153" s="12">
        <v>0</v>
      </c>
      <c r="F153" s="12">
        <v>5</v>
      </c>
      <c r="G153" s="337">
        <f>+VLOOKUP(Tabla1103453454455456479116117118120740126148156186254256266[[#This Row],[ArtÃ­culo]],Tabla34[#All],3,0)</f>
        <v>2.4009999999999998</v>
      </c>
      <c r="H153" s="338">
        <f>+Tabla1103453454455456479116117118120740126148156186254256266[[#This Row],[Coste Componente]]*Tabla1103453454455456479116117118120740126148156186254256266[[#This Row],[Unidades]]</f>
        <v>12.004999999999999</v>
      </c>
    </row>
    <row r="154" spans="2:13" s="40" customFormat="1" x14ac:dyDescent="0.25">
      <c r="B154" s="10" t="s">
        <v>221</v>
      </c>
      <c r="C154" s="11" t="s">
        <v>67</v>
      </c>
      <c r="D154" s="12">
        <v>5</v>
      </c>
      <c r="E154" s="12">
        <v>0</v>
      </c>
      <c r="F154" s="12">
        <v>5</v>
      </c>
      <c r="G154" s="337">
        <f>+VLOOKUP(Tabla1103453454455456479116117118120740126148156186254256266[[#This Row],[ArtÃ­culo]],Tabla34[#All],3,0)</f>
        <v>8.8172437000000006</v>
      </c>
      <c r="H154" s="338">
        <f>+Tabla1103453454455456479116117118120740126148156186254256266[[#This Row],[Coste Componente]]*Tabla1103453454455456479116117118120740126148156186254256266[[#This Row],[Unidades]]</f>
        <v>44.086218500000001</v>
      </c>
      <c r="M154" s="50"/>
    </row>
    <row r="155" spans="2:13" s="40" customFormat="1" x14ac:dyDescent="0.25">
      <c r="B155" s="16"/>
      <c r="C155" s="17"/>
      <c r="D155" s="17"/>
      <c r="E155" s="17"/>
      <c r="F155" s="17"/>
      <c r="G155" s="18"/>
      <c r="H155" s="18">
        <f>SUBTOTAL(109,Tabla1103453454455456479116117118120740126148156186254256266[Coste LÃ­nea])</f>
        <v>59395.225196259998</v>
      </c>
    </row>
    <row r="156" spans="2:13" s="50" customFormat="1" x14ac:dyDescent="0.25">
      <c r="B156" s="32"/>
      <c r="C156" s="33"/>
      <c r="D156" s="33"/>
      <c r="E156" s="33"/>
      <c r="F156" s="33"/>
      <c r="G156" s="34"/>
      <c r="H156" s="34"/>
      <c r="M156" s="40"/>
    </row>
    <row r="157" spans="2:13" s="40" customFormat="1" x14ac:dyDescent="0.25">
      <c r="B157" s="1" t="s">
        <v>151</v>
      </c>
      <c r="C157" s="2"/>
      <c r="D157" s="2"/>
      <c r="E157" s="3"/>
      <c r="F157" s="3"/>
      <c r="G157" s="3"/>
      <c r="H157" s="3"/>
      <c r="J157" s="399" t="s">
        <v>0</v>
      </c>
      <c r="K157" s="399"/>
      <c r="M157" s="406" t="s">
        <v>1383</v>
      </c>
    </row>
    <row r="158" spans="2:13" s="40" customFormat="1" x14ac:dyDescent="0.25">
      <c r="B158" s="16" t="s">
        <v>857</v>
      </c>
      <c r="C158" s="17" t="s">
        <v>895</v>
      </c>
      <c r="D158" s="17" t="s">
        <v>892</v>
      </c>
      <c r="E158" s="17" t="s">
        <v>893</v>
      </c>
      <c r="F158" s="17" t="s">
        <v>894</v>
      </c>
      <c r="G158" s="76" t="s">
        <v>901</v>
      </c>
      <c r="H158" s="76" t="s">
        <v>902</v>
      </c>
      <c r="I158" s="4"/>
      <c r="J158" s="8" t="s">
        <v>6</v>
      </c>
      <c r="K158" s="9">
        <f>SUM(Tabla1103453454455456479116117118120740126148156186254256267[Coste LÃ­nea])</f>
        <v>37328.096968359998</v>
      </c>
      <c r="M158" s="384"/>
    </row>
    <row r="159" spans="2:13" s="40" customFormat="1" x14ac:dyDescent="0.25">
      <c r="B159" s="10" t="s">
        <v>631</v>
      </c>
      <c r="C159" s="11" t="s">
        <v>67</v>
      </c>
      <c r="D159" s="12">
        <v>560</v>
      </c>
      <c r="E159" s="12">
        <v>0</v>
      </c>
      <c r="F159" s="12">
        <v>560</v>
      </c>
      <c r="G159" s="337">
        <f>+VLOOKUP(Tabla1103453454455456479116117118120740126148156186254256267[[#This Row],[ArtÃ­culo]],Tabla34[#All],3,0)</f>
        <v>34.714285709999999</v>
      </c>
      <c r="H159" s="338">
        <f>+Tabla1103453454455456479116117118120740126148156186254256267[[#This Row],[Coste Componente]]*Tabla1103453454455456479116117118120740126148156186254256267[[#This Row],[Unidades]]</f>
        <v>19439.9999976</v>
      </c>
      <c r="I159" s="4"/>
      <c r="J159" s="8" t="s">
        <v>12</v>
      </c>
      <c r="K159" s="15">
        <f>+K158*5%</f>
        <v>1866.404848418</v>
      </c>
      <c r="M159" s="384"/>
    </row>
    <row r="160" spans="2:13" s="40" customFormat="1" x14ac:dyDescent="0.25">
      <c r="B160" s="10" t="s">
        <v>85</v>
      </c>
      <c r="C160" s="11" t="s">
        <v>67</v>
      </c>
      <c r="D160" s="12">
        <v>680</v>
      </c>
      <c r="E160" s="12">
        <v>0</v>
      </c>
      <c r="F160" s="12">
        <v>680</v>
      </c>
      <c r="G160" s="337">
        <f>+VLOOKUP(Tabla1103453454455456479116117118120740126148156186254256267[[#This Row],[ArtÃ­culo]],Tabla34[#All],3,0)</f>
        <v>4.8816666700000004</v>
      </c>
      <c r="H160" s="338">
        <f>+Tabla1103453454455456479116117118120740126148156186254256267[[#This Row],[Coste Componente]]*Tabla1103453454455456479116117118120740126148156186254256267[[#This Row],[Unidades]]</f>
        <v>3319.5333356000001</v>
      </c>
      <c r="I160" s="4"/>
      <c r="J160" s="8" t="s">
        <v>13</v>
      </c>
      <c r="K160" s="15">
        <f>+K158+K159</f>
        <v>39194.501816778</v>
      </c>
    </row>
    <row r="161" spans="2:13" s="40" customFormat="1" x14ac:dyDescent="0.25">
      <c r="B161" s="10" t="s">
        <v>1194</v>
      </c>
      <c r="C161" s="11" t="s">
        <v>847</v>
      </c>
      <c r="D161" s="12">
        <v>8</v>
      </c>
      <c r="E161" s="12">
        <v>0</v>
      </c>
      <c r="F161" s="12">
        <v>8</v>
      </c>
      <c r="G161" s="337">
        <f>+VLOOKUP(Tabla1103453454455456479116117118120740126148156186254256267[[#This Row],[ArtÃ­culo]],Tabla34[#All],3,0)</f>
        <v>726.66666667000004</v>
      </c>
      <c r="H161" s="338">
        <f>+Tabla1103453454455456479116117118120740126148156186254256267[[#This Row],[Coste Componente]]*Tabla1103453454455456479116117118120740126148156186254256267[[#This Row],[Unidades]]</f>
        <v>5813.3333333600003</v>
      </c>
      <c r="J161" s="20" t="s">
        <v>1313</v>
      </c>
      <c r="K161" s="328">
        <v>24</v>
      </c>
      <c r="M161" s="406" t="s">
        <v>1377</v>
      </c>
    </row>
    <row r="162" spans="2:13" s="40" customFormat="1" x14ac:dyDescent="0.25">
      <c r="B162" s="10" t="s">
        <v>819</v>
      </c>
      <c r="C162" s="11" t="s">
        <v>67</v>
      </c>
      <c r="D162" s="12">
        <v>8</v>
      </c>
      <c r="E162" s="12">
        <v>0</v>
      </c>
      <c r="F162" s="12">
        <v>8</v>
      </c>
      <c r="G162" s="337">
        <f>+VLOOKUP(Tabla1103453454455456479116117118120740126148156186254256267[[#This Row],[ArtÃ­culo]],Tabla34[#All],3,0)</f>
        <v>21.363943110000001</v>
      </c>
      <c r="H162" s="338">
        <f>+Tabla1103453454455456479116117118120740126148156186254256267[[#This Row],[Coste Componente]]*Tabla1103453454455456479116117118120740126148156186254256267[[#This Row],[Unidades]]</f>
        <v>170.91154488000001</v>
      </c>
      <c r="J162" s="8" t="s">
        <v>15</v>
      </c>
      <c r="K162" s="15">
        <f>+K160/K161</f>
        <v>1633.10424236575</v>
      </c>
      <c r="M162" s="384"/>
    </row>
    <row r="163" spans="2:13" s="40" customFormat="1" x14ac:dyDescent="0.25">
      <c r="B163" s="10" t="s">
        <v>312</v>
      </c>
      <c r="C163" s="11" t="s">
        <v>67</v>
      </c>
      <c r="D163" s="12">
        <v>500</v>
      </c>
      <c r="E163" s="12">
        <v>0</v>
      </c>
      <c r="F163" s="12">
        <v>500</v>
      </c>
      <c r="G163" s="337">
        <f>+VLOOKUP(Tabla1103453454455456479116117118120740126148156186254256267[[#This Row],[ArtÃ­culo]],Tabla34[#All],3,0)</f>
        <v>4.2671999999999999</v>
      </c>
      <c r="H163" s="338">
        <f>+Tabla1103453454455456479116117118120740126148156186254256267[[#This Row],[Coste Componente]]*Tabla1103453454455456479116117118120740126148156186254256267[[#This Row],[Unidades]]</f>
        <v>2133.6</v>
      </c>
    </row>
    <row r="164" spans="2:13" s="40" customFormat="1" x14ac:dyDescent="0.25">
      <c r="B164" s="10" t="s">
        <v>89</v>
      </c>
      <c r="C164" s="11" t="s">
        <v>67</v>
      </c>
      <c r="D164" s="12">
        <v>4</v>
      </c>
      <c r="E164" s="12">
        <v>0</v>
      </c>
      <c r="F164" s="12">
        <v>4</v>
      </c>
      <c r="G164" s="337">
        <f>+VLOOKUP(Tabla1103453454455456479116117118120740126148156186254256267[[#This Row],[ArtÃ­culo]],Tabla34[#All],3,0)</f>
        <v>2.4009999999999998</v>
      </c>
      <c r="H164" s="338">
        <f>+Tabla1103453454455456479116117118120740126148156186254256267[[#This Row],[Coste Componente]]*Tabla1103453454455456479116117118120740126148156186254256267[[#This Row],[Unidades]]</f>
        <v>9.6039999999999992</v>
      </c>
    </row>
    <row r="165" spans="2:13" s="40" customFormat="1" x14ac:dyDescent="0.25">
      <c r="B165" s="10" t="s">
        <v>945</v>
      </c>
      <c r="C165" s="11" t="s">
        <v>67</v>
      </c>
      <c r="D165" s="12">
        <v>60</v>
      </c>
      <c r="E165" s="12">
        <v>0</v>
      </c>
      <c r="F165" s="12">
        <v>60</v>
      </c>
      <c r="G165" s="337">
        <f>+VLOOKUP(Tabla1103453454455456479116117118120740126148156186254256267[[#This Row],[ArtÃ­culo]],Tabla34[#All],3,0)</f>
        <v>46.15576197</v>
      </c>
      <c r="H165" s="338">
        <f>+Tabla1103453454455456479116117118120740126148156186254256267[[#This Row],[Coste Componente]]*Tabla1103453454455456479116117118120740126148156186254256267[[#This Row],[Unidades]]</f>
        <v>2769.3457182000002</v>
      </c>
    </row>
    <row r="166" spans="2:13" s="40" customFormat="1" x14ac:dyDescent="0.25">
      <c r="B166" s="10" t="s">
        <v>968</v>
      </c>
      <c r="C166" s="11" t="s">
        <v>67</v>
      </c>
      <c r="D166" s="12">
        <v>40</v>
      </c>
      <c r="E166" s="12">
        <v>0</v>
      </c>
      <c r="F166" s="12">
        <v>40</v>
      </c>
      <c r="G166" s="337">
        <f>+VLOOKUP(Tabla1103453454455456479116117118120740126148156186254256267[[#This Row],[ArtÃ­culo]],Tabla34[#All],3,0)</f>
        <v>44.497999999999998</v>
      </c>
      <c r="H166" s="338">
        <f>+Tabla1103453454455456479116117118120740126148156186254256267[[#This Row],[Coste Componente]]*Tabla1103453454455456479116117118120740126148156186254256267[[#This Row],[Unidades]]</f>
        <v>1779.9199999999998</v>
      </c>
    </row>
    <row r="167" spans="2:13" s="40" customFormat="1" x14ac:dyDescent="0.25">
      <c r="B167" s="10" t="s">
        <v>1226</v>
      </c>
      <c r="C167" s="11" t="s">
        <v>67</v>
      </c>
      <c r="D167" s="12">
        <v>96</v>
      </c>
      <c r="E167" s="12">
        <v>0</v>
      </c>
      <c r="F167" s="12">
        <v>96</v>
      </c>
      <c r="G167" s="337">
        <f>+VLOOKUP(Tabla1103453454455456479116117118120740126148156186254256267[[#This Row],[ArtÃ­culo]],Tabla34[#All],3,0)</f>
        <v>19.70676082</v>
      </c>
      <c r="H167" s="338">
        <f>+Tabla1103453454455456479116117118120740126148156186254256267[[#This Row],[Coste Componente]]*Tabla1103453454455456479116117118120740126148156186254256267[[#This Row],[Unidades]]</f>
        <v>1891.84903872</v>
      </c>
      <c r="M167" s="50"/>
    </row>
    <row r="168" spans="2:13" s="40" customFormat="1" x14ac:dyDescent="0.25">
      <c r="B168" s="16"/>
      <c r="C168" s="17"/>
      <c r="D168" s="17"/>
      <c r="E168" s="17"/>
      <c r="F168" s="17"/>
      <c r="G168" s="18"/>
      <c r="H168" s="18">
        <f>SUBTOTAL(109,Tabla1103453454455456479116117118120740126148156186254256267[Coste LÃ­nea])</f>
        <v>37328.096968359998</v>
      </c>
    </row>
    <row r="169" spans="2:13" s="50" customFormat="1" x14ac:dyDescent="0.25">
      <c r="B169" s="32"/>
      <c r="C169" s="33"/>
      <c r="D169" s="33"/>
      <c r="E169" s="33"/>
      <c r="F169" s="33"/>
      <c r="G169" s="34"/>
      <c r="H169" s="34"/>
      <c r="M169" s="40"/>
    </row>
    <row r="170" spans="2:13" s="40" customFormat="1" x14ac:dyDescent="0.25">
      <c r="B170" s="1" t="s">
        <v>1369</v>
      </c>
      <c r="C170" s="2"/>
      <c r="D170" s="2"/>
      <c r="E170" s="3"/>
      <c r="F170" s="3"/>
      <c r="G170" s="3"/>
      <c r="H170" s="3"/>
      <c r="J170" s="399" t="s">
        <v>0</v>
      </c>
      <c r="K170" s="399"/>
      <c r="M170" s="406" t="s">
        <v>1383</v>
      </c>
    </row>
    <row r="171" spans="2:13" s="40" customFormat="1" x14ac:dyDescent="0.25">
      <c r="B171" s="16" t="s">
        <v>857</v>
      </c>
      <c r="C171" s="17" t="s">
        <v>895</v>
      </c>
      <c r="D171" s="17" t="s">
        <v>892</v>
      </c>
      <c r="E171" s="17" t="s">
        <v>893</v>
      </c>
      <c r="F171" s="17" t="s">
        <v>894</v>
      </c>
      <c r="G171" s="76" t="s">
        <v>901</v>
      </c>
      <c r="H171" s="76" t="s">
        <v>902</v>
      </c>
      <c r="I171" s="4"/>
      <c r="J171" s="8" t="s">
        <v>6</v>
      </c>
      <c r="K171" s="9">
        <f>SUM(Tabla1103453454455456479116117118120740126148156186254256272[Coste LÃ­nea])</f>
        <v>59858.76815158</v>
      </c>
      <c r="M171" s="384"/>
    </row>
    <row r="172" spans="2:13" s="40" customFormat="1" x14ac:dyDescent="0.25">
      <c r="B172" s="10" t="s">
        <v>624</v>
      </c>
      <c r="C172" s="11" t="s">
        <v>67</v>
      </c>
      <c r="D172" s="12">
        <v>1000</v>
      </c>
      <c r="E172" s="12">
        <v>0</v>
      </c>
      <c r="F172" s="12">
        <v>1000</v>
      </c>
      <c r="G172" s="337">
        <f>+VLOOKUP(Tabla1103453454455456479116117118120740126148156186254256272[[#This Row],[ArtÃ­culo]],Tabla34[#All],3,0)</f>
        <v>32.29</v>
      </c>
      <c r="H172" s="338">
        <f>+Tabla1103453454455456479116117118120740126148156186254256272[[#This Row],[Coste Componente]]*Tabla1103453454455456479116117118120740126148156186254256272[[#This Row],[Unidades]]</f>
        <v>32290</v>
      </c>
      <c r="I172" s="4"/>
      <c r="J172" s="8" t="s">
        <v>12</v>
      </c>
      <c r="K172" s="15">
        <f>+K171*5%</f>
        <v>2992.9384075790003</v>
      </c>
      <c r="M172" s="384"/>
    </row>
    <row r="173" spans="2:13" s="40" customFormat="1" x14ac:dyDescent="0.25">
      <c r="B173" s="10" t="s">
        <v>1370</v>
      </c>
      <c r="C173" s="11" t="s">
        <v>67</v>
      </c>
      <c r="D173" s="12">
        <v>1000</v>
      </c>
      <c r="E173" s="12">
        <v>0</v>
      </c>
      <c r="F173" s="12">
        <v>1000</v>
      </c>
      <c r="G173" s="337">
        <f>+VLOOKUP(Tabla1103453454455456479116117118120740126148156186254256272[[#This Row],[ArtÃ­culo]],Tabla34[#All],3,0)</f>
        <v>4.8041983300000002</v>
      </c>
      <c r="H173" s="338">
        <f>+Tabla1103453454455456479116117118120740126148156186254256272[[#This Row],[Coste Componente]]*Tabla1103453454455456479116117118120740126148156186254256272[[#This Row],[Unidades]]</f>
        <v>4804.1983300000002</v>
      </c>
      <c r="I173" s="4"/>
      <c r="J173" s="8" t="s">
        <v>13</v>
      </c>
      <c r="K173" s="15">
        <f>+K171+K172</f>
        <v>62851.706559159</v>
      </c>
    </row>
    <row r="174" spans="2:13" s="40" customFormat="1" x14ac:dyDescent="0.25">
      <c r="B174" s="10" t="s">
        <v>303</v>
      </c>
      <c r="C174" s="11" t="s">
        <v>67</v>
      </c>
      <c r="D174" s="12">
        <v>500</v>
      </c>
      <c r="E174" s="12">
        <v>0</v>
      </c>
      <c r="F174" s="12">
        <v>500</v>
      </c>
      <c r="G174" s="337">
        <f>+VLOOKUP(Tabla1103453454455456479116117118120740126148156186254256272[[#This Row],[ArtÃ­culo]],Tabla34[#All],3,0)</f>
        <v>12.150080000000001</v>
      </c>
      <c r="H174" s="338">
        <f>+Tabla1103453454455456479116117118120740126148156186254256272[[#This Row],[Coste Componente]]*Tabla1103453454455456479116117118120740126148156186254256272[[#This Row],[Unidades]]</f>
        <v>6075.0400000000009</v>
      </c>
      <c r="J174" s="20" t="s">
        <v>1313</v>
      </c>
      <c r="K174" s="328">
        <v>2756</v>
      </c>
      <c r="M174" s="406" t="s">
        <v>1377</v>
      </c>
    </row>
    <row r="175" spans="2:13" s="40" customFormat="1" x14ac:dyDescent="0.25">
      <c r="B175" s="10" t="s">
        <v>85</v>
      </c>
      <c r="C175" s="11" t="s">
        <v>67</v>
      </c>
      <c r="D175" s="12">
        <v>250</v>
      </c>
      <c r="E175" s="12">
        <v>0</v>
      </c>
      <c r="F175" s="12">
        <v>250</v>
      </c>
      <c r="G175" s="337">
        <f>+VLOOKUP(Tabla1103453454455456479116117118120740126148156186254256272[[#This Row],[ArtÃ­culo]],Tabla34[#All],3,0)</f>
        <v>4.8816666700000004</v>
      </c>
      <c r="H175" s="338">
        <f>+Tabla1103453454455456479116117118120740126148156186254256272[[#This Row],[Coste Componente]]*Tabla1103453454455456479116117118120740126148156186254256272[[#This Row],[Unidades]]</f>
        <v>1220.4166675000001</v>
      </c>
      <c r="J175" s="8" t="s">
        <v>15</v>
      </c>
      <c r="K175" s="15">
        <f>+K173/K174</f>
        <v>22.805408766022857</v>
      </c>
      <c r="M175" s="384"/>
    </row>
    <row r="176" spans="2:13" s="40" customFormat="1" x14ac:dyDescent="0.25">
      <c r="B176" s="10" t="s">
        <v>1194</v>
      </c>
      <c r="C176" s="11" t="s">
        <v>847</v>
      </c>
      <c r="D176" s="12">
        <v>4</v>
      </c>
      <c r="E176" s="12">
        <v>0</v>
      </c>
      <c r="F176" s="12">
        <v>4</v>
      </c>
      <c r="G176" s="337">
        <f>+VLOOKUP(Tabla1103453454455456479116117118120740126148156186254256272[[#This Row],[ArtÃ­culo]],Tabla34[#All],3,0)</f>
        <v>726.66666667000004</v>
      </c>
      <c r="H176" s="338">
        <f>+Tabla1103453454455456479116117118120740126148156186254256272[[#This Row],[Coste Componente]]*Tabla1103453454455456479116117118120740126148156186254256272[[#This Row],[Unidades]]</f>
        <v>2906.6666666800002</v>
      </c>
    </row>
    <row r="177" spans="2:13" s="40" customFormat="1" x14ac:dyDescent="0.25">
      <c r="B177" s="10" t="s">
        <v>221</v>
      </c>
      <c r="C177" s="11" t="s">
        <v>67</v>
      </c>
      <c r="D177" s="12">
        <v>2</v>
      </c>
      <c r="E177" s="12">
        <v>0</v>
      </c>
      <c r="F177" s="12">
        <v>2</v>
      </c>
      <c r="G177" s="337">
        <f>+VLOOKUP(Tabla1103453454455456479116117118120740126148156186254256272[[#This Row],[ArtÃ­culo]],Tabla34[#All],3,0)</f>
        <v>8.8172437000000006</v>
      </c>
      <c r="H177" s="338">
        <f>+Tabla1103453454455456479116117118120740126148156186254256272[[#This Row],[Coste Componente]]*Tabla1103453454455456479116117118120740126148156186254256272[[#This Row],[Unidades]]</f>
        <v>17.634487400000001</v>
      </c>
    </row>
    <row r="178" spans="2:13" s="40" customFormat="1" x14ac:dyDescent="0.25">
      <c r="B178" s="10" t="s">
        <v>724</v>
      </c>
      <c r="C178" s="11" t="s">
        <v>67</v>
      </c>
      <c r="D178" s="12">
        <v>700</v>
      </c>
      <c r="E178" s="12">
        <v>0</v>
      </c>
      <c r="F178" s="12">
        <v>700</v>
      </c>
      <c r="G178" s="337">
        <f>+VLOOKUP(Tabla1103453454455456479116117118120740126148156186254256272[[#This Row],[ArtÃ­culo]],Tabla34[#All],3,0)</f>
        <v>17.88</v>
      </c>
      <c r="H178" s="338">
        <f>+Tabla1103453454455456479116117118120740126148156186254256272[[#This Row],[Coste Componente]]*Tabla1103453454455456479116117118120740126148156186254256272[[#This Row],[Unidades]]</f>
        <v>12516</v>
      </c>
    </row>
    <row r="179" spans="2:13" s="40" customFormat="1" x14ac:dyDescent="0.25">
      <c r="B179" s="10" t="s">
        <v>89</v>
      </c>
      <c r="C179" s="11" t="s">
        <v>67</v>
      </c>
      <c r="D179" s="12">
        <v>12</v>
      </c>
      <c r="E179" s="12">
        <v>0</v>
      </c>
      <c r="F179" s="12">
        <v>12</v>
      </c>
      <c r="G179" s="337">
        <f>+VLOOKUP(Tabla1103453454455456479116117118120740126148156186254256272[[#This Row],[ArtÃ­culo]],Tabla34[#All],3,0)</f>
        <v>2.4009999999999998</v>
      </c>
      <c r="H179" s="338">
        <f>+Tabla1103453454455456479116117118120740126148156186254256272[[#This Row],[Coste Componente]]*Tabla1103453454455456479116117118120740126148156186254256272[[#This Row],[Unidades]]</f>
        <v>28.811999999999998</v>
      </c>
    </row>
    <row r="180" spans="2:13" s="40" customFormat="1" x14ac:dyDescent="0.25">
      <c r="B180" s="16"/>
      <c r="C180" s="17"/>
      <c r="D180" s="17"/>
      <c r="E180" s="17"/>
      <c r="F180" s="17"/>
      <c r="G180" s="18"/>
      <c r="H180" s="18">
        <f>SUBTOTAL(109,Tabla1103453454455456479116117118120740126148156186254256272[Coste LÃ­nea])</f>
        <v>59858.76815158</v>
      </c>
    </row>
    <row r="182" spans="2:13" s="40" customFormat="1" x14ac:dyDescent="0.25">
      <c r="B182" s="1" t="s">
        <v>150</v>
      </c>
      <c r="C182" s="2"/>
      <c r="D182" s="2"/>
      <c r="E182" s="3"/>
      <c r="F182" s="3"/>
      <c r="G182" s="3"/>
      <c r="H182" s="3"/>
      <c r="J182" s="399" t="s">
        <v>0</v>
      </c>
      <c r="K182" s="399"/>
      <c r="M182" s="406" t="s">
        <v>1383</v>
      </c>
    </row>
    <row r="183" spans="2:13" s="40" customFormat="1" x14ac:dyDescent="0.25">
      <c r="B183" s="16" t="s">
        <v>857</v>
      </c>
      <c r="C183" s="17" t="s">
        <v>895</v>
      </c>
      <c r="D183" s="17" t="s">
        <v>892</v>
      </c>
      <c r="E183" s="17" t="s">
        <v>893</v>
      </c>
      <c r="F183" s="17" t="s">
        <v>894</v>
      </c>
      <c r="G183" s="76" t="s">
        <v>901</v>
      </c>
      <c r="H183" s="76" t="s">
        <v>902</v>
      </c>
      <c r="I183" s="4"/>
      <c r="J183" s="8" t="s">
        <v>6</v>
      </c>
      <c r="K183" s="9">
        <f>SUM(Tabla1103453454455456479116117118120740126148156186254256287[Coste LÃ­nea])</f>
        <v>45169.667345039998</v>
      </c>
      <c r="M183" s="384"/>
    </row>
    <row r="184" spans="2:13" s="40" customFormat="1" x14ac:dyDescent="0.25">
      <c r="B184" s="10" t="s">
        <v>631</v>
      </c>
      <c r="C184" s="11" t="s">
        <v>67</v>
      </c>
      <c r="D184" s="12">
        <v>560</v>
      </c>
      <c r="E184" s="12">
        <v>0</v>
      </c>
      <c r="F184" s="12">
        <v>560</v>
      </c>
      <c r="G184" s="337">
        <f>+VLOOKUP(Tabla1103453454455456479116117118120740126148156186254256287[[#This Row],[ArtÃ­culo]],Tabla34[#All],3,0)</f>
        <v>34.714285709999999</v>
      </c>
      <c r="H184" s="338">
        <f>+Tabla1103453454455456479116117118120740126148156186254256287[[#This Row],[Coste Componente]]*Tabla1103453454455456479116117118120740126148156186254256287[[#This Row],[Unidades]]</f>
        <v>19439.9999976</v>
      </c>
      <c r="I184" s="4"/>
      <c r="J184" s="8" t="s">
        <v>12</v>
      </c>
      <c r="K184" s="15">
        <f>+K183*5%</f>
        <v>2258.4833672519999</v>
      </c>
      <c r="M184" s="384"/>
    </row>
    <row r="185" spans="2:13" s="40" customFormat="1" x14ac:dyDescent="0.25">
      <c r="B185" s="10" t="s">
        <v>194</v>
      </c>
      <c r="C185" s="11" t="s">
        <v>67</v>
      </c>
      <c r="D185" s="12">
        <v>520</v>
      </c>
      <c r="E185" s="12">
        <v>0</v>
      </c>
      <c r="F185" s="12">
        <v>520</v>
      </c>
      <c r="G185" s="337">
        <f>+VLOOKUP(Tabla1103453454455456479116117118120740126148156186254256287[[#This Row],[ArtÃ­culo]],Tabla34[#All],3,0)</f>
        <v>27.466702179999999</v>
      </c>
      <c r="H185" s="338">
        <f>+Tabla1103453454455456479116117118120740126148156186254256287[[#This Row],[Coste Componente]]*Tabla1103453454455456479116117118120740126148156186254256287[[#This Row],[Unidades]]</f>
        <v>14282.6851336</v>
      </c>
      <c r="I185" s="4"/>
      <c r="J185" s="8" t="s">
        <v>13</v>
      </c>
      <c r="K185" s="15">
        <f>+K183+K184</f>
        <v>47428.150712292001</v>
      </c>
    </row>
    <row r="186" spans="2:13" s="40" customFormat="1" x14ac:dyDescent="0.25">
      <c r="B186" s="10" t="s">
        <v>85</v>
      </c>
      <c r="C186" s="11" t="s">
        <v>67</v>
      </c>
      <c r="D186" s="12">
        <v>680</v>
      </c>
      <c r="E186" s="12">
        <v>0</v>
      </c>
      <c r="F186" s="12">
        <v>680</v>
      </c>
      <c r="G186" s="337">
        <f>+VLOOKUP(Tabla1103453454455456479116117118120740126148156186254256287[[#This Row],[ArtÃ­culo]],Tabla34[#All],3,0)</f>
        <v>4.8816666700000004</v>
      </c>
      <c r="H186" s="338">
        <f>+Tabla1103453454455456479116117118120740126148156186254256287[[#This Row],[Coste Componente]]*Tabla1103453454455456479116117118120740126148156186254256287[[#This Row],[Unidades]]</f>
        <v>3319.5333356000001</v>
      </c>
      <c r="J186" s="20" t="s">
        <v>1313</v>
      </c>
      <c r="K186" s="328">
        <v>24</v>
      </c>
      <c r="M186" s="406" t="s">
        <v>1377</v>
      </c>
    </row>
    <row r="187" spans="2:13" s="40" customFormat="1" x14ac:dyDescent="0.25">
      <c r="B187" s="10" t="s">
        <v>1194</v>
      </c>
      <c r="C187" s="11" t="s">
        <v>847</v>
      </c>
      <c r="D187" s="12">
        <v>8</v>
      </c>
      <c r="E187" s="12">
        <v>0</v>
      </c>
      <c r="F187" s="12">
        <v>8</v>
      </c>
      <c r="G187" s="337">
        <f>+VLOOKUP(Tabla1103453454455456479116117118120740126148156186254256287[[#This Row],[ArtÃ­culo]],Tabla34[#All],3,0)</f>
        <v>726.66666667000004</v>
      </c>
      <c r="H187" s="338">
        <f>+Tabla1103453454455456479116117118120740126148156186254256287[[#This Row],[Coste Componente]]*Tabla1103453454455456479116117118120740126148156186254256287[[#This Row],[Unidades]]</f>
        <v>5813.3333333600003</v>
      </c>
      <c r="J187" s="8" t="s">
        <v>15</v>
      </c>
      <c r="K187" s="15">
        <f>+K185/K186</f>
        <v>1976.1729463455001</v>
      </c>
      <c r="M187" s="384"/>
    </row>
    <row r="188" spans="2:13" s="40" customFormat="1" x14ac:dyDescent="0.25">
      <c r="B188" s="10" t="s">
        <v>819</v>
      </c>
      <c r="C188" s="11" t="s">
        <v>67</v>
      </c>
      <c r="D188" s="12">
        <v>8</v>
      </c>
      <c r="E188" s="12">
        <v>0</v>
      </c>
      <c r="F188" s="12">
        <v>8</v>
      </c>
      <c r="G188" s="337">
        <f>+VLOOKUP(Tabla1103453454455456479116117118120740126148156186254256287[[#This Row],[ArtÃ­culo]],Tabla34[#All],3,0)</f>
        <v>21.363943110000001</v>
      </c>
      <c r="H188" s="338">
        <f>+Tabla1103453454455456479116117118120740126148156186254256287[[#This Row],[Coste Componente]]*Tabla1103453454455456479116117118120740126148156186254256287[[#This Row],[Unidades]]</f>
        <v>170.91154488000001</v>
      </c>
    </row>
    <row r="189" spans="2:13" s="40" customFormat="1" x14ac:dyDescent="0.25">
      <c r="B189" s="10" t="s">
        <v>312</v>
      </c>
      <c r="C189" s="11" t="s">
        <v>67</v>
      </c>
      <c r="D189" s="12">
        <v>500</v>
      </c>
      <c r="E189" s="12">
        <v>0</v>
      </c>
      <c r="F189" s="12">
        <v>500</v>
      </c>
      <c r="G189" s="337">
        <f>+VLOOKUP(Tabla1103453454455456479116117118120740126148156186254256287[[#This Row],[ArtÃ­culo]],Tabla34[#All],3,0)</f>
        <v>4.2671999999999999</v>
      </c>
      <c r="H189" s="338">
        <f>+Tabla1103453454455456479116117118120740126148156186254256287[[#This Row],[Coste Componente]]*Tabla1103453454455456479116117118120740126148156186254256287[[#This Row],[Unidades]]</f>
        <v>2133.6</v>
      </c>
    </row>
    <row r="190" spans="2:13" s="40" customFormat="1" x14ac:dyDescent="0.25">
      <c r="B190" s="10" t="s">
        <v>89</v>
      </c>
      <c r="C190" s="11" t="s">
        <v>67</v>
      </c>
      <c r="D190" s="12">
        <v>4</v>
      </c>
      <c r="E190" s="12">
        <v>0</v>
      </c>
      <c r="F190" s="12">
        <v>4</v>
      </c>
      <c r="G190" s="337">
        <f>+VLOOKUP(Tabla1103453454455456479116117118120740126148156186254256287[[#This Row],[ArtÃ­culo]],Tabla34[#All],3,0)</f>
        <v>2.4009999999999998</v>
      </c>
      <c r="H190" s="338">
        <f>+Tabla1103453454455456479116117118120740126148156186254256287[[#This Row],[Coste Componente]]*Tabla1103453454455456479116117118120740126148156186254256287[[#This Row],[Unidades]]</f>
        <v>9.6039999999999992</v>
      </c>
    </row>
    <row r="191" spans="2:13" s="40" customFormat="1" x14ac:dyDescent="0.25">
      <c r="B191" s="16"/>
      <c r="C191" s="17"/>
      <c r="D191" s="17"/>
      <c r="E191" s="17"/>
      <c r="F191" s="17"/>
      <c r="G191" s="18"/>
      <c r="H191" s="18">
        <f>SUBTOTAL(109,Tabla1103453454455456479116117118120740126148156186254256287[Coste LÃ­nea])</f>
        <v>45169.667345039998</v>
      </c>
    </row>
    <row r="194" spans="2:13" s="40" customFormat="1" x14ac:dyDescent="0.25">
      <c r="B194" s="1" t="s">
        <v>1371</v>
      </c>
      <c r="C194" s="2"/>
      <c r="D194" s="2"/>
      <c r="E194" s="3"/>
      <c r="F194" s="3"/>
      <c r="G194" s="3"/>
      <c r="H194" s="3"/>
      <c r="J194" s="399" t="s">
        <v>0</v>
      </c>
      <c r="K194" s="399"/>
      <c r="M194" s="406" t="s">
        <v>1383</v>
      </c>
    </row>
    <row r="195" spans="2:13" s="40" customFormat="1" x14ac:dyDescent="0.25">
      <c r="B195" s="16" t="s">
        <v>857</v>
      </c>
      <c r="C195" s="17" t="s">
        <v>895</v>
      </c>
      <c r="D195" s="17" t="s">
        <v>892</v>
      </c>
      <c r="E195" s="17" t="s">
        <v>893</v>
      </c>
      <c r="F195" s="17" t="s">
        <v>894</v>
      </c>
      <c r="G195" s="76" t="s">
        <v>901</v>
      </c>
      <c r="H195" s="76" t="s">
        <v>902</v>
      </c>
      <c r="I195" s="4"/>
      <c r="J195" s="8" t="s">
        <v>6</v>
      </c>
      <c r="K195" s="9">
        <f>SUM(Tabla1103453454455456479116117118120740126148156186254256287328[Coste LÃ­nea])</f>
        <v>40418.502</v>
      </c>
      <c r="M195" s="384"/>
    </row>
    <row r="196" spans="2:13" s="40" customFormat="1" x14ac:dyDescent="0.25">
      <c r="B196" s="10" t="s">
        <v>87</v>
      </c>
      <c r="C196" s="11" t="s">
        <v>67</v>
      </c>
      <c r="D196" s="12">
        <v>100</v>
      </c>
      <c r="E196" s="12">
        <v>0</v>
      </c>
      <c r="F196" s="12">
        <v>100</v>
      </c>
      <c r="G196" s="337">
        <f>+VLOOKUP(Tabla1103453454455456479116117118120740126148156186254256287328[[#This Row],[ArtÃ­culo]],Tabla34[#All],3,0)</f>
        <v>3.718</v>
      </c>
      <c r="H196" s="338">
        <f>+Tabla1103453454455456479116117118120740126148156186254256287328[[#This Row],[Coste Componente]]*Tabla1103453454455456479116117118120740126148156186254256287328[[#This Row],[Unidades]]</f>
        <v>371.8</v>
      </c>
      <c r="I196" s="4"/>
      <c r="J196" s="8" t="s">
        <v>12</v>
      </c>
      <c r="K196" s="15">
        <f>+K195*5%</f>
        <v>2020.9251000000002</v>
      </c>
      <c r="M196" s="384"/>
    </row>
    <row r="197" spans="2:13" s="40" customFormat="1" x14ac:dyDescent="0.25">
      <c r="B197" s="10" t="s">
        <v>647</v>
      </c>
      <c r="C197" s="11" t="s">
        <v>67</v>
      </c>
      <c r="D197" s="12">
        <v>1200</v>
      </c>
      <c r="E197" s="12">
        <v>0</v>
      </c>
      <c r="F197" s="12">
        <v>1200</v>
      </c>
      <c r="G197" s="337">
        <f>+VLOOKUP(Tabla1103453454455456479116117118120740126148156186254256287328[[#This Row],[ArtÃ­culo]],Tabla34[#All],3,0)</f>
        <v>3.5</v>
      </c>
      <c r="H197" s="338">
        <f>+Tabla1103453454455456479116117118120740126148156186254256287328[[#This Row],[Coste Componente]]*Tabla1103453454455456479116117118120740126148156186254256287328[[#This Row],[Unidades]]</f>
        <v>4200</v>
      </c>
      <c r="I197" s="4"/>
      <c r="J197" s="8" t="s">
        <v>13</v>
      </c>
      <c r="K197" s="15">
        <f>+K195+K196</f>
        <v>42439.427100000001</v>
      </c>
    </row>
    <row r="198" spans="2:13" s="40" customFormat="1" x14ac:dyDescent="0.25">
      <c r="B198" s="10" t="s">
        <v>89</v>
      </c>
      <c r="C198" s="11" t="s">
        <v>67</v>
      </c>
      <c r="D198" s="12">
        <v>2</v>
      </c>
      <c r="E198" s="12">
        <v>0</v>
      </c>
      <c r="F198" s="12">
        <v>2</v>
      </c>
      <c r="G198" s="337">
        <f>+VLOOKUP(Tabla1103453454455456479116117118120740126148156186254256287328[[#This Row],[ArtÃ­culo]],Tabla34[#All],3,0)</f>
        <v>2.4009999999999998</v>
      </c>
      <c r="H198" s="338">
        <f>+Tabla1103453454455456479116117118120740126148156186254256287328[[#This Row],[Coste Componente]]*Tabla1103453454455456479116117118120740126148156186254256287328[[#This Row],[Unidades]]</f>
        <v>4.8019999999999996</v>
      </c>
      <c r="J198" s="20" t="s">
        <v>1313</v>
      </c>
      <c r="K198" s="328">
        <v>37</v>
      </c>
      <c r="M198" s="406" t="s">
        <v>1377</v>
      </c>
    </row>
    <row r="199" spans="2:13" s="40" customFormat="1" x14ac:dyDescent="0.25">
      <c r="B199" s="10" t="s">
        <v>624</v>
      </c>
      <c r="C199" s="11" t="s">
        <v>67</v>
      </c>
      <c r="D199" s="12">
        <v>1110</v>
      </c>
      <c r="E199" s="12">
        <v>0</v>
      </c>
      <c r="F199" s="12">
        <v>1110</v>
      </c>
      <c r="G199" s="337">
        <f>+VLOOKUP(Tabla1103453454455456479116117118120740126148156186254256287328[[#This Row],[ArtÃ­culo]],Tabla34[#All],3,0)</f>
        <v>32.29</v>
      </c>
      <c r="H199" s="338">
        <f>+Tabla1103453454455456479116117118120740126148156186254256287328[[#This Row],[Coste Componente]]*Tabla1103453454455456479116117118120740126148156186254256287328[[#This Row],[Unidades]]</f>
        <v>35841.9</v>
      </c>
      <c r="J199" s="8" t="s">
        <v>15</v>
      </c>
      <c r="K199" s="15">
        <f>+K197/K198</f>
        <v>1147.0115432432433</v>
      </c>
      <c r="M199" s="384"/>
    </row>
    <row r="200" spans="2:13" s="40" customFormat="1" x14ac:dyDescent="0.25">
      <c r="B200" s="16"/>
      <c r="C200" s="17"/>
      <c r="D200" s="17"/>
      <c r="E200" s="17"/>
      <c r="F200" s="17"/>
      <c r="G200" s="18"/>
      <c r="H200" s="18">
        <f>SUBTOTAL(109,Tabla1103453454455456479116117118120740126148156186254256287328[Coste LÃ­nea])</f>
        <v>40418.502</v>
      </c>
    </row>
    <row r="203" spans="2:13" s="40" customFormat="1" x14ac:dyDescent="0.25">
      <c r="B203" s="1" t="s">
        <v>143</v>
      </c>
      <c r="C203" s="2"/>
      <c r="D203" s="2"/>
      <c r="E203" s="3"/>
      <c r="F203" s="3"/>
      <c r="G203" s="3"/>
      <c r="H203" s="3"/>
      <c r="J203" s="399" t="s">
        <v>0</v>
      </c>
      <c r="K203" s="399"/>
      <c r="M203" s="406" t="s">
        <v>1383</v>
      </c>
    </row>
    <row r="204" spans="2:13" s="40" customFormat="1" x14ac:dyDescent="0.25">
      <c r="B204" s="16" t="s">
        <v>857</v>
      </c>
      <c r="C204" s="17" t="s">
        <v>895</v>
      </c>
      <c r="D204" s="17" t="s">
        <v>892</v>
      </c>
      <c r="E204" s="17" t="s">
        <v>893</v>
      </c>
      <c r="F204" s="17" t="s">
        <v>894</v>
      </c>
      <c r="G204" s="76" t="s">
        <v>901</v>
      </c>
      <c r="H204" s="76" t="s">
        <v>902</v>
      </c>
      <c r="I204" s="4"/>
      <c r="J204" s="8" t="s">
        <v>6</v>
      </c>
      <c r="K204" s="9">
        <f>SUM(Tabla1103453454455456479116117118120740126148156186254256287328329[Coste LÃ­nea])</f>
        <v>3583.3844511500006</v>
      </c>
      <c r="M204" s="384"/>
    </row>
    <row r="205" spans="2:13" s="40" customFormat="1" x14ac:dyDescent="0.25">
      <c r="B205" s="10" t="s">
        <v>187</v>
      </c>
      <c r="C205" s="11" t="s">
        <v>67</v>
      </c>
      <c r="D205" s="12">
        <v>274</v>
      </c>
      <c r="E205" s="12">
        <v>30</v>
      </c>
      <c r="F205" s="12">
        <v>391.42899999999997</v>
      </c>
      <c r="G205" s="337">
        <f>+VLOOKUP(Tabla1103453454455456479116117118120740126148156186254256287328329[[#This Row],[ArtÃ­culo]],Tabla34[#All],3,0)</f>
        <v>4.7</v>
      </c>
      <c r="H205" s="338">
        <f>+Tabla1103453454455456479116117118120740126148156186254256287328329[[#This Row],[Coste Componente]]*Tabla1103453454455456479116117118120740126148156186254256287328329[[#This Row],[Unidades]]</f>
        <v>1839.7163</v>
      </c>
      <c r="I205" s="4"/>
      <c r="J205" s="8" t="s">
        <v>12</v>
      </c>
      <c r="K205" s="15">
        <f>+K204*5%</f>
        <v>179.16922255750004</v>
      </c>
      <c r="M205" s="384"/>
    </row>
    <row r="206" spans="2:13" s="40" customFormat="1" x14ac:dyDescent="0.25">
      <c r="B206" s="10" t="s">
        <v>91</v>
      </c>
      <c r="C206" s="11" t="s">
        <v>67</v>
      </c>
      <c r="D206" s="12">
        <v>100</v>
      </c>
      <c r="E206" s="12">
        <v>0</v>
      </c>
      <c r="F206" s="12">
        <v>100</v>
      </c>
      <c r="G206" s="337">
        <f>+VLOOKUP(Tabla1103453454455456479116117118120740126148156186254256287328329[[#This Row],[ArtÃ­culo]],Tabla34[#All],3,0)</f>
        <v>10.193790849999999</v>
      </c>
      <c r="H206" s="338">
        <f>+Tabla1103453454455456479116117118120740126148156186254256287328329[[#This Row],[Coste Componente]]*Tabla1103453454455456479116117118120740126148156186254256287328329[[#This Row],[Unidades]]</f>
        <v>1019.3790849999999</v>
      </c>
      <c r="I206" s="4"/>
      <c r="J206" s="8" t="s">
        <v>13</v>
      </c>
      <c r="K206" s="15">
        <f>+K204+K205</f>
        <v>3762.5536737075008</v>
      </c>
    </row>
    <row r="207" spans="2:13" s="40" customFormat="1" x14ac:dyDescent="0.25">
      <c r="B207" s="10" t="s">
        <v>840</v>
      </c>
      <c r="C207" s="11" t="s">
        <v>67</v>
      </c>
      <c r="D207" s="12">
        <v>1</v>
      </c>
      <c r="E207" s="12">
        <v>0</v>
      </c>
      <c r="F207" s="12">
        <v>1</v>
      </c>
      <c r="G207" s="337">
        <f>+VLOOKUP(Tabla1103453454455456479116117118120740126148156186254256287328329[[#This Row],[ArtÃ­culo]],Tabla34[#All],3,0)</f>
        <v>57.218061669999997</v>
      </c>
      <c r="H207" s="338">
        <f>+Tabla1103453454455456479116117118120740126148156186254256287328329[[#This Row],[Coste Componente]]*Tabla1103453454455456479116117118120740126148156186254256287328329[[#This Row],[Unidades]]</f>
        <v>57.218061669999997</v>
      </c>
      <c r="J207" s="20" t="s">
        <v>1313</v>
      </c>
      <c r="K207" s="328">
        <v>268</v>
      </c>
      <c r="M207" s="406" t="s">
        <v>1377</v>
      </c>
    </row>
    <row r="208" spans="2:13" s="40" customFormat="1" x14ac:dyDescent="0.25">
      <c r="B208" s="10" t="s">
        <v>89</v>
      </c>
      <c r="C208" s="11" t="s">
        <v>67</v>
      </c>
      <c r="D208" s="12">
        <v>2</v>
      </c>
      <c r="E208" s="12">
        <v>0</v>
      </c>
      <c r="F208" s="12">
        <v>2</v>
      </c>
      <c r="G208" s="337">
        <f>+VLOOKUP(Tabla1103453454455456479116117118120740126148156186254256287328329[[#This Row],[ArtÃ­culo]],Tabla34[#All],3,0)</f>
        <v>2.4009999999999998</v>
      </c>
      <c r="H208" s="338">
        <f>+Tabla1103453454455456479116117118120740126148156186254256287328329[[#This Row],[Coste Componente]]*Tabla1103453454455456479116117118120740126148156186254256287328329[[#This Row],[Unidades]]</f>
        <v>4.8019999999999996</v>
      </c>
      <c r="J208" s="8" t="s">
        <v>15</v>
      </c>
      <c r="K208" s="15">
        <f>+K206/K207</f>
        <v>14.039379379505601</v>
      </c>
      <c r="M208" s="384"/>
    </row>
    <row r="209" spans="2:13" s="40" customFormat="1" x14ac:dyDescent="0.25">
      <c r="B209" s="10" t="s">
        <v>85</v>
      </c>
      <c r="C209" s="11" t="s">
        <v>67</v>
      </c>
      <c r="D209" s="12">
        <v>110</v>
      </c>
      <c r="E209" s="12">
        <v>0</v>
      </c>
      <c r="F209" s="12">
        <v>110</v>
      </c>
      <c r="G209" s="337">
        <f>+VLOOKUP(Tabla1103453454455456479116117118120740126148156186254256287328329[[#This Row],[ArtÃ­culo]],Tabla34[#All],3,0)</f>
        <v>4.8816666700000004</v>
      </c>
      <c r="H209" s="338">
        <f>+Tabla1103453454455456479116117118120740126148156186254256287328329[[#This Row],[Coste Componente]]*Tabla1103453454455456479116117118120740126148156186254256287328329[[#This Row],[Unidades]]</f>
        <v>536.9833337</v>
      </c>
    </row>
    <row r="210" spans="2:13" s="40" customFormat="1" x14ac:dyDescent="0.25">
      <c r="B210" s="10" t="s">
        <v>1104</v>
      </c>
      <c r="C210" s="11" t="s">
        <v>67</v>
      </c>
      <c r="D210" s="12">
        <v>30</v>
      </c>
      <c r="E210" s="12">
        <v>0</v>
      </c>
      <c r="F210" s="12">
        <v>30</v>
      </c>
      <c r="G210" s="337">
        <f>+VLOOKUP(Tabla1103453454455456479116117118120740126148156186254256287328329[[#This Row],[ArtÃ­culo]],Tabla34[#All],3,0)</f>
        <v>2.2000000000000002</v>
      </c>
      <c r="H210" s="338">
        <f>+Tabla1103453454455456479116117118120740126148156186254256287328329[[#This Row],[Coste Componente]]*Tabla1103453454455456479116117118120740126148156186254256287328329[[#This Row],[Unidades]]</f>
        <v>66</v>
      </c>
    </row>
    <row r="211" spans="2:13" s="40" customFormat="1" x14ac:dyDescent="0.25">
      <c r="B211" s="10" t="s">
        <v>219</v>
      </c>
      <c r="C211" s="11" t="s">
        <v>67</v>
      </c>
      <c r="D211" s="12">
        <v>1</v>
      </c>
      <c r="E211" s="12">
        <v>0</v>
      </c>
      <c r="F211" s="12">
        <v>1</v>
      </c>
      <c r="G211" s="337">
        <f>+VLOOKUP(Tabla1103453454455456479116117118120740126148156186254256287328329[[#This Row],[ArtÃ­culo]],Tabla34[#All],3,0)</f>
        <v>30.77</v>
      </c>
      <c r="H211" s="338">
        <f>+Tabla1103453454455456479116117118120740126148156186254256287328329[[#This Row],[Coste Componente]]*Tabla1103453454455456479116117118120740126148156186254256287328329[[#This Row],[Unidades]]</f>
        <v>30.77</v>
      </c>
    </row>
    <row r="212" spans="2:13" s="40" customFormat="1" x14ac:dyDescent="0.25">
      <c r="B212" s="10" t="s">
        <v>37</v>
      </c>
      <c r="C212" s="11" t="s">
        <v>67</v>
      </c>
      <c r="D212" s="12">
        <v>2</v>
      </c>
      <c r="E212" s="12">
        <v>0</v>
      </c>
      <c r="F212" s="12">
        <v>2</v>
      </c>
      <c r="G212" s="337">
        <f>+VLOOKUP(Tabla1103453454455456479116117118120740126148156186254256287328329[[#This Row],[ArtÃ­culo]],Tabla34[#All],3,0)</f>
        <v>14.25783539</v>
      </c>
      <c r="H212" s="338">
        <f>+Tabla1103453454455456479116117118120740126148156186254256287328329[[#This Row],[Coste Componente]]*Tabla1103453454455456479116117118120740126148156186254256287328329[[#This Row],[Unidades]]</f>
        <v>28.515670780000001</v>
      </c>
    </row>
    <row r="213" spans="2:13" s="40" customFormat="1" x14ac:dyDescent="0.25">
      <c r="B213" s="16"/>
      <c r="C213" s="17"/>
      <c r="D213" s="17"/>
      <c r="E213" s="17"/>
      <c r="F213" s="17"/>
      <c r="G213" s="18"/>
      <c r="H213" s="18">
        <f>SUBTOTAL(109,Tabla1103453454455456479116117118120740126148156186254256287328329[Coste LÃ­nea])</f>
        <v>3583.3844511500006</v>
      </c>
    </row>
    <row r="214" spans="2:13" s="40" customFormat="1" x14ac:dyDescent="0.25">
      <c r="M214" s="406" t="s">
        <v>1383</v>
      </c>
    </row>
    <row r="215" spans="2:13" s="40" customFormat="1" x14ac:dyDescent="0.25">
      <c r="B215" s="1" t="s">
        <v>1372</v>
      </c>
      <c r="C215" s="2"/>
      <c r="D215" s="2"/>
      <c r="E215" s="3"/>
      <c r="F215" s="3"/>
      <c r="G215" s="3"/>
      <c r="H215" s="3"/>
      <c r="J215" s="399" t="s">
        <v>0</v>
      </c>
      <c r="K215" s="399"/>
      <c r="M215" s="384"/>
    </row>
    <row r="216" spans="2:13" s="40" customFormat="1" x14ac:dyDescent="0.25">
      <c r="B216" s="16" t="s">
        <v>857</v>
      </c>
      <c r="C216" s="17" t="s">
        <v>895</v>
      </c>
      <c r="D216" s="17" t="s">
        <v>892</v>
      </c>
      <c r="E216" s="17" t="s">
        <v>893</v>
      </c>
      <c r="F216" s="17" t="s">
        <v>894</v>
      </c>
      <c r="G216" s="76" t="s">
        <v>901</v>
      </c>
      <c r="H216" s="76" t="s">
        <v>902</v>
      </c>
      <c r="I216" s="4"/>
      <c r="J216" s="8" t="s">
        <v>6</v>
      </c>
      <c r="K216" s="9">
        <f>SUM(Tabla1103453454455456479116117118120740126148156186254256287328330[Coste LÃ­nea])</f>
        <v>14210.532000000001</v>
      </c>
      <c r="M216" s="384"/>
    </row>
    <row r="217" spans="2:13" s="40" customFormat="1" x14ac:dyDescent="0.25">
      <c r="B217" s="10" t="s">
        <v>633</v>
      </c>
      <c r="C217" s="11" t="s">
        <v>67</v>
      </c>
      <c r="D217" s="12">
        <v>500</v>
      </c>
      <c r="E217" s="12">
        <v>5</v>
      </c>
      <c r="F217" s="12">
        <v>526.31600000000003</v>
      </c>
      <c r="G217" s="337">
        <f>+VLOOKUP(Tabla1103453454455456479116117118120740126148156186254256287328330[[#This Row],[ArtÃ­culo]],Tabla34[#All],3,0)</f>
        <v>27</v>
      </c>
      <c r="H217" s="338">
        <f>+Tabla1103453454455456479116117118120740126148156186254256287328330[[#This Row],[Coste Componente]]*Tabla1103453454455456479116117118120740126148156186254256287328330[[#This Row],[Unidades]]</f>
        <v>14210.532000000001</v>
      </c>
      <c r="I217" s="4"/>
      <c r="J217" s="8" t="s">
        <v>12</v>
      </c>
      <c r="K217" s="15">
        <f>+K216*5%</f>
        <v>710.52660000000014</v>
      </c>
    </row>
    <row r="218" spans="2:13" s="40" customFormat="1" x14ac:dyDescent="0.25">
      <c r="B218" s="16"/>
      <c r="C218" s="17"/>
      <c r="D218" s="17"/>
      <c r="E218" s="17"/>
      <c r="F218" s="17"/>
      <c r="G218" s="18"/>
      <c r="H218" s="18">
        <f>SUBTOTAL(109,Tabla1103453454455456479116117118120740126148156186254256287328330[Coste LÃ­nea])</f>
        <v>14210.532000000001</v>
      </c>
      <c r="I218" s="4"/>
      <c r="J218" s="8" t="s">
        <v>13</v>
      </c>
      <c r="K218" s="15">
        <f>+K216+K217</f>
        <v>14921.0586</v>
      </c>
      <c r="M218" s="406" t="s">
        <v>1377</v>
      </c>
    </row>
    <row r="219" spans="2:13" s="40" customFormat="1" x14ac:dyDescent="0.25">
      <c r="J219" s="20" t="s">
        <v>1313</v>
      </c>
      <c r="K219" s="328">
        <v>120</v>
      </c>
      <c r="M219" s="384"/>
    </row>
    <row r="220" spans="2:13" s="40" customFormat="1" x14ac:dyDescent="0.25">
      <c r="J220" s="8" t="s">
        <v>15</v>
      </c>
      <c r="K220" s="15">
        <f>+K218/K219</f>
        <v>124.34215500000001</v>
      </c>
    </row>
    <row r="222" spans="2:13" s="40" customFormat="1" x14ac:dyDescent="0.25">
      <c r="B222" s="1" t="s">
        <v>152</v>
      </c>
      <c r="C222" s="2"/>
      <c r="D222" s="2"/>
      <c r="E222" s="3"/>
      <c r="F222" s="3"/>
      <c r="G222" s="3"/>
      <c r="H222" s="3"/>
      <c r="J222" s="399" t="s">
        <v>0</v>
      </c>
      <c r="K222" s="399"/>
      <c r="M222" s="406" t="s">
        <v>1383</v>
      </c>
    </row>
    <row r="223" spans="2:13" s="40" customFormat="1" x14ac:dyDescent="0.25">
      <c r="B223" s="16" t="s">
        <v>857</v>
      </c>
      <c r="C223" s="17" t="s">
        <v>895</v>
      </c>
      <c r="D223" s="17" t="s">
        <v>892</v>
      </c>
      <c r="E223" s="17" t="s">
        <v>893</v>
      </c>
      <c r="F223" s="17" t="s">
        <v>894</v>
      </c>
      <c r="G223" s="76" t="s">
        <v>901</v>
      </c>
      <c r="H223" s="76" t="s">
        <v>902</v>
      </c>
      <c r="J223" s="8" t="s">
        <v>6</v>
      </c>
      <c r="K223" s="9">
        <f>SUM(Tabla1103453454455456479116117118120740126148156186254256287328332[Coste LÃ­nea])</f>
        <v>18478.78062863</v>
      </c>
      <c r="M223" s="384"/>
    </row>
    <row r="224" spans="2:13" s="40" customFormat="1" x14ac:dyDescent="0.25">
      <c r="B224" s="10" t="s">
        <v>107</v>
      </c>
      <c r="C224" s="11" t="s">
        <v>67</v>
      </c>
      <c r="D224" s="12">
        <v>400</v>
      </c>
      <c r="E224" s="12">
        <v>0</v>
      </c>
      <c r="F224" s="12">
        <v>400</v>
      </c>
      <c r="G224" s="337">
        <f>+VLOOKUP(Tabla1103453454455456479116117118120740126148156186254256287328332[[#This Row],[ArtÃ­culo]],Tabla34[#All],3,0)</f>
        <v>19.747499999999999</v>
      </c>
      <c r="H224" s="338">
        <f>+Tabla1103453454455456479116117118120740126148156186254256287328332[[#This Row],[Coste Componente]]*Tabla1103453454455456479116117118120740126148156186254256287328332[[#This Row],[Unidades]]</f>
        <v>7898.9999999999991</v>
      </c>
      <c r="J224" s="8" t="s">
        <v>12</v>
      </c>
      <c r="K224" s="15">
        <f>+K223*5%</f>
        <v>923.9390314315001</v>
      </c>
      <c r="M224" s="384"/>
    </row>
    <row r="225" spans="2:13" s="40" customFormat="1" x14ac:dyDescent="0.25">
      <c r="B225" s="10" t="s">
        <v>819</v>
      </c>
      <c r="C225" s="11" t="s">
        <v>67</v>
      </c>
      <c r="D225" s="12">
        <v>280</v>
      </c>
      <c r="E225" s="12">
        <v>0</v>
      </c>
      <c r="F225" s="12">
        <v>280</v>
      </c>
      <c r="G225" s="337">
        <f>+VLOOKUP(Tabla1103453454455456479116117118120740126148156186254256287328332[[#This Row],[ArtÃ­culo]],Tabla34[#All],3,0)</f>
        <v>21.363943110000001</v>
      </c>
      <c r="H225" s="338">
        <f>+Tabla1103453454455456479116117118120740126148156186254256287328332[[#This Row],[Coste Componente]]*Tabla1103453454455456479116117118120740126148156186254256287328332[[#This Row],[Unidades]]</f>
        <v>5981.9040708000002</v>
      </c>
      <c r="J225" s="8" t="s">
        <v>13</v>
      </c>
      <c r="K225" s="15">
        <f>+K223+K224</f>
        <v>19402.719660061499</v>
      </c>
    </row>
    <row r="226" spans="2:13" s="40" customFormat="1" x14ac:dyDescent="0.25">
      <c r="B226" s="10" t="s">
        <v>207</v>
      </c>
      <c r="C226" s="11" t="s">
        <v>67</v>
      </c>
      <c r="D226" s="12">
        <v>150</v>
      </c>
      <c r="E226" s="12">
        <v>0</v>
      </c>
      <c r="F226" s="12">
        <v>150</v>
      </c>
      <c r="G226" s="337">
        <f>+VLOOKUP(Tabla1103453454455456479116117118120740126148156186254256287328332[[#This Row],[ArtÃ­culo]],Tabla34[#All],3,0)</f>
        <v>12.17853483</v>
      </c>
      <c r="H226" s="338">
        <f>+Tabla1103453454455456479116117118120740126148156186254256287328332[[#This Row],[Coste Componente]]*Tabla1103453454455456479116117118120740126148156186254256287328332[[#This Row],[Unidades]]</f>
        <v>1826.7802245</v>
      </c>
      <c r="J226" s="20" t="s">
        <v>1313</v>
      </c>
      <c r="K226" s="328">
        <v>895</v>
      </c>
      <c r="M226" s="406" t="s">
        <v>1377</v>
      </c>
    </row>
    <row r="227" spans="2:13" s="40" customFormat="1" x14ac:dyDescent="0.25">
      <c r="B227" s="10" t="s">
        <v>835</v>
      </c>
      <c r="C227" s="11" t="s">
        <v>67</v>
      </c>
      <c r="D227" s="12">
        <v>30</v>
      </c>
      <c r="E227" s="12">
        <v>78</v>
      </c>
      <c r="F227" s="12">
        <v>136.364</v>
      </c>
      <c r="G227" s="337">
        <f>+VLOOKUP(Tabla1103453454455456479116117118120740126148156186254256287328332[[#This Row],[ArtÃ­culo]],Tabla34[#All],3,0)</f>
        <v>4.5</v>
      </c>
      <c r="H227" s="338">
        <f>+Tabla1103453454455456479116117118120740126148156186254256287328332[[#This Row],[Coste Componente]]*Tabla1103453454455456479116117118120740126148156186254256287328332[[#This Row],[Unidades]]</f>
        <v>613.63800000000003</v>
      </c>
      <c r="J227" s="8" t="s">
        <v>15</v>
      </c>
      <c r="K227" s="15">
        <f>+K225/K226</f>
        <v>21.67901637995698</v>
      </c>
      <c r="M227" s="384"/>
    </row>
    <row r="228" spans="2:13" s="40" customFormat="1" x14ac:dyDescent="0.25">
      <c r="B228" s="10" t="s">
        <v>960</v>
      </c>
      <c r="C228" s="11" t="s">
        <v>67</v>
      </c>
      <c r="D228" s="12">
        <v>5</v>
      </c>
      <c r="E228" s="12">
        <v>0</v>
      </c>
      <c r="F228" s="12">
        <v>5</v>
      </c>
      <c r="G228" s="337">
        <f>+VLOOKUP(Tabla1103453454455456479116117118120740126148156186254256287328332[[#This Row],[ArtÃ­culo]],Tabla34[#All],3,0)</f>
        <v>47.6</v>
      </c>
      <c r="H228" s="338">
        <f>+Tabla1103453454455456479116117118120740126148156186254256287328332[[#This Row],[Coste Componente]]*Tabla1103453454455456479116117118120740126148156186254256287328332[[#This Row],[Unidades]]</f>
        <v>238</v>
      </c>
      <c r="I228" s="4"/>
    </row>
    <row r="229" spans="2:13" s="40" customFormat="1" x14ac:dyDescent="0.25">
      <c r="B229" s="10" t="s">
        <v>961</v>
      </c>
      <c r="C229" s="11" t="s">
        <v>605</v>
      </c>
      <c r="D229" s="12">
        <v>1</v>
      </c>
      <c r="E229" s="12">
        <v>0</v>
      </c>
      <c r="F229" s="12">
        <v>1</v>
      </c>
      <c r="G229" s="337">
        <f>+VLOOKUP(Tabla1103453454455456479116117118120740126148156186254256287328332[[#This Row],[ArtÃ­culo]],Tabla34[#All],3,0)</f>
        <v>1919.45833333</v>
      </c>
      <c r="H229" s="338">
        <f>+Tabla1103453454455456479116117118120740126148156186254256287328332[[#This Row],[Coste Componente]]*Tabla1103453454455456479116117118120740126148156186254256287328332[[#This Row],[Unidades]]</f>
        <v>1919.45833333</v>
      </c>
      <c r="I229" s="4"/>
    </row>
    <row r="230" spans="2:13" s="40" customFormat="1" x14ac:dyDescent="0.25">
      <c r="B230" s="16"/>
      <c r="C230" s="17"/>
      <c r="D230" s="17"/>
      <c r="E230" s="17"/>
      <c r="F230" s="17"/>
      <c r="G230" s="18"/>
      <c r="H230" s="18">
        <f>SUBTOTAL(109,Tabla1103453454455456479116117118120740126148156186254256287328332[Coste LÃ­nea])</f>
        <v>18478.78062863</v>
      </c>
    </row>
    <row r="234" spans="2:13" s="40" customFormat="1" x14ac:dyDescent="0.25">
      <c r="B234" s="1" t="s">
        <v>1083</v>
      </c>
      <c r="C234" s="2"/>
      <c r="D234" s="2"/>
      <c r="E234" s="3"/>
      <c r="F234" s="3"/>
      <c r="G234" s="3"/>
      <c r="H234" s="3"/>
      <c r="J234" s="399" t="s">
        <v>0</v>
      </c>
      <c r="K234" s="399"/>
      <c r="M234" s="406" t="s">
        <v>1383</v>
      </c>
    </row>
    <row r="235" spans="2:13" s="40" customFormat="1" x14ac:dyDescent="0.25">
      <c r="B235" s="16" t="s">
        <v>857</v>
      </c>
      <c r="C235" s="17" t="s">
        <v>895</v>
      </c>
      <c r="D235" s="17" t="s">
        <v>892</v>
      </c>
      <c r="E235" s="17" t="s">
        <v>893</v>
      </c>
      <c r="F235" s="17" t="s">
        <v>894</v>
      </c>
      <c r="G235" s="76" t="s">
        <v>901</v>
      </c>
      <c r="H235" s="76" t="s">
        <v>902</v>
      </c>
      <c r="J235" s="8" t="s">
        <v>6</v>
      </c>
      <c r="K235" s="9">
        <f>SUM(Tabla1103453454455456479116117118120740126148156186254256287328334[Coste LÃ­nea])</f>
        <v>24754.11092069</v>
      </c>
      <c r="M235" s="384"/>
    </row>
    <row r="236" spans="2:13" s="40" customFormat="1" x14ac:dyDescent="0.25">
      <c r="B236" s="10" t="s">
        <v>107</v>
      </c>
      <c r="C236" s="11" t="s">
        <v>67</v>
      </c>
      <c r="D236" s="12">
        <v>440</v>
      </c>
      <c r="E236" s="12">
        <v>0</v>
      </c>
      <c r="F236" s="12">
        <v>440</v>
      </c>
      <c r="G236" s="337">
        <f>+VLOOKUP(Tabla1103453454455456479116117118120740126148156186254256287328334[[#This Row],[ArtÃ­culo]],Tabla34[#All],3,0)</f>
        <v>19.747499999999999</v>
      </c>
      <c r="H236" s="338">
        <f>+Tabla1103453454455456479116117118120740126148156186254256287328334[[#This Row],[Coste Componente]]*Tabla1103453454455456479116117118120740126148156186254256287328334[[#This Row],[Unidades]]</f>
        <v>8688.9</v>
      </c>
      <c r="J236" s="8" t="s">
        <v>12</v>
      </c>
      <c r="K236" s="15">
        <f>+K235*5%</f>
        <v>1237.7055460345</v>
      </c>
      <c r="M236" s="384"/>
    </row>
    <row r="237" spans="2:13" s="40" customFormat="1" x14ac:dyDescent="0.25">
      <c r="B237" s="10" t="s">
        <v>1370</v>
      </c>
      <c r="C237" s="11" t="s">
        <v>67</v>
      </c>
      <c r="D237" s="12">
        <v>18</v>
      </c>
      <c r="E237" s="12">
        <v>0</v>
      </c>
      <c r="F237" s="12">
        <v>18</v>
      </c>
      <c r="G237" s="337">
        <f>+VLOOKUP(Tabla1103453454455456479116117118120740126148156186254256287328334[[#This Row],[ArtÃ­culo]],Tabla34[#All],3,0)</f>
        <v>4.8041983300000002</v>
      </c>
      <c r="H237" s="338">
        <f>+Tabla1103453454455456479116117118120740126148156186254256287328334[[#This Row],[Coste Componente]]*Tabla1103453454455456479116117118120740126148156186254256287328334[[#This Row],[Unidades]]</f>
        <v>86.47556994</v>
      </c>
      <c r="J237" s="8" t="s">
        <v>13</v>
      </c>
      <c r="K237" s="15">
        <f>+K235+K236</f>
        <v>25991.8164667245</v>
      </c>
    </row>
    <row r="238" spans="2:13" s="40" customFormat="1" x14ac:dyDescent="0.25">
      <c r="B238" s="10" t="s">
        <v>85</v>
      </c>
      <c r="C238" s="11" t="s">
        <v>67</v>
      </c>
      <c r="D238" s="12">
        <v>95</v>
      </c>
      <c r="E238" s="12">
        <v>0</v>
      </c>
      <c r="F238" s="12">
        <v>95</v>
      </c>
      <c r="G238" s="337">
        <f>+VLOOKUP(Tabla1103453454455456479116117118120740126148156186254256287328334[[#This Row],[ArtÃ­culo]],Tabla34[#All],3,0)</f>
        <v>4.8816666700000004</v>
      </c>
      <c r="H238" s="338">
        <f>+Tabla1103453454455456479116117118120740126148156186254256287328334[[#This Row],[Coste Componente]]*Tabla1103453454455456479116117118120740126148156186254256287328334[[#This Row],[Unidades]]</f>
        <v>463.75833365000005</v>
      </c>
      <c r="J238" s="20" t="s">
        <v>1313</v>
      </c>
      <c r="K238" s="328">
        <v>8</v>
      </c>
      <c r="M238" s="406" t="s">
        <v>1377</v>
      </c>
    </row>
    <row r="239" spans="2:13" s="40" customFormat="1" x14ac:dyDescent="0.25">
      <c r="B239" s="10" t="s">
        <v>819</v>
      </c>
      <c r="C239" s="11" t="s">
        <v>67</v>
      </c>
      <c r="D239" s="12">
        <v>2</v>
      </c>
      <c r="E239" s="12">
        <v>0</v>
      </c>
      <c r="F239" s="12">
        <v>2</v>
      </c>
      <c r="G239" s="337">
        <f>+VLOOKUP(Tabla1103453454455456479116117118120740126148156186254256287328334[[#This Row],[ArtÃ­culo]],Tabla34[#All],3,0)</f>
        <v>21.363943110000001</v>
      </c>
      <c r="H239" s="338">
        <f>+Tabla1103453454455456479116117118120740126148156186254256287328334[[#This Row],[Coste Componente]]*Tabla1103453454455456479116117118120740126148156186254256287328334[[#This Row],[Unidades]]</f>
        <v>42.727886220000002</v>
      </c>
      <c r="J239" s="8" t="s">
        <v>15</v>
      </c>
      <c r="K239" s="15">
        <f>+K237/K238</f>
        <v>3248.9770583405625</v>
      </c>
      <c r="M239" s="384"/>
    </row>
    <row r="240" spans="2:13" s="40" customFormat="1" x14ac:dyDescent="0.25">
      <c r="B240" s="10" t="s">
        <v>1194</v>
      </c>
      <c r="C240" s="11" t="s">
        <v>847</v>
      </c>
      <c r="D240" s="12">
        <v>4</v>
      </c>
      <c r="E240" s="12">
        <v>0</v>
      </c>
      <c r="F240" s="12">
        <v>4</v>
      </c>
      <c r="G240" s="337">
        <f>+VLOOKUP(Tabla1103453454455456479116117118120740126148156186254256287328334[[#This Row],[ArtÃ­culo]],Tabla34[#All],3,0)</f>
        <v>726.66666667000004</v>
      </c>
      <c r="H240" s="338">
        <f>+Tabla1103453454455456479116117118120740126148156186254256287328334[[#This Row],[Coste Componente]]*Tabla1103453454455456479116117118120740126148156186254256287328334[[#This Row],[Unidades]]</f>
        <v>2906.6666666800002</v>
      </c>
      <c r="I240" s="4"/>
    </row>
    <row r="241" spans="2:13" s="40" customFormat="1" x14ac:dyDescent="0.25">
      <c r="B241" s="10" t="s">
        <v>99</v>
      </c>
      <c r="C241" s="11" t="s">
        <v>67</v>
      </c>
      <c r="D241" s="12">
        <v>180</v>
      </c>
      <c r="E241" s="12">
        <v>0</v>
      </c>
      <c r="F241" s="12">
        <v>180</v>
      </c>
      <c r="G241" s="337">
        <f>+VLOOKUP(Tabla1103453454455456479116117118120740126148156186254256287328334[[#This Row],[ArtÃ­culo]],Tabla34[#All],3,0)</f>
        <v>49.977947020000002</v>
      </c>
      <c r="H241" s="338">
        <f>+Tabla1103453454455456479116117118120740126148156186254256287328334[[#This Row],[Coste Componente]]*Tabla1103453454455456479116117118120740126148156186254256287328334[[#This Row],[Unidades]]</f>
        <v>8996.0304636000001</v>
      </c>
      <c r="I241" s="4"/>
    </row>
    <row r="242" spans="2:13" s="40" customFormat="1" x14ac:dyDescent="0.25">
      <c r="B242" s="10" t="s">
        <v>106</v>
      </c>
      <c r="C242" s="11" t="s">
        <v>67</v>
      </c>
      <c r="D242" s="12">
        <v>180</v>
      </c>
      <c r="E242" s="12">
        <v>0</v>
      </c>
      <c r="F242" s="12">
        <v>180</v>
      </c>
      <c r="G242" s="337">
        <f>+VLOOKUP(Tabla1103453454455456479116117118120740126148156186254256287328334[[#This Row],[ArtÃ­culo]],Tabla34[#All],3,0)</f>
        <v>19.804166670000001</v>
      </c>
      <c r="H242" s="338">
        <f>+Tabla1103453454455456479116117118120740126148156186254256287328334[[#This Row],[Coste Componente]]*Tabla1103453454455456479116117118120740126148156186254256287328334[[#This Row],[Unidades]]</f>
        <v>3564.7500006</v>
      </c>
      <c r="I242" s="4"/>
    </row>
    <row r="243" spans="2:13" s="40" customFormat="1" x14ac:dyDescent="0.25">
      <c r="B243" s="10" t="s">
        <v>89</v>
      </c>
      <c r="C243" s="11" t="s">
        <v>67</v>
      </c>
      <c r="D243" s="12">
        <v>2</v>
      </c>
      <c r="E243" s="12">
        <v>0</v>
      </c>
      <c r="F243" s="12">
        <v>2</v>
      </c>
      <c r="G243" s="337">
        <f>+VLOOKUP(Tabla1103453454455456479116117118120740126148156186254256287328334[[#This Row],[ArtÃ­culo]],Tabla34[#All],3,0)</f>
        <v>2.4009999999999998</v>
      </c>
      <c r="H243" s="338">
        <f>+Tabla1103453454455456479116117118120740126148156186254256287328334[[#This Row],[Coste Componente]]*Tabla1103453454455456479116117118120740126148156186254256287328334[[#This Row],[Unidades]]</f>
        <v>4.8019999999999996</v>
      </c>
      <c r="I243" s="4"/>
    </row>
    <row r="244" spans="2:13" s="40" customFormat="1" x14ac:dyDescent="0.25">
      <c r="B244" s="16"/>
      <c r="C244" s="17"/>
      <c r="D244" s="17"/>
      <c r="E244" s="17"/>
      <c r="F244" s="17"/>
      <c r="G244" s="18"/>
      <c r="H244" s="18">
        <f>SUBTOTAL(109,Tabla1103453454455456479116117118120740126148156186254256287328334[Coste LÃ­nea])</f>
        <v>24754.11092069</v>
      </c>
    </row>
    <row r="246" spans="2:13" s="40" customFormat="1" x14ac:dyDescent="0.25">
      <c r="B246" s="1" t="s">
        <v>315</v>
      </c>
      <c r="C246" s="2"/>
      <c r="D246" s="2"/>
      <c r="E246" s="3"/>
      <c r="F246" s="3"/>
      <c r="G246" s="3"/>
      <c r="H246" s="3"/>
      <c r="J246" s="399" t="s">
        <v>0</v>
      </c>
      <c r="K246" s="399"/>
      <c r="M246" s="406" t="s">
        <v>1383</v>
      </c>
    </row>
    <row r="247" spans="2:13" s="40" customFormat="1" x14ac:dyDescent="0.25">
      <c r="B247" s="16" t="s">
        <v>857</v>
      </c>
      <c r="C247" s="17" t="s">
        <v>895</v>
      </c>
      <c r="D247" s="17" t="s">
        <v>892</v>
      </c>
      <c r="E247" s="17" t="s">
        <v>893</v>
      </c>
      <c r="F247" s="17" t="s">
        <v>894</v>
      </c>
      <c r="G247" s="76" t="s">
        <v>901</v>
      </c>
      <c r="H247" s="76" t="s">
        <v>902</v>
      </c>
      <c r="J247" s="8" t="s">
        <v>6</v>
      </c>
      <c r="K247" s="9">
        <f>SUM(Tabla1103453454455456479116117118120740126148156186254256287328336[Coste LÃ­nea])</f>
        <v>379925.54247079999</v>
      </c>
      <c r="M247" s="384"/>
    </row>
    <row r="248" spans="2:13" s="40" customFormat="1" x14ac:dyDescent="0.25">
      <c r="B248" s="10" t="s">
        <v>89</v>
      </c>
      <c r="C248" s="11" t="s">
        <v>67</v>
      </c>
      <c r="D248" s="12">
        <v>1000</v>
      </c>
      <c r="E248" s="12">
        <v>0</v>
      </c>
      <c r="F248" s="12">
        <v>1000</v>
      </c>
      <c r="G248" s="337">
        <f>+VLOOKUP(Tabla1103453454455456479116117118120740126148156186254256287328336[[#This Row],[ArtÃ­culo]],Tabla34[#All],3,0)</f>
        <v>2.4009999999999998</v>
      </c>
      <c r="H248" s="338">
        <f>+Tabla1103453454455456479116117118120740126148156186254256287328336[[#This Row],[Coste Componente]]*Tabla1103453454455456479116117118120740126148156186254256287328336[[#This Row],[Unidades]]</f>
        <v>2401</v>
      </c>
      <c r="J248" s="8" t="s">
        <v>12</v>
      </c>
      <c r="K248" s="15">
        <f>+K247*5%</f>
        <v>18996.27712354</v>
      </c>
      <c r="M248" s="384"/>
    </row>
    <row r="249" spans="2:13" s="40" customFormat="1" x14ac:dyDescent="0.25">
      <c r="B249" s="10" t="s">
        <v>634</v>
      </c>
      <c r="C249" s="11" t="s">
        <v>67</v>
      </c>
      <c r="D249" s="12">
        <v>200</v>
      </c>
      <c r="E249" s="12">
        <v>0</v>
      </c>
      <c r="F249" s="12">
        <v>200</v>
      </c>
      <c r="G249" s="337">
        <f>+VLOOKUP(Tabla1103453454455456479116117118120740126148156186254256287328336[[#This Row],[ArtÃ­culo]],Tabla34[#All],3,0)</f>
        <v>8.9250000000000007</v>
      </c>
      <c r="H249" s="338">
        <f>+Tabla1103453454455456479116117118120740126148156186254256287328336[[#This Row],[Coste Componente]]*Tabla1103453454455456479116117118120740126148156186254256287328336[[#This Row],[Unidades]]</f>
        <v>1785.0000000000002</v>
      </c>
      <c r="J249" s="8" t="s">
        <v>13</v>
      </c>
      <c r="K249" s="15">
        <f>+K247+K248</f>
        <v>398921.81959433999</v>
      </c>
    </row>
    <row r="250" spans="2:13" s="40" customFormat="1" x14ac:dyDescent="0.25">
      <c r="B250" s="10" t="s">
        <v>145</v>
      </c>
      <c r="C250" s="11" t="s">
        <v>67</v>
      </c>
      <c r="D250" s="12">
        <v>200</v>
      </c>
      <c r="E250" s="12">
        <v>0</v>
      </c>
      <c r="F250" s="12">
        <v>200</v>
      </c>
      <c r="G250" s="337">
        <f>+VLOOKUP(Tabla1103453454455456479116117118120740126148156186254256287328336[[#This Row],[ArtÃ­culo]],Tabla34[#All],3,0)</f>
        <v>40.425119780000003</v>
      </c>
      <c r="H250" s="338">
        <f>+Tabla1103453454455456479116117118120740126148156186254256287328336[[#This Row],[Coste Componente]]*Tabla1103453454455456479116117118120740126148156186254256287328336[[#This Row],[Unidades]]</f>
        <v>8085.0239560000009</v>
      </c>
      <c r="J250" s="20" t="s">
        <v>1313</v>
      </c>
      <c r="K250" s="328">
        <v>42</v>
      </c>
      <c r="M250" s="406" t="s">
        <v>1377</v>
      </c>
    </row>
    <row r="251" spans="2:13" s="40" customFormat="1" x14ac:dyDescent="0.25">
      <c r="B251" s="10" t="s">
        <v>199</v>
      </c>
      <c r="C251" s="11" t="s">
        <v>67</v>
      </c>
      <c r="D251" s="12">
        <v>5</v>
      </c>
      <c r="E251" s="12">
        <v>0</v>
      </c>
      <c r="F251" s="12">
        <v>5</v>
      </c>
      <c r="G251" s="337">
        <f>+VLOOKUP(Tabla1103453454455456479116117118120740126148156186254256287328336[[#This Row],[ArtÃ­culo]],Tabla34[#All],3,0)</f>
        <v>60.010800000000003</v>
      </c>
      <c r="H251" s="338">
        <f>+Tabla1103453454455456479116117118120740126148156186254256287328336[[#This Row],[Coste Componente]]*Tabla1103453454455456479116117118120740126148156186254256287328336[[#This Row],[Unidades]]</f>
        <v>300.05400000000003</v>
      </c>
      <c r="J251" s="8" t="s">
        <v>15</v>
      </c>
      <c r="K251" s="15">
        <f>+K249/K250</f>
        <v>9498.1385617699998</v>
      </c>
      <c r="M251" s="384"/>
    </row>
    <row r="252" spans="2:13" s="40" customFormat="1" x14ac:dyDescent="0.25">
      <c r="B252" s="10" t="s">
        <v>138</v>
      </c>
      <c r="C252" s="11" t="s">
        <v>67</v>
      </c>
      <c r="D252" s="12">
        <v>100</v>
      </c>
      <c r="E252" s="12">
        <v>0</v>
      </c>
      <c r="F252" s="12">
        <v>100</v>
      </c>
      <c r="G252" s="337">
        <f>+VLOOKUP(Tabla1103453454455456479116117118120740126148156186254256287328336[[#This Row],[ArtÃ­culo]],Tabla34[#All],3,0)</f>
        <v>14.714642169999999</v>
      </c>
      <c r="H252" s="338">
        <f>+Tabla1103453454455456479116117118120740126148156186254256287328336[[#This Row],[Coste Componente]]*Tabla1103453454455456479116117118120740126148156186254256287328336[[#This Row],[Unidades]]</f>
        <v>1471.464217</v>
      </c>
      <c r="I252" s="4"/>
    </row>
    <row r="253" spans="2:13" s="40" customFormat="1" x14ac:dyDescent="0.25">
      <c r="B253" s="10" t="s">
        <v>37</v>
      </c>
      <c r="C253" s="11" t="s">
        <v>67</v>
      </c>
      <c r="D253" s="12">
        <v>20</v>
      </c>
      <c r="E253" s="12">
        <v>0</v>
      </c>
      <c r="F253" s="12">
        <v>20</v>
      </c>
      <c r="G253" s="337">
        <f>+VLOOKUP(Tabla1103453454455456479116117118120740126148156186254256287328336[[#This Row],[ArtÃ­culo]],Tabla34[#All],3,0)</f>
        <v>14.25783539</v>
      </c>
      <c r="H253" s="338">
        <f>+Tabla1103453454455456479116117118120740126148156186254256287328336[[#This Row],[Coste Componente]]*Tabla1103453454455456479116117118120740126148156186254256287328336[[#This Row],[Unidades]]</f>
        <v>285.15670779999999</v>
      </c>
      <c r="I253" s="4"/>
    </row>
    <row r="254" spans="2:13" s="40" customFormat="1" x14ac:dyDescent="0.25">
      <c r="B254" s="10" t="s">
        <v>621</v>
      </c>
      <c r="C254" s="11" t="s">
        <v>847</v>
      </c>
      <c r="D254" s="12">
        <v>42</v>
      </c>
      <c r="E254" s="12">
        <v>0</v>
      </c>
      <c r="F254" s="12">
        <v>42</v>
      </c>
      <c r="G254" s="337">
        <f>+VLOOKUP(Tabla1103453454455456479116117118120740126148156186254256287328336[[#This Row],[ArtÃ­culo]],Tabla34[#All],3,0)</f>
        <v>8692.5</v>
      </c>
      <c r="H254" s="338">
        <f>+Tabla1103453454455456479116117118120740126148156186254256287328336[[#This Row],[Coste Componente]]*Tabla1103453454455456479116117118120740126148156186254256287328336[[#This Row],[Unidades]]</f>
        <v>365085</v>
      </c>
      <c r="I254" s="4"/>
      <c r="M254" s="50"/>
    </row>
    <row r="255" spans="2:13" s="40" customFormat="1" x14ac:dyDescent="0.25">
      <c r="B255" s="10" t="s">
        <v>219</v>
      </c>
      <c r="C255" s="11" t="s">
        <v>67</v>
      </c>
      <c r="D255" s="12">
        <v>10</v>
      </c>
      <c r="E255" s="12">
        <v>40</v>
      </c>
      <c r="F255" s="12">
        <v>16.667000000000002</v>
      </c>
      <c r="G255" s="337">
        <f>+VLOOKUP(Tabla1103453454455456479116117118120740126148156186254256287328336[[#This Row],[ArtÃ­culo]],Tabla34[#All],3,0)</f>
        <v>30.77</v>
      </c>
      <c r="H255" s="338">
        <f>+Tabla1103453454455456479116117118120740126148156186254256287328336[[#This Row],[Coste Componente]]*Tabla1103453454455456479116117118120740126148156186254256287328336[[#This Row],[Unidades]]</f>
        <v>512.84359000000006</v>
      </c>
    </row>
    <row r="256" spans="2:13" s="40" customFormat="1" x14ac:dyDescent="0.25">
      <c r="B256" s="16"/>
      <c r="C256" s="17"/>
      <c r="D256" s="17"/>
      <c r="E256" s="17"/>
      <c r="F256" s="17"/>
      <c r="G256" s="18"/>
      <c r="H256" s="18">
        <f>SUBTOTAL(109,Tabla1103453454455456479116117118120740126148156186254256287328336[Coste LÃ­nea])</f>
        <v>379925.54247079999</v>
      </c>
    </row>
    <row r="257" spans="2:13" s="50" customFormat="1" x14ac:dyDescent="0.25">
      <c r="B257" s="32"/>
      <c r="C257" s="33"/>
      <c r="D257" s="33"/>
      <c r="E257" s="33"/>
      <c r="F257" s="33"/>
      <c r="G257" s="34"/>
      <c r="H257" s="34"/>
      <c r="M257" s="40"/>
    </row>
    <row r="258" spans="2:13" s="40" customFormat="1" x14ac:dyDescent="0.25">
      <c r="B258" s="1" t="s">
        <v>122</v>
      </c>
      <c r="C258" s="2"/>
      <c r="D258" s="2"/>
      <c r="E258" s="3"/>
      <c r="F258" s="3"/>
      <c r="G258" s="3"/>
      <c r="H258" s="3"/>
      <c r="J258" s="399" t="s">
        <v>0</v>
      </c>
      <c r="K258" s="399"/>
      <c r="M258" s="406" t="s">
        <v>1383</v>
      </c>
    </row>
    <row r="259" spans="2:13" s="40" customFormat="1" x14ac:dyDescent="0.25">
      <c r="B259" s="16" t="s">
        <v>857</v>
      </c>
      <c r="C259" s="17" t="s">
        <v>895</v>
      </c>
      <c r="D259" s="17" t="s">
        <v>892</v>
      </c>
      <c r="E259" s="17" t="s">
        <v>893</v>
      </c>
      <c r="F259" s="17" t="s">
        <v>894</v>
      </c>
      <c r="G259" s="76" t="s">
        <v>901</v>
      </c>
      <c r="H259" s="76" t="s">
        <v>902</v>
      </c>
      <c r="J259" s="8" t="s">
        <v>6</v>
      </c>
      <c r="K259" s="9">
        <f>SUM(Tabla1103453454455456479116117118120740126148156186254256287328338[Coste LÃ­nea])</f>
        <v>16454.0251876</v>
      </c>
      <c r="M259" s="384"/>
    </row>
    <row r="260" spans="2:13" s="40" customFormat="1" x14ac:dyDescent="0.25">
      <c r="B260" s="10" t="s">
        <v>817</v>
      </c>
      <c r="C260" s="11" t="s">
        <v>67</v>
      </c>
      <c r="D260" s="12">
        <v>1000</v>
      </c>
      <c r="E260" s="12">
        <v>25</v>
      </c>
      <c r="F260" s="12">
        <v>1333.3330000000001</v>
      </c>
      <c r="G260" s="337">
        <f>+VLOOKUP(Tabla1103453454455456479116117118120740126148156186254256287328338[[#This Row],[ArtÃ­culo]],Tabla34[#All],3,0)</f>
        <v>6</v>
      </c>
      <c r="H260" s="338">
        <f>+Tabla1103453454455456479116117118120740126148156186254256287328338[[#This Row],[Coste Componente]]*Tabla1103453454455456479116117118120740126148156186254256287328338[[#This Row],[Unidades]]</f>
        <v>7999.9980000000005</v>
      </c>
      <c r="J260" s="8" t="s">
        <v>12</v>
      </c>
      <c r="K260" s="15">
        <f>+K259*5%</f>
        <v>822.70125938000001</v>
      </c>
      <c r="M260" s="384"/>
    </row>
    <row r="261" spans="2:13" s="40" customFormat="1" x14ac:dyDescent="0.25">
      <c r="B261" s="10" t="s">
        <v>634</v>
      </c>
      <c r="C261" s="11" t="s">
        <v>67</v>
      </c>
      <c r="D261" s="12">
        <v>100</v>
      </c>
      <c r="E261" s="12">
        <v>0</v>
      </c>
      <c r="F261" s="12">
        <v>100</v>
      </c>
      <c r="G261" s="337">
        <f>+VLOOKUP(Tabla1103453454455456479116117118120740126148156186254256287328338[[#This Row],[ArtÃ­culo]],Tabla34[#All],3,0)</f>
        <v>8.9250000000000007</v>
      </c>
      <c r="H261" s="338">
        <f>+Tabla1103453454455456479116117118120740126148156186254256287328338[[#This Row],[Coste Componente]]*Tabla1103453454455456479116117118120740126148156186254256287328338[[#This Row],[Unidades]]</f>
        <v>892.50000000000011</v>
      </c>
      <c r="J261" s="8" t="s">
        <v>13</v>
      </c>
      <c r="K261" s="15">
        <f>+K259+K260</f>
        <v>17276.726446979999</v>
      </c>
    </row>
    <row r="262" spans="2:13" s="40" customFormat="1" x14ac:dyDescent="0.25">
      <c r="B262" s="10" t="s">
        <v>37</v>
      </c>
      <c r="C262" s="11" t="s">
        <v>67</v>
      </c>
      <c r="D262" s="12">
        <v>10</v>
      </c>
      <c r="E262" s="12">
        <v>0</v>
      </c>
      <c r="F262" s="12">
        <v>10</v>
      </c>
      <c r="G262" s="337">
        <f>+VLOOKUP(Tabla1103453454455456479116117118120740126148156186254256287328338[[#This Row],[ArtÃ­culo]],Tabla34[#All],3,0)</f>
        <v>14.25783539</v>
      </c>
      <c r="H262" s="338">
        <f>+Tabla1103453454455456479116117118120740126148156186254256287328338[[#This Row],[Coste Componente]]*Tabla1103453454455456479116117118120740126148156186254256287328338[[#This Row],[Unidades]]</f>
        <v>142.5783539</v>
      </c>
      <c r="J262" s="20" t="s">
        <v>1313</v>
      </c>
      <c r="K262" s="328">
        <v>750</v>
      </c>
      <c r="M262" s="406" t="s">
        <v>1377</v>
      </c>
    </row>
    <row r="263" spans="2:13" s="40" customFormat="1" x14ac:dyDescent="0.25">
      <c r="B263" s="10" t="s">
        <v>89</v>
      </c>
      <c r="C263" s="11" t="s">
        <v>67</v>
      </c>
      <c r="D263" s="12">
        <v>13</v>
      </c>
      <c r="E263" s="12">
        <v>0</v>
      </c>
      <c r="F263" s="12">
        <v>13</v>
      </c>
      <c r="G263" s="337">
        <f>+VLOOKUP(Tabla1103453454455456479116117118120740126148156186254256287328338[[#This Row],[ArtÃ­culo]],Tabla34[#All],3,0)</f>
        <v>2.4009999999999998</v>
      </c>
      <c r="H263" s="338">
        <f>+Tabla1103453454455456479116117118120740126148156186254256287328338[[#This Row],[Coste Componente]]*Tabla1103453454455456479116117118120740126148156186254256287328338[[#This Row],[Unidades]]</f>
        <v>31.212999999999997</v>
      </c>
      <c r="J263" s="8" t="s">
        <v>15</v>
      </c>
      <c r="K263" s="15">
        <f>+K261/K262</f>
        <v>23.03563526264</v>
      </c>
      <c r="M263" s="384"/>
    </row>
    <row r="264" spans="2:13" s="40" customFormat="1" x14ac:dyDescent="0.25">
      <c r="B264" s="10" t="s">
        <v>91</v>
      </c>
      <c r="C264" s="11" t="s">
        <v>67</v>
      </c>
      <c r="D264" s="12">
        <v>50</v>
      </c>
      <c r="E264" s="12">
        <v>0</v>
      </c>
      <c r="F264" s="12">
        <v>50</v>
      </c>
      <c r="G264" s="337">
        <f>+VLOOKUP(Tabla1103453454455456479116117118120740126148156186254256287328338[[#This Row],[ArtÃ­culo]],Tabla34[#All],3,0)</f>
        <v>10.193790849999999</v>
      </c>
      <c r="H264" s="338">
        <f>+Tabla1103453454455456479116117118120740126148156186254256287328338[[#This Row],[Coste Componente]]*Tabla1103453454455456479116117118120740126148156186254256287328338[[#This Row],[Unidades]]</f>
        <v>509.68954249999996</v>
      </c>
      <c r="I264" s="4"/>
    </row>
    <row r="265" spans="2:13" s="40" customFormat="1" x14ac:dyDescent="0.25">
      <c r="B265" s="10" t="s">
        <v>199</v>
      </c>
      <c r="C265" s="11" t="s">
        <v>67</v>
      </c>
      <c r="D265" s="12">
        <v>2</v>
      </c>
      <c r="E265" s="12">
        <v>0</v>
      </c>
      <c r="F265" s="12">
        <v>2</v>
      </c>
      <c r="G265" s="337">
        <f>+VLOOKUP(Tabla1103453454455456479116117118120740126148156186254256287328338[[#This Row],[ArtÃ­culo]],Tabla34[#All],3,0)</f>
        <v>60.010800000000003</v>
      </c>
      <c r="H265" s="338">
        <f>+Tabla1103453454455456479116117118120740126148156186254256287328338[[#This Row],[Coste Componente]]*Tabla1103453454455456479116117118120740126148156186254256287328338[[#This Row],[Unidades]]</f>
        <v>120.02160000000001</v>
      </c>
      <c r="I265" s="4"/>
    </row>
    <row r="266" spans="2:13" s="40" customFormat="1" x14ac:dyDescent="0.25">
      <c r="B266" s="10" t="s">
        <v>174</v>
      </c>
      <c r="C266" s="11" t="s">
        <v>67</v>
      </c>
      <c r="D266" s="12">
        <v>80</v>
      </c>
      <c r="E266" s="12">
        <v>0</v>
      </c>
      <c r="F266" s="12">
        <v>80</v>
      </c>
      <c r="G266" s="337">
        <f>+VLOOKUP(Tabla1103453454455456479116117118120740126148156186254256287328338[[#This Row],[ArtÃ­culo]],Tabla34[#All],3,0)</f>
        <v>84.475308639999994</v>
      </c>
      <c r="H266" s="338">
        <f>+Tabla1103453454455456479116117118120740126148156186254256287328338[[#This Row],[Coste Componente]]*Tabla1103453454455456479116117118120740126148156186254256287328338[[#This Row],[Unidades]]</f>
        <v>6758.0246911999993</v>
      </c>
      <c r="I266" s="4"/>
    </row>
    <row r="267" spans="2:13" s="40" customFormat="1" x14ac:dyDescent="0.25">
      <c r="B267" s="16"/>
      <c r="C267" s="17"/>
      <c r="D267" s="17"/>
      <c r="E267" s="17"/>
      <c r="F267" s="17"/>
      <c r="G267" s="18"/>
      <c r="H267" s="18">
        <f>SUBTOTAL(109,Tabla1103453454455456479116117118120740126148156186254256287328338[Coste LÃ­nea])</f>
        <v>16454.0251876</v>
      </c>
    </row>
    <row r="270" spans="2:13" s="40" customFormat="1" x14ac:dyDescent="0.25">
      <c r="B270" s="1" t="s">
        <v>42</v>
      </c>
      <c r="C270" s="2"/>
      <c r="D270" s="2"/>
      <c r="E270" s="3"/>
      <c r="F270" s="3"/>
      <c r="G270" s="3"/>
      <c r="H270" s="3"/>
      <c r="J270" s="399" t="s">
        <v>0</v>
      </c>
      <c r="K270" s="399"/>
      <c r="M270" s="406" t="s">
        <v>1383</v>
      </c>
    </row>
    <row r="271" spans="2:13" s="40" customFormat="1" x14ac:dyDescent="0.25">
      <c r="B271" s="16" t="s">
        <v>857</v>
      </c>
      <c r="C271" s="17" t="s">
        <v>895</v>
      </c>
      <c r="D271" s="17" t="s">
        <v>892</v>
      </c>
      <c r="E271" s="17" t="s">
        <v>893</v>
      </c>
      <c r="F271" s="17" t="s">
        <v>894</v>
      </c>
      <c r="G271" s="76" t="s">
        <v>901</v>
      </c>
      <c r="H271" s="76" t="s">
        <v>902</v>
      </c>
      <c r="J271" s="8" t="s">
        <v>6</v>
      </c>
      <c r="K271" s="9">
        <f>SUM(Tabla1103453454455456479116117118120740126148156186254256287328340[Coste LÃ­nea])</f>
        <v>8786.4436395100001</v>
      </c>
      <c r="M271" s="384"/>
    </row>
    <row r="272" spans="2:13" s="40" customFormat="1" x14ac:dyDescent="0.25">
      <c r="B272" s="10" t="s">
        <v>818</v>
      </c>
      <c r="C272" s="11" t="s">
        <v>67</v>
      </c>
      <c r="D272" s="12">
        <v>250</v>
      </c>
      <c r="E272" s="12">
        <v>0</v>
      </c>
      <c r="F272" s="12">
        <v>250</v>
      </c>
      <c r="G272" s="337">
        <f>+VLOOKUP(Tabla1103453454455456479116117118120740126148156186254256287328340[[#This Row],[ArtÃ­culo]],Tabla34[#All],3,0)</f>
        <v>8</v>
      </c>
      <c r="H272" s="338">
        <f>+Tabla1103453454455456479116117118120740126148156186254256287328340[[#This Row],[Coste Componente]]*Tabla1103453454455456479116117118120740126148156186254256287328340[[#This Row],[Unidades]]</f>
        <v>2000</v>
      </c>
      <c r="J272" s="8" t="s">
        <v>12</v>
      </c>
      <c r="K272" s="15">
        <f>+K271*5%</f>
        <v>439.32218197550003</v>
      </c>
      <c r="M272" s="384"/>
    </row>
    <row r="273" spans="2:13" s="40" customFormat="1" x14ac:dyDescent="0.25">
      <c r="B273" s="10" t="s">
        <v>219</v>
      </c>
      <c r="C273" s="11" t="s">
        <v>67</v>
      </c>
      <c r="D273" s="12">
        <v>2</v>
      </c>
      <c r="E273" s="12">
        <v>0</v>
      </c>
      <c r="F273" s="12">
        <v>2</v>
      </c>
      <c r="G273" s="337">
        <f>+VLOOKUP(Tabla1103453454455456479116117118120740126148156186254256287328340[[#This Row],[ArtÃ­culo]],Tabla34[#All],3,0)</f>
        <v>30.77</v>
      </c>
      <c r="H273" s="338">
        <f>+Tabla1103453454455456479116117118120740126148156186254256287328340[[#This Row],[Coste Componente]]*Tabla1103453454455456479116117118120740126148156186254256287328340[[#This Row],[Unidades]]</f>
        <v>61.54</v>
      </c>
      <c r="J273" s="8" t="s">
        <v>13</v>
      </c>
      <c r="K273" s="15">
        <f>+K271+K272</f>
        <v>9225.7658214855001</v>
      </c>
    </row>
    <row r="274" spans="2:13" s="40" customFormat="1" x14ac:dyDescent="0.25">
      <c r="B274" s="10" t="s">
        <v>89</v>
      </c>
      <c r="C274" s="11" t="s">
        <v>67</v>
      </c>
      <c r="D274" s="12">
        <v>20</v>
      </c>
      <c r="E274" s="12">
        <v>0</v>
      </c>
      <c r="F274" s="12">
        <v>20</v>
      </c>
      <c r="G274" s="337">
        <f>+VLOOKUP(Tabla1103453454455456479116117118120740126148156186254256287328340[[#This Row],[ArtÃ­culo]],Tabla34[#All],3,0)</f>
        <v>2.4009999999999998</v>
      </c>
      <c r="H274" s="338">
        <f>+Tabla1103453454455456479116117118120740126148156186254256287328340[[#This Row],[Coste Componente]]*Tabla1103453454455456479116117118120740126148156186254256287328340[[#This Row],[Unidades]]</f>
        <v>48.019999999999996</v>
      </c>
      <c r="J274" s="20" t="s">
        <v>1313</v>
      </c>
      <c r="K274" s="328">
        <v>1175</v>
      </c>
      <c r="M274" s="406" t="s">
        <v>1377</v>
      </c>
    </row>
    <row r="275" spans="2:13" s="40" customFormat="1" x14ac:dyDescent="0.25">
      <c r="B275" s="10" t="s">
        <v>92</v>
      </c>
      <c r="C275" s="11" t="s">
        <v>67</v>
      </c>
      <c r="D275" s="12">
        <v>250</v>
      </c>
      <c r="E275" s="12">
        <v>0</v>
      </c>
      <c r="F275" s="12">
        <v>250</v>
      </c>
      <c r="G275" s="337">
        <f>+VLOOKUP(Tabla1103453454455456479116117118120740126148156186254256287328340[[#This Row],[ArtÃ­culo]],Tabla34[#All],3,0)</f>
        <v>18.859000000000002</v>
      </c>
      <c r="H275" s="338">
        <f>+Tabla1103453454455456479116117118120740126148156186254256287328340[[#This Row],[Coste Componente]]*Tabla1103453454455456479116117118120740126148156186254256287328340[[#This Row],[Unidades]]</f>
        <v>4714.75</v>
      </c>
      <c r="J275" s="8" t="s">
        <v>15</v>
      </c>
      <c r="K275" s="15">
        <f>+K273/K274</f>
        <v>7.8517155927536173</v>
      </c>
      <c r="M275" s="384"/>
    </row>
    <row r="276" spans="2:13" s="40" customFormat="1" x14ac:dyDescent="0.25">
      <c r="B276" s="10" t="s">
        <v>91</v>
      </c>
      <c r="C276" s="11" t="s">
        <v>67</v>
      </c>
      <c r="D276" s="12">
        <v>40</v>
      </c>
      <c r="E276" s="12">
        <v>0</v>
      </c>
      <c r="F276" s="12">
        <v>40</v>
      </c>
      <c r="G276" s="337">
        <f>+VLOOKUP(Tabla1103453454455456479116117118120740126148156186254256287328340[[#This Row],[ArtÃ­culo]],Tabla34[#All],3,0)</f>
        <v>10.193790849999999</v>
      </c>
      <c r="H276" s="338">
        <f>+Tabla1103453454455456479116117118120740126148156186254256287328340[[#This Row],[Coste Componente]]*Tabla1103453454455456479116117118120740126148156186254256287328340[[#This Row],[Unidades]]</f>
        <v>407.75163399999997</v>
      </c>
      <c r="I276" s="4"/>
    </row>
    <row r="277" spans="2:13" s="40" customFormat="1" x14ac:dyDescent="0.25">
      <c r="B277" s="10" t="s">
        <v>37</v>
      </c>
      <c r="C277" s="11" t="s">
        <v>67</v>
      </c>
      <c r="D277" s="12">
        <v>3</v>
      </c>
      <c r="E277" s="12">
        <v>0</v>
      </c>
      <c r="F277" s="12">
        <v>3</v>
      </c>
      <c r="G277" s="337">
        <f>+VLOOKUP(Tabla1103453454455456479116117118120740126148156186254256287328340[[#This Row],[ArtÃ­culo]],Tabla34[#All],3,0)</f>
        <v>14.25783539</v>
      </c>
      <c r="H277" s="338">
        <f>+Tabla1103453454455456479116117118120740126148156186254256287328340[[#This Row],[Coste Componente]]*Tabla1103453454455456479116117118120740126148156186254256287328340[[#This Row],[Unidades]]</f>
        <v>42.773506170000005</v>
      </c>
      <c r="I277" s="4"/>
    </row>
    <row r="278" spans="2:13" s="40" customFormat="1" x14ac:dyDescent="0.25">
      <c r="B278" s="10" t="s">
        <v>828</v>
      </c>
      <c r="C278" s="11" t="s">
        <v>67</v>
      </c>
      <c r="D278" s="12">
        <v>50</v>
      </c>
      <c r="E278" s="12">
        <v>5</v>
      </c>
      <c r="F278" s="12">
        <v>52.631999999999998</v>
      </c>
      <c r="G278" s="337">
        <f>+VLOOKUP(Tabla1103453454455456479116117118120740126148156186254256287328340[[#This Row],[ArtÃ­culo]],Tabla34[#All],3,0)</f>
        <v>9.8000000000000007</v>
      </c>
      <c r="H278" s="338">
        <f>+Tabla1103453454455456479116117118120740126148156186254256287328340[[#This Row],[Coste Componente]]*Tabla1103453454455456479116117118120740126148156186254256287328340[[#This Row],[Unidades]]</f>
        <v>515.79359999999997</v>
      </c>
      <c r="I278" s="4"/>
    </row>
    <row r="279" spans="2:13" s="40" customFormat="1" x14ac:dyDescent="0.25">
      <c r="B279" s="10" t="s">
        <v>840</v>
      </c>
      <c r="C279" s="11" t="s">
        <v>67</v>
      </c>
      <c r="D279" s="12">
        <v>2</v>
      </c>
      <c r="E279" s="12">
        <v>0</v>
      </c>
      <c r="F279" s="12">
        <v>2</v>
      </c>
      <c r="G279" s="337">
        <f>+VLOOKUP(Tabla1103453454455456479116117118120740126148156186254256287328340[[#This Row],[ArtÃ­culo]],Tabla34[#All],3,0)</f>
        <v>57.218061669999997</v>
      </c>
      <c r="H279" s="338">
        <f>+Tabla1103453454455456479116117118120740126148156186254256287328340[[#This Row],[Coste Componente]]*Tabla1103453454455456479116117118120740126148156186254256287328340[[#This Row],[Unidades]]</f>
        <v>114.43612333999999</v>
      </c>
    </row>
    <row r="280" spans="2:13" s="40" customFormat="1" x14ac:dyDescent="0.25">
      <c r="B280" s="10" t="s">
        <v>187</v>
      </c>
      <c r="C280" s="11" t="s">
        <v>67</v>
      </c>
      <c r="D280" s="12">
        <v>70</v>
      </c>
      <c r="E280" s="12">
        <v>10</v>
      </c>
      <c r="F280" s="12">
        <v>77.778000000000006</v>
      </c>
      <c r="G280" s="337">
        <f>+VLOOKUP(Tabla1103453454455456479116117118120740126148156186254256287328340[[#This Row],[ArtÃ­culo]],Tabla34[#All],3,0)</f>
        <v>4.7</v>
      </c>
      <c r="H280" s="338">
        <f>+Tabla1103453454455456479116117118120740126148156186254256287328340[[#This Row],[Coste Componente]]*Tabla1103453454455456479116117118120740126148156186254256287328340[[#This Row],[Unidades]]</f>
        <v>365.55660000000006</v>
      </c>
    </row>
    <row r="281" spans="2:13" s="40" customFormat="1" x14ac:dyDescent="0.25">
      <c r="B281" s="10" t="s">
        <v>966</v>
      </c>
      <c r="C281" s="11" t="s">
        <v>67</v>
      </c>
      <c r="D281" s="12">
        <v>150</v>
      </c>
      <c r="E281" s="12">
        <v>0</v>
      </c>
      <c r="F281" s="12">
        <v>150</v>
      </c>
      <c r="G281" s="337">
        <f>+VLOOKUP(Tabla1103453454455456479116117118120740126148156186254256287328340[[#This Row],[ArtÃ­culo]],Tabla34[#All],3,0)</f>
        <v>0</v>
      </c>
      <c r="H281" s="338">
        <f>+Tabla1103453454455456479116117118120740126148156186254256287328340[[#This Row],[Coste Componente]]*Tabla1103453454455456479116117118120740126148156186254256287328340[[#This Row],[Unidades]]</f>
        <v>0</v>
      </c>
    </row>
    <row r="282" spans="2:13" s="40" customFormat="1" x14ac:dyDescent="0.25">
      <c r="B282" s="10" t="s">
        <v>219</v>
      </c>
      <c r="C282" s="11" t="s">
        <v>67</v>
      </c>
      <c r="D282" s="12">
        <v>2</v>
      </c>
      <c r="E282" s="12">
        <v>0</v>
      </c>
      <c r="F282" s="12">
        <v>2</v>
      </c>
      <c r="G282" s="337">
        <f>+VLOOKUP(Tabla1103453454455456479116117118120740126148156186254256287328340[[#This Row],[ArtÃ­culo]],Tabla34[#All],3,0)</f>
        <v>30.77</v>
      </c>
      <c r="H282" s="338">
        <f>+Tabla1103453454455456479116117118120740126148156186254256287328340[[#This Row],[Coste Componente]]*Tabla1103453454455456479116117118120740126148156186254256287328340[[#This Row],[Unidades]]</f>
        <v>61.54</v>
      </c>
    </row>
    <row r="283" spans="2:13" s="40" customFormat="1" x14ac:dyDescent="0.25">
      <c r="B283" s="10" t="s">
        <v>88</v>
      </c>
      <c r="C283" s="11" t="s">
        <v>67</v>
      </c>
      <c r="D283" s="12">
        <v>10</v>
      </c>
      <c r="E283" s="12">
        <v>0</v>
      </c>
      <c r="F283" s="12">
        <v>10</v>
      </c>
      <c r="G283" s="337">
        <f>+VLOOKUP(Tabla1103453454455456479116117118120740126148156186254256287328340[[#This Row],[ArtÃ­culo]],Tabla34[#All],3,0)</f>
        <v>45.428217600000004</v>
      </c>
      <c r="H283" s="338">
        <f>+Tabla1103453454455456479116117118120740126148156186254256287328340[[#This Row],[Coste Componente]]*Tabla1103453454455456479116117118120740126148156186254256287328340[[#This Row],[Unidades]]</f>
        <v>454.28217600000005</v>
      </c>
    </row>
    <row r="284" spans="2:13" s="40" customFormat="1" x14ac:dyDescent="0.25">
      <c r="B284" s="16"/>
      <c r="C284" s="17"/>
      <c r="D284" s="17"/>
      <c r="E284" s="17"/>
      <c r="F284" s="17"/>
      <c r="G284" s="18"/>
      <c r="H284" s="18">
        <f>SUBTOTAL(109,Tabla1103453454455456479116117118120740126148156186254256287328340[Coste LÃ­nea])</f>
        <v>8786.4436395100001</v>
      </c>
    </row>
    <row r="286" spans="2:13" s="40" customFormat="1" x14ac:dyDescent="0.25">
      <c r="B286" s="1" t="s">
        <v>142</v>
      </c>
      <c r="C286" s="2"/>
      <c r="D286" s="2"/>
      <c r="E286" s="3"/>
      <c r="F286" s="3"/>
      <c r="G286" s="3"/>
      <c r="H286" s="3"/>
      <c r="J286" s="399" t="s">
        <v>0</v>
      </c>
      <c r="K286" s="399"/>
      <c r="M286" s="406" t="s">
        <v>1383</v>
      </c>
    </row>
    <row r="287" spans="2:13" s="40" customFormat="1" x14ac:dyDescent="0.25">
      <c r="B287" s="16" t="s">
        <v>857</v>
      </c>
      <c r="C287" s="17" t="s">
        <v>895</v>
      </c>
      <c r="D287" s="17" t="s">
        <v>892</v>
      </c>
      <c r="E287" s="17" t="s">
        <v>893</v>
      </c>
      <c r="F287" s="17" t="s">
        <v>894</v>
      </c>
      <c r="G287" s="76" t="s">
        <v>901</v>
      </c>
      <c r="H287" s="76" t="s">
        <v>902</v>
      </c>
      <c r="J287" s="8" t="s">
        <v>6</v>
      </c>
      <c r="K287" s="9">
        <f>SUM(Tabla1103453454455456479116117118120740126148156186254256287328340342[Coste LÃ­nea])</f>
        <v>2252.4009999999998</v>
      </c>
      <c r="M287" s="384"/>
    </row>
    <row r="288" spans="2:13" s="40" customFormat="1" x14ac:dyDescent="0.25">
      <c r="B288" s="10" t="s">
        <v>610</v>
      </c>
      <c r="C288" s="11" t="s">
        <v>67</v>
      </c>
      <c r="D288" s="12">
        <v>300</v>
      </c>
      <c r="E288" s="12">
        <v>0</v>
      </c>
      <c r="F288" s="12">
        <v>300</v>
      </c>
      <c r="G288" s="337">
        <f>+VLOOKUP(Tabla1103453454455456479116117118120740126148156186254256287328340342[[#This Row],[ArtÃ­culo]],Tabla34[#All],3,0)</f>
        <v>7.5</v>
      </c>
      <c r="H288" s="338">
        <f>+Tabla1103453454455456479116117118120740126148156186254256287328340342[[#This Row],[Coste Componente]]*Tabla1103453454455456479116117118120740126148156186254256287328340342[[#This Row],[Unidades]]</f>
        <v>2250</v>
      </c>
      <c r="J288" s="8" t="s">
        <v>12</v>
      </c>
      <c r="K288" s="15">
        <f>+K287*5%</f>
        <v>112.62004999999999</v>
      </c>
      <c r="M288" s="384"/>
    </row>
    <row r="289" spans="2:13" s="40" customFormat="1" x14ac:dyDescent="0.25">
      <c r="B289" s="10" t="s">
        <v>89</v>
      </c>
      <c r="C289" s="11" t="s">
        <v>67</v>
      </c>
      <c r="D289" s="12">
        <v>1</v>
      </c>
      <c r="E289" s="12">
        <v>0</v>
      </c>
      <c r="F289" s="12">
        <v>1</v>
      </c>
      <c r="G289" s="337">
        <f>+VLOOKUP(Tabla1103453454455456479116117118120740126148156186254256287328340342[[#This Row],[ArtÃ­culo]],Tabla34[#All],3,0)</f>
        <v>2.4009999999999998</v>
      </c>
      <c r="H289" s="338">
        <f>+Tabla1103453454455456479116117118120740126148156186254256287328340342[[#This Row],[Coste Componente]]*Tabla1103453454455456479116117118120740126148156186254256287328340342[[#This Row],[Unidades]]</f>
        <v>2.4009999999999998</v>
      </c>
      <c r="J289" s="8" t="s">
        <v>13</v>
      </c>
      <c r="K289" s="15">
        <f>+K287+K288</f>
        <v>2365.0210499999998</v>
      </c>
    </row>
    <row r="290" spans="2:13" s="40" customFormat="1" x14ac:dyDescent="0.25">
      <c r="B290" s="16"/>
      <c r="C290" s="17"/>
      <c r="D290" s="17"/>
      <c r="E290" s="17"/>
      <c r="F290" s="17"/>
      <c r="G290" s="18"/>
      <c r="H290" s="18">
        <f>SUBTOTAL(109,Tabla1103453454455456479116117118120740126148156186254256287328340342[Coste LÃ­nea])</f>
        <v>2252.4009999999998</v>
      </c>
      <c r="J290" s="20" t="s">
        <v>1313</v>
      </c>
      <c r="K290" s="328">
        <v>268</v>
      </c>
      <c r="M290" s="406" t="s">
        <v>1377</v>
      </c>
    </row>
    <row r="291" spans="2:13" s="40" customFormat="1" x14ac:dyDescent="0.25">
      <c r="J291" s="8" t="s">
        <v>15</v>
      </c>
      <c r="K291" s="15">
        <f>+K289/K290</f>
        <v>8.8247054104477609</v>
      </c>
      <c r="M291" s="384"/>
    </row>
    <row r="292" spans="2:13" s="40" customFormat="1" x14ac:dyDescent="0.25">
      <c r="I292" s="4"/>
    </row>
    <row r="293" spans="2:13" s="40" customFormat="1" x14ac:dyDescent="0.25">
      <c r="I293" s="4"/>
    </row>
    <row r="294" spans="2:13" s="40" customFormat="1" x14ac:dyDescent="0.25">
      <c r="B294" s="1" t="s">
        <v>127</v>
      </c>
      <c r="C294" s="2"/>
      <c r="D294" s="2"/>
      <c r="E294" s="3"/>
      <c r="F294" s="3"/>
      <c r="G294" s="3"/>
      <c r="H294" s="3"/>
      <c r="J294" s="399" t="s">
        <v>0</v>
      </c>
      <c r="K294" s="399"/>
      <c r="M294" s="406" t="s">
        <v>1383</v>
      </c>
    </row>
    <row r="295" spans="2:13" s="40" customFormat="1" x14ac:dyDescent="0.25">
      <c r="B295" s="16" t="s">
        <v>857</v>
      </c>
      <c r="C295" s="17" t="s">
        <v>895</v>
      </c>
      <c r="D295" s="17" t="s">
        <v>892</v>
      </c>
      <c r="E295" s="17" t="s">
        <v>893</v>
      </c>
      <c r="F295" s="17" t="s">
        <v>894</v>
      </c>
      <c r="G295" s="76" t="s">
        <v>901</v>
      </c>
      <c r="H295" s="76" t="s">
        <v>902</v>
      </c>
      <c r="J295" s="8" t="s">
        <v>6</v>
      </c>
      <c r="K295" s="9">
        <f>SUM(Tabla1103453454455456479116117118120740126148156186254256287328340342343[Coste LÃ­nea])</f>
        <v>26412.005000000001</v>
      </c>
      <c r="M295" s="384"/>
    </row>
    <row r="296" spans="2:13" s="40" customFormat="1" x14ac:dyDescent="0.25">
      <c r="B296" s="10" t="s">
        <v>627</v>
      </c>
      <c r="C296" s="11" t="s">
        <v>67</v>
      </c>
      <c r="D296" s="12">
        <v>8000</v>
      </c>
      <c r="E296" s="12">
        <v>0</v>
      </c>
      <c r="F296" s="12">
        <v>8000</v>
      </c>
      <c r="G296" s="337">
        <f>+VLOOKUP(Tabla1103453454455456479116117118120740126148156186254256287328340342343[[#This Row],[ArtÃ­culo]],Tabla34[#All],3,0)</f>
        <v>3.3</v>
      </c>
      <c r="H296" s="338">
        <f>+Tabla1103453454455456479116117118120740126148156186254256287328340342343[[#This Row],[Coste Componente]]*Tabla1103453454455456479116117118120740126148156186254256287328340342343[[#This Row],[Unidades]]</f>
        <v>26400</v>
      </c>
      <c r="J296" s="8" t="s">
        <v>12</v>
      </c>
      <c r="K296" s="15">
        <f>+K295*5%</f>
        <v>1320.6002500000002</v>
      </c>
      <c r="M296" s="384"/>
    </row>
    <row r="297" spans="2:13" s="40" customFormat="1" x14ac:dyDescent="0.25">
      <c r="B297" s="10" t="s">
        <v>89</v>
      </c>
      <c r="C297" s="11" t="s">
        <v>67</v>
      </c>
      <c r="D297" s="12">
        <v>5</v>
      </c>
      <c r="E297" s="12">
        <v>0</v>
      </c>
      <c r="F297" s="12">
        <v>5</v>
      </c>
      <c r="G297" s="337">
        <f>+VLOOKUP(Tabla1103453454455456479116117118120740126148156186254256287328340342343[[#This Row],[ArtÃ­culo]],Tabla34[#All],3,0)</f>
        <v>2.4009999999999998</v>
      </c>
      <c r="H297" s="338">
        <f>+Tabla1103453454455456479116117118120740126148156186254256287328340342343[[#This Row],[Coste Componente]]*Tabla1103453454455456479116117118120740126148156186254256287328340342343[[#This Row],[Unidades]]</f>
        <v>12.004999999999999</v>
      </c>
      <c r="J297" s="8" t="s">
        <v>13</v>
      </c>
      <c r="K297" s="15">
        <f>+K295+K296</f>
        <v>27732.605250000001</v>
      </c>
    </row>
    <row r="298" spans="2:13" s="40" customFormat="1" x14ac:dyDescent="0.25">
      <c r="B298" s="16"/>
      <c r="C298" s="17"/>
      <c r="D298" s="17"/>
      <c r="E298" s="17"/>
      <c r="F298" s="17"/>
      <c r="G298" s="18"/>
      <c r="H298" s="18">
        <f>SUBTOTAL(109,Tabla1103453454455456479116117118120740126148156186254256287328340342343[Coste LÃ­nea])</f>
        <v>26412.005000000001</v>
      </c>
      <c r="J298" s="20" t="s">
        <v>1313</v>
      </c>
      <c r="K298" s="328">
        <v>1602</v>
      </c>
      <c r="M298" s="406" t="s">
        <v>1377</v>
      </c>
    </row>
    <row r="299" spans="2:13" s="40" customFormat="1" x14ac:dyDescent="0.25">
      <c r="J299" s="8" t="s">
        <v>15</v>
      </c>
      <c r="K299" s="15">
        <f>+K297/K298</f>
        <v>17.31123923220974</v>
      </c>
      <c r="M299" s="384"/>
    </row>
    <row r="302" spans="2:13" s="40" customFormat="1" x14ac:dyDescent="0.25">
      <c r="B302" s="1" t="s">
        <v>162</v>
      </c>
      <c r="C302" s="2"/>
      <c r="D302" s="2"/>
      <c r="E302" s="3"/>
      <c r="F302" s="3"/>
      <c r="G302" s="3"/>
      <c r="H302" s="3"/>
      <c r="J302" s="399" t="s">
        <v>0</v>
      </c>
      <c r="K302" s="399"/>
      <c r="M302" s="406" t="s">
        <v>1383</v>
      </c>
    </row>
    <row r="303" spans="2:13" s="40" customFormat="1" x14ac:dyDescent="0.25">
      <c r="B303" s="16" t="s">
        <v>857</v>
      </c>
      <c r="C303" s="17" t="s">
        <v>895</v>
      </c>
      <c r="D303" s="17" t="s">
        <v>892</v>
      </c>
      <c r="E303" s="17" t="s">
        <v>893</v>
      </c>
      <c r="F303" s="17" t="s">
        <v>894</v>
      </c>
      <c r="G303" s="76" t="s">
        <v>901</v>
      </c>
      <c r="H303" s="76" t="s">
        <v>902</v>
      </c>
      <c r="J303" s="8" t="s">
        <v>6</v>
      </c>
      <c r="K303" s="9">
        <f>SUM(Tabla1103453454455456479116117118120740126148156186254256287328340342343344[Coste LÃ­nea])</f>
        <v>30524.802</v>
      </c>
      <c r="M303" s="384"/>
    </row>
    <row r="304" spans="2:13" s="40" customFormat="1" x14ac:dyDescent="0.25">
      <c r="B304" s="10" t="s">
        <v>647</v>
      </c>
      <c r="C304" s="11" t="s">
        <v>67</v>
      </c>
      <c r="D304" s="12">
        <v>6104</v>
      </c>
      <c r="E304" s="12">
        <v>30</v>
      </c>
      <c r="F304" s="12">
        <v>8720</v>
      </c>
      <c r="G304" s="337">
        <f>+VLOOKUP(Tabla1103453454455456479116117118120740126148156186254256287328340342343344[[#This Row],[ArtÃ­culo]],Tabla34[#All],3,0)</f>
        <v>3.5</v>
      </c>
      <c r="H304" s="338">
        <f>+Tabla1103453454455456479116117118120740126148156186254256287328340342343344[[#This Row],[Coste Componente]]*Tabla1103453454455456479116117118120740126148156186254256287328340342343344[[#This Row],[Unidades]]</f>
        <v>30520</v>
      </c>
      <c r="J304" s="8" t="s">
        <v>12</v>
      </c>
      <c r="K304" s="15">
        <f>+K303*5%</f>
        <v>1526.2401</v>
      </c>
      <c r="M304" s="384"/>
    </row>
    <row r="305" spans="2:13" s="40" customFormat="1" x14ac:dyDescent="0.25">
      <c r="B305" s="10" t="s">
        <v>89</v>
      </c>
      <c r="C305" s="11" t="s">
        <v>67</v>
      </c>
      <c r="D305" s="12">
        <v>2</v>
      </c>
      <c r="E305" s="12">
        <v>0</v>
      </c>
      <c r="F305" s="12">
        <v>2</v>
      </c>
      <c r="G305" s="337">
        <f>+VLOOKUP(Tabla1103453454455456479116117118120740126148156186254256287328340342343344[[#This Row],[ArtÃ­culo]],Tabla34[#All],3,0)</f>
        <v>2.4009999999999998</v>
      </c>
      <c r="H305" s="338">
        <f>+Tabla1103453454455456479116117118120740126148156186254256287328340342343344[[#This Row],[Coste Componente]]*Tabla1103453454455456479116117118120740126148156186254256287328340342343344[[#This Row],[Unidades]]</f>
        <v>4.8019999999999996</v>
      </c>
      <c r="J305" s="8" t="s">
        <v>13</v>
      </c>
      <c r="K305" s="15">
        <f>+K303+K304</f>
        <v>32051.042099999999</v>
      </c>
    </row>
    <row r="306" spans="2:13" s="40" customFormat="1" x14ac:dyDescent="0.25">
      <c r="B306" s="16"/>
      <c r="C306" s="17"/>
      <c r="D306" s="17"/>
      <c r="E306" s="17"/>
      <c r="F306" s="17"/>
      <c r="G306" s="18"/>
      <c r="H306" s="18">
        <f>SUBTOTAL(109,Tabla1103453454455456479116117118120740126148156186254256287328340342343344[Coste LÃ­nea])</f>
        <v>30524.802</v>
      </c>
      <c r="J306" s="20" t="s">
        <v>1313</v>
      </c>
      <c r="K306" s="328">
        <v>1680</v>
      </c>
      <c r="M306" s="406" t="s">
        <v>1377</v>
      </c>
    </row>
    <row r="307" spans="2:13" s="40" customFormat="1" x14ac:dyDescent="0.25">
      <c r="J307" s="8" t="s">
        <v>15</v>
      </c>
      <c r="K307" s="15">
        <f>+K305/K306</f>
        <v>19.07800125</v>
      </c>
      <c r="M307" s="384"/>
    </row>
    <row r="311" spans="2:13" s="40" customFormat="1" x14ac:dyDescent="0.25">
      <c r="B311" s="1" t="s">
        <v>333</v>
      </c>
      <c r="C311" s="2"/>
      <c r="D311" s="2"/>
      <c r="E311" s="3"/>
      <c r="F311" s="3"/>
      <c r="G311" s="3"/>
      <c r="H311" s="3"/>
      <c r="J311" s="399" t="s">
        <v>0</v>
      </c>
      <c r="K311" s="399"/>
      <c r="M311" s="406" t="s">
        <v>1383</v>
      </c>
    </row>
    <row r="312" spans="2:13" s="40" customFormat="1" x14ac:dyDescent="0.25">
      <c r="B312" s="16" t="s">
        <v>857</v>
      </c>
      <c r="C312" s="17" t="s">
        <v>895</v>
      </c>
      <c r="D312" s="17" t="s">
        <v>892</v>
      </c>
      <c r="E312" s="17" t="s">
        <v>893</v>
      </c>
      <c r="F312" s="17" t="s">
        <v>894</v>
      </c>
      <c r="G312" s="76" t="s">
        <v>901</v>
      </c>
      <c r="H312" s="76" t="s">
        <v>902</v>
      </c>
      <c r="J312" s="8" t="s">
        <v>6</v>
      </c>
      <c r="K312" s="9">
        <f>SUM(Tabla1103453454455456479116117118120740126148156186254256287328340342343346[Coste LÃ­nea])</f>
        <v>416647.67870834999</v>
      </c>
      <c r="M312" s="384"/>
    </row>
    <row r="313" spans="2:13" s="40" customFormat="1" x14ac:dyDescent="0.25">
      <c r="B313" s="10" t="s">
        <v>695</v>
      </c>
      <c r="C313" s="11" t="s">
        <v>67</v>
      </c>
      <c r="D313" s="12">
        <v>150</v>
      </c>
      <c r="E313" s="12">
        <v>30</v>
      </c>
      <c r="F313" s="12">
        <v>214.286</v>
      </c>
      <c r="G313" s="337">
        <f>+VLOOKUP(Tabla1103453454455456479116117118120740126148156186254256287328340342343346[[#This Row],[ArtÃ­culo]],Tabla34[#All],3,0)</f>
        <v>5</v>
      </c>
      <c r="H313" s="338">
        <f>+Tabla1103453454455456479116117118120740126148156186254256287328340342343346[[#This Row],[Coste Componente]]*Tabla1103453454455456479116117118120740126148156186254256287328340342343346[[#This Row],[Unidades]]</f>
        <v>1071.43</v>
      </c>
      <c r="J313" s="8" t="s">
        <v>12</v>
      </c>
      <c r="K313" s="15">
        <f>+K312*5%</f>
        <v>20832.3839354175</v>
      </c>
      <c r="M313" s="384"/>
    </row>
    <row r="314" spans="2:13" s="40" customFormat="1" x14ac:dyDescent="0.25">
      <c r="B314" s="10" t="s">
        <v>687</v>
      </c>
      <c r="C314" s="11" t="s">
        <v>67</v>
      </c>
      <c r="D314" s="12">
        <v>400</v>
      </c>
      <c r="E314" s="12">
        <v>17</v>
      </c>
      <c r="F314" s="12">
        <v>481.928</v>
      </c>
      <c r="G314" s="337">
        <f>+VLOOKUP(Tabla1103453454455456479116117118120740126148156186254256287328340342343346[[#This Row],[ArtÃ­culo]],Tabla34[#All],3,0)</f>
        <v>2.8</v>
      </c>
      <c r="H314" s="338">
        <f>+Tabla1103453454455456479116117118120740126148156186254256287328340342343346[[#This Row],[Coste Componente]]*Tabla1103453454455456479116117118120740126148156186254256287328340342343346[[#This Row],[Unidades]]</f>
        <v>1349.3983999999998</v>
      </c>
      <c r="J314" s="8" t="s">
        <v>13</v>
      </c>
      <c r="K314" s="15">
        <f>+K312+K313</f>
        <v>437480.06264376751</v>
      </c>
    </row>
    <row r="315" spans="2:13" s="40" customFormat="1" x14ac:dyDescent="0.25">
      <c r="B315" s="10" t="s">
        <v>710</v>
      </c>
      <c r="C315" s="11" t="s">
        <v>67</v>
      </c>
      <c r="D315" s="12">
        <v>150</v>
      </c>
      <c r="E315" s="12">
        <v>20</v>
      </c>
      <c r="F315" s="12">
        <v>187.5</v>
      </c>
      <c r="G315" s="337">
        <f>+VLOOKUP(Tabla1103453454455456479116117118120740126148156186254256287328340342343346[[#This Row],[ArtÃ­culo]],Tabla34[#All],3,0)</f>
        <v>2.5</v>
      </c>
      <c r="H315" s="338">
        <f>+Tabla1103453454455456479116117118120740126148156186254256287328340342343346[[#This Row],[Coste Componente]]*Tabla1103453454455456479116117118120740126148156186254256287328340342343346[[#This Row],[Unidades]]</f>
        <v>468.75</v>
      </c>
      <c r="J315" s="20" t="s">
        <v>1313</v>
      </c>
      <c r="K315" s="328">
        <v>30</v>
      </c>
      <c r="M315" s="406" t="s">
        <v>1377</v>
      </c>
    </row>
    <row r="316" spans="2:13" s="40" customFormat="1" x14ac:dyDescent="0.25">
      <c r="B316" s="10" t="s">
        <v>634</v>
      </c>
      <c r="C316" s="11" t="s">
        <v>67</v>
      </c>
      <c r="D316" s="12">
        <v>560</v>
      </c>
      <c r="E316" s="12">
        <v>0</v>
      </c>
      <c r="F316" s="12">
        <v>560</v>
      </c>
      <c r="G316" s="337">
        <f>+VLOOKUP(Tabla1103453454455456479116117118120740126148156186254256287328340342343346[[#This Row],[ArtÃ­culo]],Tabla34[#All],3,0)</f>
        <v>8.9250000000000007</v>
      </c>
      <c r="H316" s="338">
        <f>+Tabla1103453454455456479116117118120740126148156186254256287328340342343346[[#This Row],[Coste Componente]]*Tabla1103453454455456479116117118120740126148156186254256287328340342343346[[#This Row],[Unidades]]</f>
        <v>4998</v>
      </c>
      <c r="J316" s="8" t="s">
        <v>15</v>
      </c>
      <c r="K316" s="15">
        <f>+K314/K315</f>
        <v>14582.66875479225</v>
      </c>
      <c r="M316" s="384"/>
    </row>
    <row r="317" spans="2:13" s="40" customFormat="1" x14ac:dyDescent="0.25">
      <c r="B317" s="10" t="s">
        <v>38</v>
      </c>
      <c r="C317" s="11" t="s">
        <v>67</v>
      </c>
      <c r="D317" s="12">
        <v>200</v>
      </c>
      <c r="E317" s="12">
        <v>0</v>
      </c>
      <c r="F317" s="12">
        <v>200</v>
      </c>
      <c r="G317" s="337">
        <f>+VLOOKUP(Tabla1103453454455456479116117118120740126148156186254256287328340342343346[[#This Row],[ArtÃ­culo]],Tabla34[#All],3,0)</f>
        <v>0</v>
      </c>
      <c r="H317" s="338">
        <f>+Tabla1103453454455456479116117118120740126148156186254256287328340342343346[[#This Row],[Coste Componente]]*Tabla1103453454455456479116117118120740126148156186254256287328340342343346[[#This Row],[Unidades]]</f>
        <v>0</v>
      </c>
    </row>
    <row r="318" spans="2:13" s="40" customFormat="1" x14ac:dyDescent="0.25">
      <c r="B318" s="10" t="s">
        <v>89</v>
      </c>
      <c r="C318" s="11" t="s">
        <v>67</v>
      </c>
      <c r="D318" s="12">
        <v>10</v>
      </c>
      <c r="E318" s="12">
        <v>0</v>
      </c>
      <c r="F318" s="12">
        <v>10</v>
      </c>
      <c r="G318" s="337">
        <f>+VLOOKUP(Tabla1103453454455456479116117118120740126148156186254256287328340342343346[[#This Row],[ArtÃ­culo]],Tabla34[#All],3,0)</f>
        <v>2.4009999999999998</v>
      </c>
      <c r="H318" s="338">
        <f>+Tabla1103453454455456479116117118120740126148156186254256287328340342343346[[#This Row],[Coste Componente]]*Tabla1103453454455456479116117118120740126148156186254256287328340342343346[[#This Row],[Unidades]]</f>
        <v>24.009999999999998</v>
      </c>
    </row>
    <row r="319" spans="2:13" s="40" customFormat="1" x14ac:dyDescent="0.25">
      <c r="B319" s="10" t="s">
        <v>840</v>
      </c>
      <c r="C319" s="11" t="s">
        <v>67</v>
      </c>
      <c r="D319" s="12">
        <v>5</v>
      </c>
      <c r="E319" s="12">
        <v>0</v>
      </c>
      <c r="F319" s="12">
        <v>5</v>
      </c>
      <c r="G319" s="337">
        <f>+VLOOKUP(Tabla1103453454455456479116117118120740126148156186254256287328340342343346[[#This Row],[ArtÃ­culo]],Tabla34[#All],3,0)</f>
        <v>57.218061669999997</v>
      </c>
      <c r="H319" s="338">
        <f>+Tabla1103453454455456479116117118120740126148156186254256287328340342343346[[#This Row],[Coste Componente]]*Tabla1103453454455456479116117118120740126148156186254256287328340342343346[[#This Row],[Unidades]]</f>
        <v>286.09030834999999</v>
      </c>
    </row>
    <row r="320" spans="2:13" s="40" customFormat="1" x14ac:dyDescent="0.25">
      <c r="B320" s="10" t="s">
        <v>679</v>
      </c>
      <c r="C320" s="11" t="s">
        <v>847</v>
      </c>
      <c r="D320" s="12">
        <v>30</v>
      </c>
      <c r="E320" s="12">
        <v>0</v>
      </c>
      <c r="F320" s="12">
        <v>30</v>
      </c>
      <c r="G320" s="337">
        <f>+VLOOKUP(Tabla1103453454455456479116117118120740126148156186254256287328340342343346[[#This Row],[ArtÃ­culo]],Tabla34[#All],3,0)</f>
        <v>13615</v>
      </c>
      <c r="H320" s="338">
        <f>+Tabla1103453454455456479116117118120740126148156186254256287328340342343346[[#This Row],[Coste Componente]]*Tabla1103453454455456479116117118120740126148156186254256287328340342343346[[#This Row],[Unidades]]</f>
        <v>408450</v>
      </c>
    </row>
    <row r="321" spans="2:13" s="40" customFormat="1" x14ac:dyDescent="0.25">
      <c r="B321" s="10" t="s">
        <v>1039</v>
      </c>
      <c r="C321" s="11" t="s">
        <v>847</v>
      </c>
      <c r="D321" s="12">
        <v>30</v>
      </c>
      <c r="E321" s="12">
        <v>0</v>
      </c>
      <c r="F321" s="12">
        <v>30</v>
      </c>
      <c r="G321" s="337">
        <f>+VLOOKUP(Tabla1103453454455456479116117118120740126148156186254256287328340342343346[[#This Row],[ArtÃ­culo]],Tabla34[#All],3,0)</f>
        <v>0</v>
      </c>
      <c r="H321" s="338">
        <f>+Tabla1103453454455456479116117118120740126148156186254256287328340342343346[[#This Row],[Coste Componente]]*Tabla1103453454455456479116117118120740126148156186254256287328340342343346[[#This Row],[Unidades]]</f>
        <v>0</v>
      </c>
    </row>
    <row r="322" spans="2:13" s="40" customFormat="1" x14ac:dyDescent="0.25">
      <c r="B322" s="16"/>
      <c r="C322" s="17"/>
      <c r="D322" s="17"/>
      <c r="E322" s="17"/>
      <c r="F322" s="17"/>
      <c r="G322" s="18"/>
      <c r="H322" s="18">
        <f>SUBTOTAL(109,Tabla1103453454455456479116117118120740126148156186254256287328340342343346[Coste LÃ­nea])</f>
        <v>416647.67870834999</v>
      </c>
    </row>
    <row r="326" spans="2:13" s="40" customFormat="1" x14ac:dyDescent="0.25">
      <c r="B326" s="1" t="s">
        <v>898</v>
      </c>
      <c r="C326" s="2"/>
      <c r="D326" s="2"/>
      <c r="E326" s="3"/>
      <c r="F326" s="3"/>
      <c r="G326" s="3"/>
      <c r="H326" s="3"/>
      <c r="J326" s="399" t="s">
        <v>0</v>
      </c>
      <c r="K326" s="399"/>
      <c r="M326" s="406" t="s">
        <v>1383</v>
      </c>
    </row>
    <row r="327" spans="2:13" s="40" customFormat="1" x14ac:dyDescent="0.25">
      <c r="B327" s="16" t="s">
        <v>857</v>
      </c>
      <c r="C327" s="17" t="s">
        <v>895</v>
      </c>
      <c r="D327" s="17" t="s">
        <v>892</v>
      </c>
      <c r="E327" s="17" t="s">
        <v>893</v>
      </c>
      <c r="F327" s="17" t="s">
        <v>894</v>
      </c>
      <c r="G327" s="76" t="s">
        <v>901</v>
      </c>
      <c r="H327" s="76" t="s">
        <v>902</v>
      </c>
      <c r="J327" s="8" t="s">
        <v>6</v>
      </c>
      <c r="K327" s="9">
        <f>SUM(Tabla1103453454455456479116117118120740126148156186254256287328340342343347[Coste LÃ­nea])</f>
        <v>18641.81374392</v>
      </c>
      <c r="M327" s="384"/>
    </row>
    <row r="328" spans="2:13" s="40" customFormat="1" x14ac:dyDescent="0.25">
      <c r="B328" s="10" t="s">
        <v>146</v>
      </c>
      <c r="C328" s="11" t="s">
        <v>67</v>
      </c>
      <c r="D328" s="12">
        <v>500</v>
      </c>
      <c r="E328" s="12">
        <v>0</v>
      </c>
      <c r="F328" s="12">
        <v>500</v>
      </c>
      <c r="G328" s="337">
        <f>+VLOOKUP(Tabla1103453454455456479116117118120740126148156186254256287328340342343347[[#This Row],[ArtÃ­culo]],Tabla34[#All],3,0)</f>
        <v>11.36127894</v>
      </c>
      <c r="H328" s="338">
        <f>+Tabla1103453454455456479116117118120740126148156186254256287328340342343347[[#This Row],[Coste Componente]]*Tabla1103453454455456479116117118120740126148156186254256287328340342343347[[#This Row],[Unidades]]</f>
        <v>5680.6394700000001</v>
      </c>
      <c r="J328" s="8" t="s">
        <v>12</v>
      </c>
      <c r="K328" s="15">
        <f>+K327*5%</f>
        <v>932.09068719600009</v>
      </c>
      <c r="M328" s="384"/>
    </row>
    <row r="329" spans="2:13" s="40" customFormat="1" x14ac:dyDescent="0.25">
      <c r="B329" s="10" t="s">
        <v>107</v>
      </c>
      <c r="C329" s="11" t="s">
        <v>67</v>
      </c>
      <c r="D329" s="12">
        <v>500</v>
      </c>
      <c r="E329" s="12">
        <v>0</v>
      </c>
      <c r="F329" s="12">
        <v>500</v>
      </c>
      <c r="G329" s="337">
        <f>+VLOOKUP(Tabla1103453454455456479116117118120740126148156186254256287328340342343347[[#This Row],[ArtÃ­culo]],Tabla34[#All],3,0)</f>
        <v>19.747499999999999</v>
      </c>
      <c r="H329" s="338">
        <f>+Tabla1103453454455456479116117118120740126148156186254256287328340342343347[[#This Row],[Coste Componente]]*Tabla1103453454455456479116117118120740126148156186254256287328340342343347[[#This Row],[Unidades]]</f>
        <v>9873.75</v>
      </c>
      <c r="J329" s="8" t="s">
        <v>13</v>
      </c>
      <c r="K329" s="15">
        <f>+K327+K328</f>
        <v>19573.904431116</v>
      </c>
    </row>
    <row r="330" spans="2:13" s="40" customFormat="1" x14ac:dyDescent="0.25">
      <c r="B330" s="10" t="s">
        <v>711</v>
      </c>
      <c r="C330" s="11" t="s">
        <v>67</v>
      </c>
      <c r="D330" s="12">
        <v>50</v>
      </c>
      <c r="E330" s="12">
        <v>10</v>
      </c>
      <c r="F330" s="12">
        <v>55.555999999999997</v>
      </c>
      <c r="G330" s="337">
        <f>+VLOOKUP(Tabla1103453454455456479116117118120740126148156186254256287328340342343347[[#This Row],[ArtÃ­culo]],Tabla34[#All],3,0)</f>
        <v>12.5</v>
      </c>
      <c r="H330" s="338">
        <f>+Tabla1103453454455456479116117118120740126148156186254256287328340342343347[[#This Row],[Coste Componente]]*Tabla1103453454455456479116117118120740126148156186254256287328340342343347[[#This Row],[Unidades]]</f>
        <v>694.44999999999993</v>
      </c>
      <c r="J330" s="20" t="s">
        <v>1313</v>
      </c>
      <c r="K330" s="328">
        <v>819</v>
      </c>
      <c r="M330" s="406" t="s">
        <v>1377</v>
      </c>
    </row>
    <row r="331" spans="2:13" s="40" customFormat="1" x14ac:dyDescent="0.25">
      <c r="B331" s="10" t="s">
        <v>734</v>
      </c>
      <c r="C331" s="11" t="s">
        <v>67</v>
      </c>
      <c r="D331" s="12">
        <v>10</v>
      </c>
      <c r="E331" s="12">
        <v>0</v>
      </c>
      <c r="F331" s="12">
        <v>10</v>
      </c>
      <c r="G331" s="337">
        <f>+VLOOKUP(Tabla1103453454455456479116117118120740126148156186254256287328340342343347[[#This Row],[ArtÃ­culo]],Tabla34[#All],3,0)</f>
        <v>60</v>
      </c>
      <c r="H331" s="338">
        <f>+Tabla1103453454455456479116117118120740126148156186254256287328340342343347[[#This Row],[Coste Componente]]*Tabla1103453454455456479116117118120740126148156186254256287328340342343347[[#This Row],[Unidades]]</f>
        <v>600</v>
      </c>
      <c r="J331" s="8" t="s">
        <v>15</v>
      </c>
      <c r="K331" s="15">
        <f>+K329/K330</f>
        <v>23.899761210153844</v>
      </c>
      <c r="M331" s="384"/>
    </row>
    <row r="332" spans="2:13" s="40" customFormat="1" x14ac:dyDescent="0.25">
      <c r="B332" s="10" t="s">
        <v>722</v>
      </c>
      <c r="C332" s="11" t="s">
        <v>67</v>
      </c>
      <c r="D332" s="12">
        <v>30</v>
      </c>
      <c r="E332" s="12">
        <v>0</v>
      </c>
      <c r="F332" s="12">
        <v>30</v>
      </c>
      <c r="G332" s="337">
        <f>+VLOOKUP(Tabla1103453454455456479116117118120740126148156186254256287328340342343347[[#This Row],[ArtÃ­culo]],Tabla34[#All],3,0)</f>
        <v>6.25</v>
      </c>
      <c r="H332" s="338">
        <f>+Tabla1103453454455456479116117118120740126148156186254256287328340342343347[[#This Row],[Coste Componente]]*Tabla1103453454455456479116117118120740126148156186254256287328340342343347[[#This Row],[Unidades]]</f>
        <v>187.5</v>
      </c>
    </row>
    <row r="333" spans="2:13" s="40" customFormat="1" x14ac:dyDescent="0.25">
      <c r="B333" s="10" t="s">
        <v>721</v>
      </c>
      <c r="C333" s="11" t="s">
        <v>67</v>
      </c>
      <c r="D333" s="12">
        <v>2</v>
      </c>
      <c r="E333" s="12">
        <v>0</v>
      </c>
      <c r="F333" s="12">
        <v>2</v>
      </c>
      <c r="G333" s="337">
        <f>+VLOOKUP(Tabla1103453454455456479116117118120740126148156186254256287328340342343347[[#This Row],[ArtÃ­culo]],Tabla34[#All],3,0)</f>
        <v>90</v>
      </c>
      <c r="H333" s="338">
        <f>+Tabla1103453454455456479116117118120740126148156186254256287328340342343347[[#This Row],[Coste Componente]]*Tabla1103453454455456479116117118120740126148156186254256287328340342343347[[#This Row],[Unidades]]</f>
        <v>180</v>
      </c>
    </row>
    <row r="334" spans="2:13" s="40" customFormat="1" x14ac:dyDescent="0.25">
      <c r="B334" s="10" t="s">
        <v>186</v>
      </c>
      <c r="C334" s="11" t="s">
        <v>67</v>
      </c>
      <c r="D334" s="12">
        <v>1</v>
      </c>
      <c r="E334" s="12">
        <v>0</v>
      </c>
      <c r="F334" s="12">
        <v>1</v>
      </c>
      <c r="G334" s="337">
        <f>+VLOOKUP(Tabla1103453454455456479116117118120740126148156186254256287328340342343347[[#This Row],[ArtÃ­culo]],Tabla34[#All],3,0)</f>
        <v>233.07427392</v>
      </c>
      <c r="H334" s="338">
        <f>+Tabla1103453454455456479116117118120740126148156186254256287328340342343347[[#This Row],[Coste Componente]]*Tabla1103453454455456479116117118120740126148156186254256287328340342343347[[#This Row],[Unidades]]</f>
        <v>233.07427392</v>
      </c>
    </row>
    <row r="335" spans="2:13" s="40" customFormat="1" x14ac:dyDescent="0.25">
      <c r="B335" s="10" t="s">
        <v>719</v>
      </c>
      <c r="C335" s="11" t="s">
        <v>67</v>
      </c>
      <c r="D335" s="12">
        <v>100</v>
      </c>
      <c r="E335" s="12">
        <v>0</v>
      </c>
      <c r="F335" s="12">
        <v>100</v>
      </c>
      <c r="G335" s="337">
        <f>+VLOOKUP(Tabla1103453454455456479116117118120740126148156186254256287328340342343347[[#This Row],[ArtÃ­culo]],Tabla34[#All],3,0)</f>
        <v>6.2119999999999997</v>
      </c>
      <c r="H335" s="338">
        <f>+Tabla1103453454455456479116117118120740126148156186254256287328340342343347[[#This Row],[Coste Componente]]*Tabla1103453454455456479116117118120740126148156186254256287328340342343347[[#This Row],[Unidades]]</f>
        <v>621.19999999999993</v>
      </c>
    </row>
    <row r="336" spans="2:13" s="40" customFormat="1" x14ac:dyDescent="0.25">
      <c r="B336" s="10" t="s">
        <v>960</v>
      </c>
      <c r="C336" s="11" t="s">
        <v>67</v>
      </c>
      <c r="D336" s="12">
        <v>12</v>
      </c>
      <c r="E336" s="12">
        <v>0</v>
      </c>
      <c r="F336" s="12">
        <v>12</v>
      </c>
      <c r="G336" s="337">
        <f>+VLOOKUP(Tabla1103453454455456479116117118120740126148156186254256287328340342343347[[#This Row],[ArtÃ­culo]],Tabla34[#All],3,0)</f>
        <v>47.6</v>
      </c>
      <c r="H336" s="338">
        <f>+Tabla1103453454455456479116117118120740126148156186254256287328340342343347[[#This Row],[Coste Componente]]*Tabla1103453454455456479116117118120740126148156186254256287328340342343347[[#This Row],[Unidades]]</f>
        <v>571.20000000000005</v>
      </c>
    </row>
    <row r="337" spans="2:13" s="40" customFormat="1" x14ac:dyDescent="0.25">
      <c r="B337" s="16"/>
      <c r="C337" s="17"/>
      <c r="D337" s="17"/>
      <c r="E337" s="17"/>
      <c r="F337" s="17"/>
      <c r="G337" s="18"/>
      <c r="H337" s="18">
        <f>SUBTOTAL(109,Tabla1103453454455456479116117118120740126148156186254256287328340342343347[Coste LÃ­nea])</f>
        <v>18641.81374392</v>
      </c>
    </row>
    <row r="339" spans="2:13" s="40" customFormat="1" x14ac:dyDescent="0.25">
      <c r="B339" s="1" t="s">
        <v>1226</v>
      </c>
      <c r="C339" s="2"/>
      <c r="D339" s="2"/>
      <c r="E339" s="3"/>
      <c r="F339" s="3"/>
      <c r="G339" s="3"/>
      <c r="H339" s="3"/>
      <c r="J339" s="399" t="s">
        <v>0</v>
      </c>
      <c r="K339" s="399"/>
      <c r="M339" s="406" t="s">
        <v>1383</v>
      </c>
    </row>
    <row r="340" spans="2:13" s="40" customFormat="1" x14ac:dyDescent="0.25">
      <c r="B340" s="16" t="s">
        <v>857</v>
      </c>
      <c r="C340" s="17" t="s">
        <v>895</v>
      </c>
      <c r="D340" s="17" t="s">
        <v>892</v>
      </c>
      <c r="E340" s="17" t="s">
        <v>893</v>
      </c>
      <c r="F340" s="17" t="s">
        <v>894</v>
      </c>
      <c r="G340" s="76" t="s">
        <v>901</v>
      </c>
      <c r="H340" s="76" t="s">
        <v>902</v>
      </c>
      <c r="J340" s="8" t="s">
        <v>6</v>
      </c>
      <c r="K340" s="9">
        <f>SUM(Tabla1103453454455456479116117118120740126148156186254256287328340342343349[Coste LÃ­nea])</f>
        <v>5992.9336097800006</v>
      </c>
      <c r="M340" s="384"/>
    </row>
    <row r="341" spans="2:13" s="40" customFormat="1" x14ac:dyDescent="0.25">
      <c r="B341" s="10" t="s">
        <v>107</v>
      </c>
      <c r="C341" s="11" t="s">
        <v>67</v>
      </c>
      <c r="D341" s="12">
        <v>250</v>
      </c>
      <c r="E341" s="12">
        <v>0</v>
      </c>
      <c r="F341" s="12">
        <v>250</v>
      </c>
      <c r="G341" s="337">
        <f>+VLOOKUP(Tabla1103453454455456479116117118120740126148156186254256287328340342343349[[#This Row],[ArtÃ­culo]],Tabla34[#All],3,0)</f>
        <v>19.747499999999999</v>
      </c>
      <c r="H341" s="338">
        <f>+Tabla1103453454455456479116117118120740126148156186254256287328340342343349[[#This Row],[Coste Componente]]*Tabla1103453454455456479116117118120740126148156186254256287328340342343349[[#This Row],[Unidades]]</f>
        <v>4936.875</v>
      </c>
      <c r="J341" s="8" t="s">
        <v>12</v>
      </c>
      <c r="K341" s="15">
        <f>+K340*5%</f>
        <v>299.64668048900006</v>
      </c>
      <c r="M341" s="384"/>
    </row>
    <row r="342" spans="2:13" s="40" customFormat="1" x14ac:dyDescent="0.25">
      <c r="B342" s="10" t="s">
        <v>749</v>
      </c>
      <c r="C342" s="11" t="s">
        <v>67</v>
      </c>
      <c r="D342" s="12">
        <v>40</v>
      </c>
      <c r="E342" s="12">
        <v>0</v>
      </c>
      <c r="F342" s="12">
        <v>40</v>
      </c>
      <c r="G342" s="337">
        <f>+VLOOKUP(Tabla1103453454455456479116117118120740126148156186254256287328340342343349[[#This Row],[ArtÃ­culo]],Tabla34[#All],3,0)</f>
        <v>7.7007000000000003</v>
      </c>
      <c r="H342" s="338">
        <f>+Tabla1103453454455456479116117118120740126148156186254256287328340342343349[[#This Row],[Coste Componente]]*Tabla1103453454455456479116117118120740126148156186254256287328340342343349[[#This Row],[Unidades]]</f>
        <v>308.02800000000002</v>
      </c>
      <c r="J342" s="8" t="s">
        <v>13</v>
      </c>
      <c r="K342" s="15">
        <f>+K340+K341</f>
        <v>6292.5802902690002</v>
      </c>
    </row>
    <row r="343" spans="2:13" s="40" customFormat="1" x14ac:dyDescent="0.25">
      <c r="B343" s="10" t="s">
        <v>819</v>
      </c>
      <c r="C343" s="11" t="s">
        <v>67</v>
      </c>
      <c r="D343" s="12">
        <v>1</v>
      </c>
      <c r="E343" s="12">
        <v>0</v>
      </c>
      <c r="F343" s="12">
        <v>1</v>
      </c>
      <c r="G343" s="337">
        <f>+VLOOKUP(Tabla1103453454455456479116117118120740126148156186254256287328340342343349[[#This Row],[ArtÃ­culo]],Tabla34[#All],3,0)</f>
        <v>21.363943110000001</v>
      </c>
      <c r="H343" s="338">
        <f>+Tabla1103453454455456479116117118120740126148156186254256287328340342343349[[#This Row],[Coste Componente]]*Tabla1103453454455456479116117118120740126148156186254256287328340342343349[[#This Row],[Unidades]]</f>
        <v>21.363943110000001</v>
      </c>
      <c r="J343" s="20" t="s">
        <v>1313</v>
      </c>
      <c r="K343" s="328">
        <v>290</v>
      </c>
      <c r="M343" s="406" t="s">
        <v>1377</v>
      </c>
    </row>
    <row r="344" spans="2:13" s="40" customFormat="1" x14ac:dyDescent="0.25">
      <c r="B344" s="10" t="s">
        <v>1194</v>
      </c>
      <c r="C344" s="11" t="s">
        <v>847</v>
      </c>
      <c r="D344" s="12">
        <v>1</v>
      </c>
      <c r="E344" s="12">
        <v>0</v>
      </c>
      <c r="F344" s="12">
        <v>1</v>
      </c>
      <c r="G344" s="337">
        <f>+VLOOKUP(Tabla1103453454455456479116117118120740126148156186254256287328340342343349[[#This Row],[ArtÃ­culo]],Tabla34[#All],3,0)</f>
        <v>726.66666667000004</v>
      </c>
      <c r="H344" s="338">
        <f>+Tabla1103453454455456479116117118120740126148156186254256287328340342343349[[#This Row],[Coste Componente]]*Tabla1103453454455456479116117118120740126148156186254256287328340342343349[[#This Row],[Unidades]]</f>
        <v>726.66666667000004</v>
      </c>
      <c r="J344" s="8" t="s">
        <v>15</v>
      </c>
      <c r="K344" s="15">
        <f>+K342/K343</f>
        <v>21.698552725065518</v>
      </c>
      <c r="M344" s="384"/>
    </row>
    <row r="345" spans="2:13" s="40" customFormat="1" x14ac:dyDescent="0.25">
      <c r="B345" s="16"/>
      <c r="C345" s="17"/>
      <c r="D345" s="17"/>
      <c r="E345" s="17"/>
      <c r="F345" s="17"/>
      <c r="G345" s="18"/>
      <c r="H345" s="18">
        <f>SUBTOTAL(109,Tabla1103453454455456479116117118120740126148156186254256287328340342343349[Coste LÃ­nea])</f>
        <v>5992.9336097800006</v>
      </c>
    </row>
    <row r="347" spans="2:13" s="40" customFormat="1" x14ac:dyDescent="0.25">
      <c r="B347" s="1" t="s">
        <v>159</v>
      </c>
      <c r="C347" s="2"/>
      <c r="D347" s="2"/>
      <c r="E347" s="3"/>
      <c r="F347" s="3"/>
      <c r="G347" s="3"/>
      <c r="H347" s="3"/>
      <c r="J347" s="399" t="s">
        <v>0</v>
      </c>
      <c r="K347" s="399"/>
      <c r="M347" s="406" t="s">
        <v>1383</v>
      </c>
    </row>
    <row r="348" spans="2:13" s="40" customFormat="1" x14ac:dyDescent="0.25">
      <c r="B348" s="16" t="s">
        <v>857</v>
      </c>
      <c r="C348" s="17" t="s">
        <v>895</v>
      </c>
      <c r="D348" s="17" t="s">
        <v>892</v>
      </c>
      <c r="E348" s="17" t="s">
        <v>893</v>
      </c>
      <c r="F348" s="17" t="s">
        <v>894</v>
      </c>
      <c r="G348" s="76" t="s">
        <v>901</v>
      </c>
      <c r="H348" s="76" t="s">
        <v>902</v>
      </c>
      <c r="J348" s="8" t="s">
        <v>6</v>
      </c>
      <c r="K348" s="9">
        <f>SUM(Tabla1103453454455456479116117118120740126148156186254256287328340342343349351[Coste LÃ­nea])</f>
        <v>5729.3586972200001</v>
      </c>
      <c r="M348" s="384"/>
    </row>
    <row r="349" spans="2:13" s="40" customFormat="1" x14ac:dyDescent="0.25">
      <c r="B349" s="10" t="s">
        <v>631</v>
      </c>
      <c r="C349" s="11" t="s">
        <v>67</v>
      </c>
      <c r="D349" s="12">
        <v>10</v>
      </c>
      <c r="E349" s="12">
        <v>0</v>
      </c>
      <c r="F349" s="12">
        <v>10</v>
      </c>
      <c r="G349" s="337">
        <f>+VLOOKUP(Tabla1103453454455456479116117118120740126148156186254256287328340342343349351[[#This Row],[ArtÃ­culo]],Tabla34[#All],3,0)</f>
        <v>34.714285709999999</v>
      </c>
      <c r="H349" s="338">
        <f>+Tabla1103453454455456479116117118120740126148156186254256287328340342343349351[[#This Row],[Coste Componente]]*Tabla1103453454455456479116117118120740126148156186254256287328340342343349351[[#This Row],[Unidades]]</f>
        <v>347.14285710000001</v>
      </c>
      <c r="J349" s="8" t="s">
        <v>12</v>
      </c>
      <c r="K349" s="15">
        <f>+K348*5%</f>
        <v>286.467934861</v>
      </c>
      <c r="M349" s="384"/>
    </row>
    <row r="350" spans="2:13" s="40" customFormat="1" x14ac:dyDescent="0.25">
      <c r="B350" s="10" t="s">
        <v>724</v>
      </c>
      <c r="C350" s="11" t="s">
        <v>67</v>
      </c>
      <c r="D350" s="12">
        <v>200</v>
      </c>
      <c r="E350" s="12">
        <v>0</v>
      </c>
      <c r="F350" s="12">
        <v>200</v>
      </c>
      <c r="G350" s="337">
        <f>+VLOOKUP(Tabla1103453454455456479116117118120740126148156186254256287328340342343349351[[#This Row],[ArtÃ­culo]],Tabla34[#All],3,0)</f>
        <v>17.88</v>
      </c>
      <c r="H350" s="338">
        <f>+Tabla1103453454455456479116117118120740126148156186254256287328340342343349351[[#This Row],[Coste Componente]]*Tabla1103453454455456479116117118120740126148156186254256287328340342343349351[[#This Row],[Unidades]]</f>
        <v>3576</v>
      </c>
      <c r="J350" s="8" t="s">
        <v>13</v>
      </c>
      <c r="K350" s="15">
        <f>+K348+K349</f>
        <v>6015.8266320809998</v>
      </c>
    </row>
    <row r="351" spans="2:13" s="40" customFormat="1" x14ac:dyDescent="0.25">
      <c r="B351" s="10" t="s">
        <v>1194</v>
      </c>
      <c r="C351" s="11" t="s">
        <v>847</v>
      </c>
      <c r="D351" s="12">
        <v>2</v>
      </c>
      <c r="E351" s="12">
        <v>0</v>
      </c>
      <c r="F351" s="12">
        <v>2</v>
      </c>
      <c r="G351" s="337">
        <f>+VLOOKUP(Tabla1103453454455456479116117118120740126148156186254256287328340342343349351[[#This Row],[ArtÃ­culo]],Tabla34[#All],3,0)</f>
        <v>726.66666667000004</v>
      </c>
      <c r="H351" s="338">
        <f>+Tabla1103453454455456479116117118120740126148156186254256287328340342343349351[[#This Row],[Coste Componente]]*Tabla1103453454455456479116117118120740126148156186254256287328340342343349351[[#This Row],[Unidades]]</f>
        <v>1453.3333333400001</v>
      </c>
      <c r="J351" s="20" t="s">
        <v>1313</v>
      </c>
      <c r="K351" s="328"/>
      <c r="M351" s="406" t="s">
        <v>1377</v>
      </c>
    </row>
    <row r="352" spans="2:13" s="40" customFormat="1" x14ac:dyDescent="0.25">
      <c r="B352" s="10" t="s">
        <v>85</v>
      </c>
      <c r="C352" s="11" t="s">
        <v>67</v>
      </c>
      <c r="D352" s="12">
        <v>50</v>
      </c>
      <c r="E352" s="12">
        <v>0</v>
      </c>
      <c r="F352" s="12">
        <v>50</v>
      </c>
      <c r="G352" s="337">
        <f>+VLOOKUP(Tabla1103453454455456479116117118120740126148156186254256287328340342343349351[[#This Row],[ArtÃ­culo]],Tabla34[#All],3,0)</f>
        <v>4.8816666700000004</v>
      </c>
      <c r="H352" s="338">
        <f>+Tabla1103453454455456479116117118120740126148156186254256287328340342343349351[[#This Row],[Coste Componente]]*Tabla1103453454455456479116117118120740126148156186254256287328340342343349351[[#This Row],[Unidades]]</f>
        <v>244.08333350000001</v>
      </c>
      <c r="J352" s="8" t="s">
        <v>15</v>
      </c>
      <c r="K352" s="15" t="e">
        <f>+K350/K351</f>
        <v>#DIV/0!</v>
      </c>
      <c r="M352" s="384"/>
    </row>
    <row r="353" spans="2:13" s="40" customFormat="1" x14ac:dyDescent="0.25">
      <c r="B353" s="10" t="s">
        <v>1370</v>
      </c>
      <c r="C353" s="11" t="s">
        <v>67</v>
      </c>
      <c r="D353" s="12">
        <v>16</v>
      </c>
      <c r="E353" s="12">
        <v>0</v>
      </c>
      <c r="F353" s="12">
        <v>16</v>
      </c>
      <c r="G353" s="337">
        <f>+VLOOKUP(Tabla1103453454455456479116117118120740126148156186254256287328340342343349351[[#This Row],[ArtÃ­culo]],Tabla34[#All],3,0)</f>
        <v>4.8041983300000002</v>
      </c>
      <c r="H353" s="338">
        <f>+Tabla1103453454455456479116117118120740126148156186254256287328340342343349351[[#This Row],[Coste Componente]]*Tabla1103453454455456479116117118120740126148156186254256287328340342343349351[[#This Row],[Unidades]]</f>
        <v>76.867173280000003</v>
      </c>
    </row>
    <row r="354" spans="2:13" s="40" customFormat="1" x14ac:dyDescent="0.25">
      <c r="B354" s="10" t="s">
        <v>202</v>
      </c>
      <c r="C354" s="11" t="s">
        <v>67</v>
      </c>
      <c r="D354" s="12">
        <v>2</v>
      </c>
      <c r="E354" s="12">
        <v>0</v>
      </c>
      <c r="F354" s="12">
        <v>2</v>
      </c>
      <c r="G354" s="337">
        <f>+VLOOKUP(Tabla1103453454455456479116117118120740126148156186254256287328340342343349351[[#This Row],[ArtÃ­culo]],Tabla34[#All],3,0)</f>
        <v>15.965999999999999</v>
      </c>
      <c r="H354" s="338">
        <f>+Tabla1103453454455456479116117118120740126148156186254256287328340342343349351[[#This Row],[Coste Componente]]*Tabla1103453454455456479116117118120740126148156186254256287328340342343349351[[#This Row],[Unidades]]</f>
        <v>31.931999999999999</v>
      </c>
    </row>
    <row r="355" spans="2:13" s="40" customFormat="1" x14ac:dyDescent="0.25">
      <c r="B355" s="16"/>
      <c r="C355" s="17"/>
      <c r="D355" s="17"/>
      <c r="E355" s="17"/>
      <c r="F355" s="17"/>
      <c r="G355" s="18"/>
      <c r="H355" s="18">
        <f>SUBTOTAL(109,Tabla1103453454455456479116117118120740126148156186254256287328340342343349351[Coste LÃ­nea])</f>
        <v>5729.3586972200001</v>
      </c>
    </row>
    <row r="358" spans="2:13" s="40" customFormat="1" x14ac:dyDescent="0.25">
      <c r="B358" s="1" t="s">
        <v>165</v>
      </c>
      <c r="C358" s="2"/>
      <c r="D358" s="2"/>
      <c r="E358" s="3"/>
      <c r="F358" s="3"/>
      <c r="G358" s="3"/>
      <c r="H358" s="3"/>
      <c r="J358" s="399" t="s">
        <v>0</v>
      </c>
      <c r="K358" s="399"/>
      <c r="M358" s="406" t="s">
        <v>1383</v>
      </c>
    </row>
    <row r="359" spans="2:13" s="40" customFormat="1" x14ac:dyDescent="0.25">
      <c r="B359" s="16" t="s">
        <v>857</v>
      </c>
      <c r="C359" s="17" t="s">
        <v>895</v>
      </c>
      <c r="D359" s="17" t="s">
        <v>892</v>
      </c>
      <c r="E359" s="17" t="s">
        <v>893</v>
      </c>
      <c r="F359" s="17" t="s">
        <v>894</v>
      </c>
      <c r="G359" s="76" t="s">
        <v>901</v>
      </c>
      <c r="H359" s="76" t="s">
        <v>902</v>
      </c>
      <c r="J359" s="8" t="s">
        <v>6</v>
      </c>
      <c r="K359" s="9">
        <f>SUM(Tabla1103453454455456479116117118120740126148156186254256287328340342343349354[Coste LÃ­nea])</f>
        <v>43243.636906789994</v>
      </c>
      <c r="M359" s="384"/>
    </row>
    <row r="360" spans="2:13" s="40" customFormat="1" x14ac:dyDescent="0.25">
      <c r="B360" s="10" t="s">
        <v>313</v>
      </c>
      <c r="C360" s="11" t="s">
        <v>67</v>
      </c>
      <c r="D360" s="12">
        <v>75</v>
      </c>
      <c r="E360" s="12">
        <v>0</v>
      </c>
      <c r="F360" s="12">
        <v>75</v>
      </c>
      <c r="G360" s="337">
        <f>+VLOOKUP(Tabla1103453454455456479116117118120740126148156186254256287328340342343349354[[#This Row],[ArtÃ­culo]],Tabla34[#All],3,0)</f>
        <v>7.6838499999999996</v>
      </c>
      <c r="H360" s="338">
        <f>+Tabla1103453454455456479116117118120740126148156186254256287328340342343349354[[#This Row],[Coste Componente]]*Tabla1103453454455456479116117118120740126148156186254256287328340342343349354[[#This Row],[Unidades]]</f>
        <v>576.28874999999994</v>
      </c>
      <c r="J360" s="8" t="s">
        <v>12</v>
      </c>
      <c r="K360" s="15">
        <f>+K359*5%</f>
        <v>2162.1818453394999</v>
      </c>
      <c r="M360" s="384"/>
    </row>
    <row r="361" spans="2:13" s="40" customFormat="1" x14ac:dyDescent="0.25">
      <c r="B361" s="10" t="s">
        <v>1069</v>
      </c>
      <c r="C361" s="11" t="s">
        <v>67</v>
      </c>
      <c r="D361" s="12">
        <v>250</v>
      </c>
      <c r="E361" s="12">
        <v>0</v>
      </c>
      <c r="F361" s="12">
        <v>250</v>
      </c>
      <c r="G361" s="337">
        <f>+VLOOKUP(Tabla1103453454455456479116117118120740126148156186254256287328340342343349354[[#This Row],[ArtÃ­culo]],Tabla34[#All],3,0)</f>
        <v>57.12</v>
      </c>
      <c r="H361" s="338">
        <f>+Tabla1103453454455456479116117118120740126148156186254256287328340342343349354[[#This Row],[Coste Componente]]*Tabla1103453454455456479116117118120740126148156186254256287328340342343349354[[#This Row],[Unidades]]</f>
        <v>14280</v>
      </c>
      <c r="J361" s="8" t="s">
        <v>13</v>
      </c>
      <c r="K361" s="15">
        <f>+K359+K360</f>
        <v>45405.818752129497</v>
      </c>
    </row>
    <row r="362" spans="2:13" s="40" customFormat="1" x14ac:dyDescent="0.25">
      <c r="B362" s="10" t="s">
        <v>631</v>
      </c>
      <c r="C362" s="11" t="s">
        <v>67</v>
      </c>
      <c r="D362" s="12">
        <v>150</v>
      </c>
      <c r="E362" s="12">
        <v>0</v>
      </c>
      <c r="F362" s="12">
        <v>150</v>
      </c>
      <c r="G362" s="337">
        <f>+VLOOKUP(Tabla1103453454455456479116117118120740126148156186254256287328340342343349354[[#This Row],[ArtÃ­culo]],Tabla34[#All],3,0)</f>
        <v>34.714285709999999</v>
      </c>
      <c r="H362" s="338">
        <f>+Tabla1103453454455456479116117118120740126148156186254256287328340342343349354[[#This Row],[Coste Componente]]*Tabla1103453454455456479116117118120740126148156186254256287328340342343349354[[#This Row],[Unidades]]</f>
        <v>5207.1428564999997</v>
      </c>
      <c r="J362" s="20" t="s">
        <v>1313</v>
      </c>
      <c r="K362" s="328">
        <v>55</v>
      </c>
      <c r="M362" s="406" t="s">
        <v>1377</v>
      </c>
    </row>
    <row r="363" spans="2:13" s="40" customFormat="1" x14ac:dyDescent="0.25">
      <c r="B363" s="10" t="s">
        <v>724</v>
      </c>
      <c r="C363" s="11" t="s">
        <v>67</v>
      </c>
      <c r="D363" s="12">
        <v>1200</v>
      </c>
      <c r="E363" s="12">
        <v>0</v>
      </c>
      <c r="F363" s="12">
        <v>1200</v>
      </c>
      <c r="G363" s="337">
        <f>+VLOOKUP(Tabla1103453454455456479116117118120740126148156186254256287328340342343349354[[#This Row],[ArtÃ­culo]],Tabla34[#All],3,0)</f>
        <v>17.88</v>
      </c>
      <c r="H363" s="338">
        <f>+Tabla1103453454455456479116117118120740126148156186254256287328340342343349354[[#This Row],[Coste Componente]]*Tabla1103453454455456479116117118120740126148156186254256287328340342343349354[[#This Row],[Unidades]]</f>
        <v>21456</v>
      </c>
      <c r="J363" s="8" t="s">
        <v>15</v>
      </c>
      <c r="K363" s="15">
        <f>+K361/K362</f>
        <v>825.56034094780898</v>
      </c>
      <c r="M363" s="384"/>
    </row>
    <row r="364" spans="2:13" s="40" customFormat="1" x14ac:dyDescent="0.25">
      <c r="B364" s="10" t="s">
        <v>312</v>
      </c>
      <c r="C364" s="11" t="s">
        <v>67</v>
      </c>
      <c r="D364" s="12">
        <v>255</v>
      </c>
      <c r="E364" s="12">
        <v>0</v>
      </c>
      <c r="F364" s="12">
        <v>255</v>
      </c>
      <c r="G364" s="337">
        <f>+VLOOKUP(Tabla1103453454455456479116117118120740126148156186254256287328340342343349354[[#This Row],[ArtÃ­culo]],Tabla34[#All],3,0)</f>
        <v>4.2671999999999999</v>
      </c>
      <c r="H364" s="338">
        <f>+Tabla1103453454455456479116117118120740126148156186254256287328340342343349354[[#This Row],[Coste Componente]]*Tabla1103453454455456479116117118120740126148156186254256287328340342343349354[[#This Row],[Unidades]]</f>
        <v>1088.136</v>
      </c>
      <c r="J364" s="4"/>
      <c r="K364" s="36"/>
    </row>
    <row r="365" spans="2:13" s="40" customFormat="1" x14ac:dyDescent="0.25">
      <c r="B365" s="10" t="s">
        <v>187</v>
      </c>
      <c r="C365" s="11" t="s">
        <v>67</v>
      </c>
      <c r="D365" s="12">
        <v>45</v>
      </c>
      <c r="E365" s="12">
        <v>0</v>
      </c>
      <c r="F365" s="12">
        <v>45</v>
      </c>
      <c r="G365" s="337">
        <f>+VLOOKUP(Tabla1103453454455456479116117118120740126148156186254256287328340342343349354[[#This Row],[ArtÃ­culo]],Tabla34[#All],3,0)</f>
        <v>4.7</v>
      </c>
      <c r="H365" s="338">
        <f>+Tabla1103453454455456479116117118120740126148156186254256287328340342343349354[[#This Row],[Coste Componente]]*Tabla1103453454455456479116117118120740126148156186254256287328340342343349354[[#This Row],[Unidades]]</f>
        <v>211.5</v>
      </c>
      <c r="J365" s="4"/>
      <c r="K365" s="36"/>
    </row>
    <row r="366" spans="2:13" s="40" customFormat="1" x14ac:dyDescent="0.25">
      <c r="B366" s="10" t="s">
        <v>954</v>
      </c>
      <c r="C366" s="11" t="s">
        <v>67</v>
      </c>
      <c r="D366" s="12">
        <v>2</v>
      </c>
      <c r="E366" s="12">
        <v>0</v>
      </c>
      <c r="F366" s="12">
        <v>2</v>
      </c>
      <c r="G366" s="337">
        <f>+VLOOKUP(Tabla1103453454455456479116117118120740126148156186254256287328340342343349354[[#This Row],[ArtÃ­culo]],Tabla34[#All],3,0)</f>
        <v>114.62</v>
      </c>
      <c r="H366" s="338">
        <f>+Tabla1103453454455456479116117118120740126148156186254256287328340342343349354[[#This Row],[Coste Componente]]*Tabla1103453454455456479116117118120740126148156186254256287328340342343349354[[#This Row],[Unidades]]</f>
        <v>229.24</v>
      </c>
      <c r="J366" s="4"/>
      <c r="K366" s="36"/>
    </row>
    <row r="367" spans="2:13" s="40" customFormat="1" x14ac:dyDescent="0.25">
      <c r="B367" s="10" t="s">
        <v>840</v>
      </c>
      <c r="C367" s="11" t="s">
        <v>67</v>
      </c>
      <c r="D367" s="12">
        <v>2</v>
      </c>
      <c r="E367" s="12">
        <v>0</v>
      </c>
      <c r="F367" s="12">
        <v>2</v>
      </c>
      <c r="G367" s="337">
        <f>+VLOOKUP(Tabla1103453454455456479116117118120740126148156186254256287328340342343349354[[#This Row],[ArtÃ­culo]],Tabla34[#All],3,0)</f>
        <v>57.218061669999997</v>
      </c>
      <c r="H367" s="338">
        <f>+Tabla1103453454455456479116117118120740126148156186254256287328340342343349354[[#This Row],[Coste Componente]]*Tabla1103453454455456479116117118120740126148156186254256287328340342343349354[[#This Row],[Unidades]]</f>
        <v>114.43612333999999</v>
      </c>
      <c r="J367" s="4"/>
      <c r="K367" s="36"/>
    </row>
    <row r="368" spans="2:13" s="40" customFormat="1" x14ac:dyDescent="0.25">
      <c r="B368" s="10" t="s">
        <v>89</v>
      </c>
      <c r="C368" s="11" t="s">
        <v>67</v>
      </c>
      <c r="D368" s="12">
        <v>4</v>
      </c>
      <c r="E368" s="12">
        <v>0</v>
      </c>
      <c r="F368" s="12">
        <v>4</v>
      </c>
      <c r="G368" s="337">
        <f>+VLOOKUP(Tabla1103453454455456479116117118120740126148156186254256287328340342343349354[[#This Row],[ArtÃ­culo]],Tabla34[#All],3,0)</f>
        <v>2.4009999999999998</v>
      </c>
      <c r="H368" s="338">
        <f>+Tabla1103453454455456479116117118120740126148156186254256287328340342343349354[[#This Row],[Coste Componente]]*Tabla1103453454455456479116117118120740126148156186254256287328340342343349354[[#This Row],[Unidades]]</f>
        <v>9.6039999999999992</v>
      </c>
      <c r="J368" s="4"/>
      <c r="K368" s="36"/>
    </row>
    <row r="369" spans="2:13" s="40" customFormat="1" x14ac:dyDescent="0.25">
      <c r="B369" s="10" t="s">
        <v>37</v>
      </c>
      <c r="C369" s="11" t="s">
        <v>67</v>
      </c>
      <c r="D369" s="12">
        <v>5</v>
      </c>
      <c r="E369" s="12">
        <v>0</v>
      </c>
      <c r="F369" s="12">
        <v>5</v>
      </c>
      <c r="G369" s="337">
        <f>+VLOOKUP(Tabla1103453454455456479116117118120740126148156186254256287328340342343349354[[#This Row],[ArtÃ­culo]],Tabla34[#All],3,0)</f>
        <v>14.25783539</v>
      </c>
      <c r="H369" s="338">
        <f>+Tabla1103453454455456479116117118120740126148156186254256287328340342343349354[[#This Row],[Coste Componente]]*Tabla1103453454455456479116117118120740126148156186254256287328340342343349354[[#This Row],[Unidades]]</f>
        <v>71.289176949999998</v>
      </c>
      <c r="J369" s="4"/>
      <c r="K369" s="36"/>
    </row>
    <row r="370" spans="2:13" s="40" customFormat="1" x14ac:dyDescent="0.25">
      <c r="B370" s="16"/>
      <c r="C370" s="17"/>
      <c r="D370" s="17"/>
      <c r="E370" s="17"/>
      <c r="F370" s="17"/>
      <c r="G370" s="18"/>
      <c r="H370" s="18">
        <f>SUBTOTAL(109,Tabla1103453454455456479116117118120740126148156186254256287328340342343349354[Coste LÃ­nea])</f>
        <v>43243.636906789994</v>
      </c>
    </row>
    <row r="373" spans="2:13" s="40" customFormat="1" x14ac:dyDescent="0.25">
      <c r="B373" s="1" t="s">
        <v>830</v>
      </c>
      <c r="C373" s="2"/>
      <c r="D373" s="2"/>
      <c r="E373" s="3"/>
      <c r="F373" s="3"/>
      <c r="G373" s="3"/>
      <c r="H373" s="3"/>
      <c r="J373" s="399" t="s">
        <v>0</v>
      </c>
      <c r="K373" s="399"/>
      <c r="M373" s="406" t="s">
        <v>1383</v>
      </c>
    </row>
    <row r="374" spans="2:13" s="40" customFormat="1" x14ac:dyDescent="0.25">
      <c r="B374" s="16" t="s">
        <v>857</v>
      </c>
      <c r="C374" s="17" t="s">
        <v>895</v>
      </c>
      <c r="D374" s="17" t="s">
        <v>892</v>
      </c>
      <c r="E374" s="17" t="s">
        <v>893</v>
      </c>
      <c r="F374" s="17" t="s">
        <v>894</v>
      </c>
      <c r="G374" s="76" t="s">
        <v>901</v>
      </c>
      <c r="H374" s="76" t="s">
        <v>902</v>
      </c>
      <c r="J374" s="8" t="s">
        <v>6</v>
      </c>
      <c r="K374" s="9">
        <f>SUM(Tabla1103453454455456479116117118120740126148156186254256287328340342343349356[Coste LÃ­nea])</f>
        <v>8991.7967274000002</v>
      </c>
      <c r="M374" s="384"/>
    </row>
    <row r="375" spans="2:13" s="40" customFormat="1" x14ac:dyDescent="0.25">
      <c r="B375" s="10" t="s">
        <v>99</v>
      </c>
      <c r="C375" s="11" t="s">
        <v>67</v>
      </c>
      <c r="D375" s="12">
        <v>70</v>
      </c>
      <c r="E375" s="12">
        <v>0</v>
      </c>
      <c r="F375" s="12">
        <v>70</v>
      </c>
      <c r="G375" s="337">
        <f>+VLOOKUP(Tabla1103453454455456479116117118120740126148156186254256287328340342343349356[[#This Row],[ArtÃ­culo]],Tabla34[#All],3,0)</f>
        <v>49.977947020000002</v>
      </c>
      <c r="H375" s="338">
        <f>+Tabla1103453454455456479116117118120740126148156186254256287328340342343349356[[#This Row],[Coste Componente]]*Tabla1103453454455456479116117118120740126148156186254256287328340342343349356[[#This Row],[Unidades]]</f>
        <v>3498.4562914000003</v>
      </c>
      <c r="J375" s="8" t="s">
        <v>12</v>
      </c>
      <c r="K375" s="15">
        <f>+K374*5%</f>
        <v>449.58983637000006</v>
      </c>
      <c r="M375" s="384"/>
    </row>
    <row r="376" spans="2:13" s="40" customFormat="1" x14ac:dyDescent="0.25">
      <c r="B376" s="10" t="s">
        <v>194</v>
      </c>
      <c r="C376" s="11" t="s">
        <v>67</v>
      </c>
      <c r="D376" s="12">
        <v>200</v>
      </c>
      <c r="E376" s="12">
        <v>0</v>
      </c>
      <c r="F376" s="12">
        <v>200</v>
      </c>
      <c r="G376" s="337">
        <f>+VLOOKUP(Tabla1103453454455456479116117118120740126148156186254256287328340342343349356[[#This Row],[ArtÃ­culo]],Tabla34[#All],3,0)</f>
        <v>27.466702179999999</v>
      </c>
      <c r="H376" s="338">
        <f>+Tabla1103453454455456479116117118120740126148156186254256287328340342343349356[[#This Row],[Coste Componente]]*Tabla1103453454455456479116117118120740126148156186254256287328340342343349356[[#This Row],[Unidades]]</f>
        <v>5493.3404359999995</v>
      </c>
      <c r="J376" s="8" t="s">
        <v>13</v>
      </c>
      <c r="K376" s="15">
        <f>+K374+K375</f>
        <v>9441.3865637700001</v>
      </c>
    </row>
    <row r="377" spans="2:13" s="40" customFormat="1" x14ac:dyDescent="0.25">
      <c r="B377" s="16"/>
      <c r="C377" s="17"/>
      <c r="D377" s="17"/>
      <c r="E377" s="17"/>
      <c r="F377" s="17"/>
      <c r="G377" s="18"/>
      <c r="H377" s="18">
        <f>SUBTOTAL(109,Tabla1103453454455456479116117118120740126148156186254256287328340342343349356[Coste LÃ­nea])</f>
        <v>8991.7967274000002</v>
      </c>
      <c r="J377" s="20" t="s">
        <v>1313</v>
      </c>
      <c r="K377" s="328">
        <v>270</v>
      </c>
      <c r="M377" s="406" t="s">
        <v>1377</v>
      </c>
    </row>
    <row r="378" spans="2:13" s="40" customFormat="1" x14ac:dyDescent="0.25">
      <c r="J378" s="8" t="s">
        <v>15</v>
      </c>
      <c r="K378" s="15">
        <f>+K376/K377</f>
        <v>34.968098384333331</v>
      </c>
      <c r="M378" s="384"/>
    </row>
    <row r="380" spans="2:13" s="40" customFormat="1" x14ac:dyDescent="0.25">
      <c r="B380" s="1" t="s">
        <v>123</v>
      </c>
      <c r="C380" s="2"/>
      <c r="D380" s="2"/>
      <c r="E380" s="3"/>
      <c r="F380" s="3"/>
      <c r="G380" s="3"/>
      <c r="H380" s="3"/>
      <c r="J380" s="399" t="s">
        <v>0</v>
      </c>
      <c r="K380" s="399"/>
      <c r="M380" s="406" t="s">
        <v>1383</v>
      </c>
    </row>
    <row r="381" spans="2:13" s="40" customFormat="1" x14ac:dyDescent="0.25">
      <c r="B381" s="16" t="s">
        <v>857</v>
      </c>
      <c r="C381" s="17" t="s">
        <v>895</v>
      </c>
      <c r="D381" s="17" t="s">
        <v>892</v>
      </c>
      <c r="E381" s="17" t="s">
        <v>893</v>
      </c>
      <c r="F381" s="17" t="s">
        <v>894</v>
      </c>
      <c r="G381" s="76" t="s">
        <v>901</v>
      </c>
      <c r="H381" s="76" t="s">
        <v>902</v>
      </c>
      <c r="J381" s="8" t="s">
        <v>6</v>
      </c>
      <c r="K381" s="9">
        <f>SUM(Tabla1103453454455456479116117118120740126148156186254256287328340342343349358[Coste LÃ­nea])</f>
        <v>23432.901072350003</v>
      </c>
      <c r="M381" s="384" t="s">
        <v>1776</v>
      </c>
    </row>
    <row r="382" spans="2:13" s="40" customFormat="1" x14ac:dyDescent="0.25">
      <c r="B382" s="10" t="s">
        <v>835</v>
      </c>
      <c r="C382" s="11" t="s">
        <v>67</v>
      </c>
      <c r="D382" s="12">
        <v>1000</v>
      </c>
      <c r="E382" s="12">
        <v>78</v>
      </c>
      <c r="F382" s="12">
        <v>4545.4549999999999</v>
      </c>
      <c r="G382" s="337">
        <f>+VLOOKUP(Tabla1103453454455456479116117118120740126148156186254256287328340342343349358[[#This Row],[ArtÃ­culo]],Tabla34[#All],3,0)</f>
        <v>4.5</v>
      </c>
      <c r="H382" s="338">
        <f>+Tabla1103453454455456479116117118120740126148156186254256287328340342343349358[[#This Row],[Coste Componente]]*Tabla1103453454455456479116117118120740126148156186254256287328340342343349358[[#This Row],[Unidades]]</f>
        <v>20454.547500000001</v>
      </c>
      <c r="J382" s="8" t="s">
        <v>12</v>
      </c>
      <c r="K382" s="15">
        <f>+K381*5%</f>
        <v>1171.6450536175003</v>
      </c>
      <c r="M382" s="384"/>
    </row>
    <row r="383" spans="2:13" s="40" customFormat="1" x14ac:dyDescent="0.25">
      <c r="B383" s="10" t="s">
        <v>450</v>
      </c>
      <c r="C383" s="11" t="s">
        <v>67</v>
      </c>
      <c r="D383" s="12">
        <v>200</v>
      </c>
      <c r="E383" s="12">
        <v>0</v>
      </c>
      <c r="F383" s="12">
        <v>200</v>
      </c>
      <c r="G383" s="337">
        <f>+VLOOKUP(Tabla1103453454455456479116117118120740126148156186254256287328340342343349358[[#This Row],[ArtÃ­culo]],Tabla34[#All],3,0)</f>
        <v>13.40129132</v>
      </c>
      <c r="H383" s="338">
        <f>+Tabla1103453454455456479116117118120740126148156186254256287328340342343349358[[#This Row],[Coste Componente]]*Tabla1103453454455456479116117118120740126148156186254256287328340342343349358[[#This Row],[Unidades]]</f>
        <v>2680.2582640000001</v>
      </c>
      <c r="J383" s="8" t="s">
        <v>13</v>
      </c>
      <c r="K383" s="15">
        <f>+K381+K382</f>
        <v>24604.546125967503</v>
      </c>
      <c r="M383" s="40" t="s">
        <v>1777</v>
      </c>
    </row>
    <row r="384" spans="2:13" s="40" customFormat="1" x14ac:dyDescent="0.25">
      <c r="B384" s="10" t="s">
        <v>89</v>
      </c>
      <c r="C384" s="11" t="s">
        <v>67</v>
      </c>
      <c r="D384" s="12">
        <v>5</v>
      </c>
      <c r="E384" s="12">
        <v>0</v>
      </c>
      <c r="F384" s="12">
        <v>5</v>
      </c>
      <c r="G384" s="337">
        <f>+VLOOKUP(Tabla1103453454455456479116117118120740126148156186254256287328340342343349358[[#This Row],[ArtÃ­culo]],Tabla34[#All],3,0)</f>
        <v>2.4009999999999998</v>
      </c>
      <c r="H384" s="338">
        <f>+Tabla1103453454455456479116117118120740126148156186254256287328340342343349358[[#This Row],[Coste Componente]]*Tabla1103453454455456479116117118120740126148156186254256287328340342343349358[[#This Row],[Unidades]]</f>
        <v>12.004999999999999</v>
      </c>
      <c r="J384" s="20" t="s">
        <v>1313</v>
      </c>
      <c r="K384" s="328">
        <v>790</v>
      </c>
    </row>
    <row r="385" spans="2:13" s="40" customFormat="1" x14ac:dyDescent="0.25">
      <c r="B385" s="10" t="s">
        <v>840</v>
      </c>
      <c r="C385" s="11" t="s">
        <v>67</v>
      </c>
      <c r="D385" s="12">
        <v>5</v>
      </c>
      <c r="E385" s="12">
        <v>0</v>
      </c>
      <c r="F385" s="12">
        <v>5</v>
      </c>
      <c r="G385" s="337">
        <f>+VLOOKUP(Tabla1103453454455456479116117118120740126148156186254256287328340342343349358[[#This Row],[ArtÃ­culo]],Tabla34[#All],3,0)</f>
        <v>57.218061669999997</v>
      </c>
      <c r="H385" s="338">
        <f>+Tabla1103453454455456479116117118120740126148156186254256287328340342343349358[[#This Row],[Coste Componente]]*Tabla1103453454455456479116117118120740126148156186254256287328340342343349358[[#This Row],[Unidades]]</f>
        <v>286.09030834999999</v>
      </c>
      <c r="J385" s="8" t="s">
        <v>15</v>
      </c>
      <c r="K385" s="15">
        <f>+K383/K384</f>
        <v>31.144995096161395</v>
      </c>
      <c r="M385" s="406" t="s">
        <v>1377</v>
      </c>
    </row>
    <row r="386" spans="2:13" s="40" customFormat="1" x14ac:dyDescent="0.25">
      <c r="B386" s="16"/>
      <c r="C386" s="17"/>
      <c r="D386" s="17"/>
      <c r="E386" s="17"/>
      <c r="F386" s="17"/>
      <c r="G386" s="18"/>
      <c r="H386" s="18">
        <f>SUBTOTAL(109,Tabla1103453454455456479116117118120740126148156186254256287328340342343349358[Coste LÃ­nea])</f>
        <v>23432.901072350003</v>
      </c>
      <c r="M386" s="384"/>
    </row>
    <row r="387" spans="2:13" s="40" customFormat="1" x14ac:dyDescent="0.25"/>
    <row r="389" spans="2:13" s="40" customFormat="1" x14ac:dyDescent="0.25">
      <c r="B389" s="1" t="s">
        <v>149</v>
      </c>
      <c r="C389" s="2"/>
      <c r="D389" s="2"/>
      <c r="E389" s="3"/>
      <c r="F389" s="3"/>
      <c r="G389" s="3"/>
      <c r="H389" s="3"/>
      <c r="J389" s="399" t="s">
        <v>0</v>
      </c>
      <c r="K389" s="399"/>
    </row>
    <row r="390" spans="2:13" s="40" customFormat="1" x14ac:dyDescent="0.25">
      <c r="B390" s="16" t="s">
        <v>857</v>
      </c>
      <c r="C390" s="17" t="s">
        <v>895</v>
      </c>
      <c r="D390" s="17" t="s">
        <v>892</v>
      </c>
      <c r="E390" s="17" t="s">
        <v>893</v>
      </c>
      <c r="F390" s="17" t="s">
        <v>894</v>
      </c>
      <c r="G390" s="76" t="s">
        <v>901</v>
      </c>
      <c r="H390" s="76" t="s">
        <v>902</v>
      </c>
      <c r="J390" s="8" t="s">
        <v>6</v>
      </c>
      <c r="K390" s="9">
        <f>SUM(Tabla1103453454455456479116117118120740126148156186254256287328340342343349362[Coste LÃ­nea])</f>
        <v>7772.5430000000006</v>
      </c>
      <c r="M390" s="406" t="s">
        <v>1383</v>
      </c>
    </row>
    <row r="391" spans="2:13" s="40" customFormat="1" x14ac:dyDescent="0.25">
      <c r="B391" s="10" t="s">
        <v>93</v>
      </c>
      <c r="C391" s="11" t="s">
        <v>67</v>
      </c>
      <c r="D391" s="12">
        <v>500</v>
      </c>
      <c r="E391" s="12">
        <v>0</v>
      </c>
      <c r="F391" s="12">
        <v>500</v>
      </c>
      <c r="G391" s="337">
        <f>+VLOOKUP(Tabla1103453454455456479116117118120740126148156186254256287328340342343349362[[#This Row],[ArtÃ­culo]],Tabla34[#All],3,0)</f>
        <v>15.153499999999999</v>
      </c>
      <c r="H391" s="338">
        <f>+Tabla1103453454455456479116117118120740126148156186254256287328340342343349362[[#This Row],[Coste Componente]]*Tabla1103453454455456479116117118120740126148156186254256287328340342343349362[[#This Row],[Unidades]]</f>
        <v>7576.75</v>
      </c>
      <c r="J391" s="8" t="s">
        <v>12</v>
      </c>
      <c r="K391" s="15">
        <f>+K390*5%</f>
        <v>388.62715000000003</v>
      </c>
      <c r="M391" s="384"/>
    </row>
    <row r="392" spans="2:13" s="40" customFormat="1" x14ac:dyDescent="0.25">
      <c r="B392" s="10" t="s">
        <v>89</v>
      </c>
      <c r="C392" s="11" t="s">
        <v>67</v>
      </c>
      <c r="D392" s="12">
        <v>3</v>
      </c>
      <c r="E392" s="12">
        <v>0</v>
      </c>
      <c r="F392" s="12">
        <v>3</v>
      </c>
      <c r="G392" s="337">
        <f>+VLOOKUP(Tabla1103453454455456479116117118120740126148156186254256287328340342343349362[[#This Row],[ArtÃ­culo]],Tabla34[#All],3,0)</f>
        <v>2.4009999999999998</v>
      </c>
      <c r="H392" s="338">
        <f>+Tabla1103453454455456479116117118120740126148156186254256287328340342343349362[[#This Row],[Coste Componente]]*Tabla1103453454455456479116117118120740126148156186254256287328340342343349362[[#This Row],[Unidades]]</f>
        <v>7.2029999999999994</v>
      </c>
      <c r="J392" s="8" t="s">
        <v>13</v>
      </c>
      <c r="K392" s="15">
        <f>+K390+K391</f>
        <v>8161.1701500000008</v>
      </c>
      <c r="M392" s="384"/>
    </row>
    <row r="393" spans="2:13" s="40" customFormat="1" x14ac:dyDescent="0.25">
      <c r="B393" s="10" t="s">
        <v>92</v>
      </c>
      <c r="C393" s="11" t="s">
        <v>67</v>
      </c>
      <c r="D393" s="12">
        <v>10</v>
      </c>
      <c r="E393" s="12">
        <v>0</v>
      </c>
      <c r="F393" s="12">
        <v>10</v>
      </c>
      <c r="G393" s="337">
        <f>+VLOOKUP(Tabla1103453454455456479116117118120740126148156186254256287328340342343349362[[#This Row],[ArtÃ­culo]],Tabla34[#All],3,0)</f>
        <v>18.859000000000002</v>
      </c>
      <c r="H393" s="338">
        <f>+Tabla1103453454455456479116117118120740126148156186254256287328340342343349362[[#This Row],[Coste Componente]]*Tabla1103453454455456479116117118120740126148156186254256287328340342343349362[[#This Row],[Unidades]]</f>
        <v>188.59000000000003</v>
      </c>
      <c r="J393" s="20" t="s">
        <v>1313</v>
      </c>
      <c r="K393" s="328">
        <v>7</v>
      </c>
    </row>
    <row r="394" spans="2:13" s="40" customFormat="1" x14ac:dyDescent="0.25">
      <c r="B394" s="16"/>
      <c r="C394" s="17"/>
      <c r="D394" s="17"/>
      <c r="E394" s="17"/>
      <c r="F394" s="17"/>
      <c r="G394" s="18"/>
      <c r="H394" s="18">
        <f>SUBTOTAL(109,Tabla1103453454455456479116117118120740126148156186254256287328340342343349362[Coste LÃ­nea])</f>
        <v>7772.5430000000006</v>
      </c>
      <c r="J394" s="8" t="s">
        <v>15</v>
      </c>
      <c r="K394" s="15">
        <f>+K392/K393</f>
        <v>1165.8814500000001</v>
      </c>
      <c r="M394" s="406" t="s">
        <v>1377</v>
      </c>
    </row>
    <row r="395" spans="2:13" s="40" customFormat="1" x14ac:dyDescent="0.25">
      <c r="M395" s="384"/>
    </row>
    <row r="398" spans="2:13" s="40" customFormat="1" x14ac:dyDescent="0.25">
      <c r="B398" s="1" t="s">
        <v>1229</v>
      </c>
      <c r="C398" s="2"/>
      <c r="D398" s="2"/>
      <c r="E398" s="3"/>
      <c r="F398" s="3"/>
      <c r="G398" s="3"/>
      <c r="H398" s="3"/>
      <c r="J398" s="399" t="s">
        <v>0</v>
      </c>
      <c r="K398" s="399"/>
    </row>
    <row r="399" spans="2:13" s="40" customFormat="1" x14ac:dyDescent="0.25">
      <c r="B399" s="16" t="s">
        <v>857</v>
      </c>
      <c r="C399" s="17" t="s">
        <v>895</v>
      </c>
      <c r="D399" s="17" t="s">
        <v>892</v>
      </c>
      <c r="E399" s="17" t="s">
        <v>893</v>
      </c>
      <c r="F399" s="17" t="s">
        <v>894</v>
      </c>
      <c r="G399" s="76" t="s">
        <v>901</v>
      </c>
      <c r="H399" s="76" t="s">
        <v>902</v>
      </c>
      <c r="J399" s="8" t="s">
        <v>6</v>
      </c>
      <c r="K399" s="9">
        <f>SUM(Tabla1103453454455456479116117118120740126148156186254256287328340342343349363[Coste LÃ­nea])</f>
        <v>3417.4616616700005</v>
      </c>
      <c r="M399" s="406" t="s">
        <v>1383</v>
      </c>
    </row>
    <row r="400" spans="2:13" s="40" customFormat="1" x14ac:dyDescent="0.25">
      <c r="B400" s="10" t="s">
        <v>38</v>
      </c>
      <c r="C400" s="11" t="s">
        <v>67</v>
      </c>
      <c r="D400" s="12">
        <v>2800</v>
      </c>
      <c r="E400" s="12">
        <v>0</v>
      </c>
      <c r="F400" s="12">
        <v>2800</v>
      </c>
      <c r="G400" s="337">
        <f>+VLOOKUP(Tabla1103453454455456479116117118120740126148156186254256287328340342343349363[[#This Row],[ArtÃ­culo]],Tabla34[#All],3,0)</f>
        <v>0</v>
      </c>
      <c r="H400" s="338">
        <f>+Tabla1103453454455456479116117118120740126148156186254256287328340342343349363[[#This Row],[Coste Componente]]*Tabla1103453454455456479116117118120740126148156186254256287328340342343349363[[#This Row],[Unidades]]</f>
        <v>0</v>
      </c>
      <c r="J400" s="8" t="s">
        <v>12</v>
      </c>
      <c r="K400" s="15">
        <f>+K399*5%</f>
        <v>170.87308308350003</v>
      </c>
      <c r="M400" s="405" t="s">
        <v>1772</v>
      </c>
    </row>
    <row r="401" spans="2:13" s="40" customFormat="1" x14ac:dyDescent="0.25">
      <c r="B401" s="10" t="s">
        <v>699</v>
      </c>
      <c r="C401" s="11" t="s">
        <v>67</v>
      </c>
      <c r="D401" s="12">
        <v>300</v>
      </c>
      <c r="E401" s="12">
        <v>0</v>
      </c>
      <c r="F401" s="12">
        <v>300</v>
      </c>
      <c r="G401" s="337">
        <f>+VLOOKUP(Tabla1103453454455456479116117118120740126148156186254256287328340342343349363[[#This Row],[ArtÃ­culo]],Tabla34[#All],3,0)</f>
        <v>9.5</v>
      </c>
      <c r="H401" s="338">
        <f>+Tabla1103453454455456479116117118120740126148156186254256287328340342343349363[[#This Row],[Coste Componente]]*Tabla1103453454455456479116117118120740126148156186254256287328340342343349363[[#This Row],[Unidades]]</f>
        <v>2850</v>
      </c>
      <c r="J401" s="8" t="s">
        <v>13</v>
      </c>
      <c r="K401" s="15">
        <f>+K399+K400</f>
        <v>3588.3347447535007</v>
      </c>
      <c r="M401" s="405" t="s">
        <v>1773</v>
      </c>
    </row>
    <row r="402" spans="2:13" s="40" customFormat="1" x14ac:dyDescent="0.25">
      <c r="B402" s="10" t="s">
        <v>730</v>
      </c>
      <c r="C402" s="11" t="s">
        <v>67</v>
      </c>
      <c r="D402" s="12">
        <v>8</v>
      </c>
      <c r="E402" s="12">
        <v>40</v>
      </c>
      <c r="F402" s="12">
        <v>13.333</v>
      </c>
      <c r="G402" s="337">
        <f>+VLOOKUP(Tabla1103453454455456479116117118120740126148156186254256287328340342343349363[[#This Row],[ArtÃ­culo]],Tabla34[#All],3,0)</f>
        <v>12</v>
      </c>
      <c r="H402" s="338">
        <f>+Tabla1103453454455456479116117118120740126148156186254256287328340342343349363[[#This Row],[Coste Componente]]*Tabla1103453454455456479116117118120740126148156186254256287328340342343349363[[#This Row],[Unidades]]</f>
        <v>159.99600000000001</v>
      </c>
      <c r="J402" s="20" t="s">
        <v>1313</v>
      </c>
      <c r="K402" s="328">
        <v>1750</v>
      </c>
    </row>
    <row r="403" spans="2:13" s="40" customFormat="1" x14ac:dyDescent="0.25">
      <c r="B403" s="10" t="s">
        <v>736</v>
      </c>
      <c r="C403" s="11" t="s">
        <v>67</v>
      </c>
      <c r="D403" s="12">
        <v>8</v>
      </c>
      <c r="E403" s="12">
        <v>20</v>
      </c>
      <c r="F403" s="12">
        <v>10</v>
      </c>
      <c r="G403" s="337">
        <f>+VLOOKUP(Tabla1103453454455456479116117118120740126148156186254256287328340342343349363[[#This Row],[ArtÃ­culo]],Tabla34[#All],3,0)</f>
        <v>2.2999999999999998</v>
      </c>
      <c r="H403" s="338">
        <f>+Tabla1103453454455456479116117118120740126148156186254256287328340342343349363[[#This Row],[Coste Componente]]*Tabla1103453454455456479116117118120740126148156186254256287328340342343349363[[#This Row],[Unidades]]</f>
        <v>23</v>
      </c>
      <c r="J403" s="8" t="s">
        <v>15</v>
      </c>
      <c r="K403" s="15">
        <f>+K401/K402</f>
        <v>2.0504769970020003</v>
      </c>
      <c r="M403" s="406" t="s">
        <v>1377</v>
      </c>
    </row>
    <row r="404" spans="2:13" s="40" customFormat="1" x14ac:dyDescent="0.25">
      <c r="B404" s="10" t="s">
        <v>687</v>
      </c>
      <c r="C404" s="11" t="s">
        <v>67</v>
      </c>
      <c r="D404" s="12">
        <v>50</v>
      </c>
      <c r="E404" s="12">
        <v>25</v>
      </c>
      <c r="F404" s="12">
        <v>66.667000000000002</v>
      </c>
      <c r="G404" s="337">
        <f>+VLOOKUP(Tabla1103453454455456479116117118120740126148156186254256287328340342343349363[[#This Row],[ArtÃ­culo]],Tabla34[#All],3,0)</f>
        <v>2.8</v>
      </c>
      <c r="H404" s="338">
        <f>+Tabla1103453454455456479116117118120740126148156186254256287328340342343349363[[#This Row],[Coste Componente]]*Tabla1103453454455456479116117118120740126148156186254256287328340342343349363[[#This Row],[Unidades]]</f>
        <v>186.66759999999999</v>
      </c>
      <c r="J404" s="4"/>
      <c r="K404" s="36"/>
      <c r="M404" s="384"/>
    </row>
    <row r="405" spans="2:13" s="40" customFormat="1" x14ac:dyDescent="0.25">
      <c r="B405" s="10" t="s">
        <v>710</v>
      </c>
      <c r="C405" s="11" t="s">
        <v>67</v>
      </c>
      <c r="D405" s="12">
        <v>16</v>
      </c>
      <c r="E405" s="12">
        <v>10</v>
      </c>
      <c r="F405" s="12">
        <v>17.777999999999999</v>
      </c>
      <c r="G405" s="337">
        <f>+VLOOKUP(Tabla1103453454455456479116117118120740126148156186254256287328340342343349363[[#This Row],[ArtÃ­culo]],Tabla34[#All],3,0)</f>
        <v>2.5</v>
      </c>
      <c r="H405" s="338">
        <f>+Tabla1103453454455456479116117118120740126148156186254256287328340342343349363[[#This Row],[Coste Componente]]*Tabla1103453454455456479116117118120740126148156186254256287328340342343349363[[#This Row],[Unidades]]</f>
        <v>44.444999999999993</v>
      </c>
      <c r="J405" s="4"/>
      <c r="K405" s="36"/>
    </row>
    <row r="406" spans="2:13" s="40" customFormat="1" x14ac:dyDescent="0.25">
      <c r="B406" s="10" t="s">
        <v>219</v>
      </c>
      <c r="C406" s="11" t="s">
        <v>67</v>
      </c>
      <c r="D406" s="12">
        <v>0.5</v>
      </c>
      <c r="E406" s="12">
        <v>0</v>
      </c>
      <c r="F406" s="12">
        <v>0.5</v>
      </c>
      <c r="G406" s="337">
        <f>+VLOOKUP(Tabla1103453454455456479116117118120740126148156186254256287328340342343349363[[#This Row],[ArtÃ­culo]],Tabla34[#All],3,0)</f>
        <v>30.77</v>
      </c>
      <c r="H406" s="338">
        <f>+Tabla1103453454455456479116117118120740126148156186254256287328340342343349363[[#This Row],[Coste Componente]]*Tabla1103453454455456479116117118120740126148156186254256287328340342343349363[[#This Row],[Unidades]]</f>
        <v>15.385</v>
      </c>
      <c r="J406" s="4"/>
      <c r="K406" s="36"/>
    </row>
    <row r="407" spans="2:13" s="40" customFormat="1" x14ac:dyDescent="0.25">
      <c r="B407" s="10" t="s">
        <v>746</v>
      </c>
      <c r="C407" s="11" t="s">
        <v>67</v>
      </c>
      <c r="D407" s="12">
        <v>0.5</v>
      </c>
      <c r="E407" s="12">
        <v>0</v>
      </c>
      <c r="F407" s="12">
        <v>0.5</v>
      </c>
      <c r="G407" s="337">
        <f>+VLOOKUP(Tabla1103453454455456479116117118120740126148156186254256287328340342343349363[[#This Row],[ArtÃ­culo]],Tabla34[#All],3,0)</f>
        <v>12</v>
      </c>
      <c r="H407" s="338">
        <f>+Tabla1103453454455456479116117118120740126148156186254256287328340342343349363[[#This Row],[Coste Componente]]*Tabla1103453454455456479116117118120740126148156186254256287328340342343349363[[#This Row],[Unidades]]</f>
        <v>6</v>
      </c>
      <c r="J407" s="4"/>
      <c r="K407" s="36"/>
    </row>
    <row r="408" spans="2:13" s="40" customFormat="1" x14ac:dyDescent="0.25">
      <c r="B408" s="10" t="s">
        <v>748</v>
      </c>
      <c r="C408" s="11" t="s">
        <v>67</v>
      </c>
      <c r="D408" s="12">
        <v>0.5</v>
      </c>
      <c r="E408" s="12">
        <v>0</v>
      </c>
      <c r="F408" s="12">
        <v>0.5</v>
      </c>
      <c r="G408" s="337">
        <f>+VLOOKUP(Tabla1103453454455456479116117118120740126148156186254256287328340342343349363[[#This Row],[ArtÃ­culo]],Tabla34[#All],3,0)</f>
        <v>10.5</v>
      </c>
      <c r="H408" s="338">
        <f>+Tabla1103453454455456479116117118120740126148156186254256287328340342343349363[[#This Row],[Coste Componente]]*Tabla1103453454455456479116117118120740126148156186254256287328340342343349363[[#This Row],[Unidades]]</f>
        <v>5.25</v>
      </c>
    </row>
    <row r="409" spans="2:13" s="40" customFormat="1" x14ac:dyDescent="0.25">
      <c r="B409" s="10" t="s">
        <v>976</v>
      </c>
      <c r="C409" s="11" t="s">
        <v>67</v>
      </c>
      <c r="D409" s="12">
        <v>0.5</v>
      </c>
      <c r="E409" s="12">
        <v>0</v>
      </c>
      <c r="F409" s="12">
        <v>0.5</v>
      </c>
      <c r="G409" s="337">
        <f>+VLOOKUP(Tabla1103453454455456479116117118120740126148156186254256287328340342343349363[[#This Row],[ArtÃ­culo]],Tabla34[#All],3,0)</f>
        <v>25</v>
      </c>
      <c r="H409" s="338">
        <f>+Tabla1103453454455456479116117118120740126148156186254256287328340342343349363[[#This Row],[Coste Componente]]*Tabla1103453454455456479116117118120740126148156186254256287328340342343349363[[#This Row],[Unidades]]</f>
        <v>12.5</v>
      </c>
    </row>
    <row r="410" spans="2:13" s="40" customFormat="1" x14ac:dyDescent="0.25">
      <c r="B410" s="10" t="s">
        <v>840</v>
      </c>
      <c r="C410" s="11" t="s">
        <v>67</v>
      </c>
      <c r="D410" s="12">
        <v>1</v>
      </c>
      <c r="E410" s="12">
        <v>0</v>
      </c>
      <c r="F410" s="12">
        <v>1</v>
      </c>
      <c r="G410" s="337">
        <f>+VLOOKUP(Tabla1103453454455456479116117118120740126148156186254256287328340342343349363[[#This Row],[ArtÃ­culo]],Tabla34[#All],3,0)</f>
        <v>57.218061669999997</v>
      </c>
      <c r="H410" s="338">
        <f>+Tabla1103453454455456479116117118120740126148156186254256287328340342343349363[[#This Row],[Coste Componente]]*Tabla1103453454455456479116117118120740126148156186254256287328340342343349363[[#This Row],[Unidades]]</f>
        <v>57.218061669999997</v>
      </c>
      <c r="M410" s="50"/>
    </row>
    <row r="411" spans="2:13" s="40" customFormat="1" x14ac:dyDescent="0.25">
      <c r="B411" s="10" t="s">
        <v>824</v>
      </c>
      <c r="C411" s="11" t="s">
        <v>67</v>
      </c>
      <c r="D411" s="12">
        <v>3</v>
      </c>
      <c r="E411" s="12">
        <v>0</v>
      </c>
      <c r="F411" s="12">
        <v>3</v>
      </c>
      <c r="G411" s="337">
        <f>+VLOOKUP(Tabla1103453454455456479116117118120740126148156186254256287328340342343349363[[#This Row],[ArtÃ­culo]],Tabla34[#All],3,0)</f>
        <v>19</v>
      </c>
      <c r="H411" s="338">
        <f>+Tabla1103453454455456479116117118120740126148156186254256287328340342343349363[[#This Row],[Coste Componente]]*Tabla1103453454455456479116117118120740126148156186254256287328340342343349363[[#This Row],[Unidades]]</f>
        <v>57</v>
      </c>
    </row>
    <row r="412" spans="2:13" s="40" customFormat="1" x14ac:dyDescent="0.25">
      <c r="B412" s="16"/>
      <c r="C412" s="17"/>
      <c r="D412" s="17"/>
      <c r="E412" s="17"/>
      <c r="F412" s="17"/>
      <c r="G412" s="18"/>
      <c r="H412" s="18">
        <f>SUBTOTAL(109,Tabla1103453454455456479116117118120740126148156186254256287328340342343349363[Coste LÃ­nea])</f>
        <v>3417.4616616700005</v>
      </c>
    </row>
    <row r="413" spans="2:13" s="50" customFormat="1" x14ac:dyDescent="0.25">
      <c r="B413" s="341"/>
      <c r="C413" s="342"/>
      <c r="D413" s="342"/>
      <c r="E413" s="342"/>
      <c r="F413" s="342"/>
      <c r="G413" s="343"/>
      <c r="H413" s="343"/>
      <c r="J413" s="344"/>
      <c r="K413" s="344"/>
      <c r="M413" s="40"/>
    </row>
    <row r="414" spans="2:13" s="40" customFormat="1" x14ac:dyDescent="0.25">
      <c r="B414" s="1" t="s">
        <v>1230</v>
      </c>
      <c r="C414" s="2"/>
      <c r="D414" s="2"/>
      <c r="E414" s="3"/>
      <c r="F414" s="3"/>
      <c r="G414" s="3"/>
      <c r="H414" s="3"/>
      <c r="J414" s="399" t="s">
        <v>0</v>
      </c>
      <c r="K414" s="399"/>
    </row>
    <row r="415" spans="2:13" s="40" customFormat="1" x14ac:dyDescent="0.25">
      <c r="B415" s="16" t="s">
        <v>857</v>
      </c>
      <c r="C415" s="17" t="s">
        <v>895</v>
      </c>
      <c r="D415" s="17" t="s">
        <v>892</v>
      </c>
      <c r="E415" s="17" t="s">
        <v>893</v>
      </c>
      <c r="F415" s="17" t="s">
        <v>894</v>
      </c>
      <c r="G415" s="76" t="s">
        <v>901</v>
      </c>
      <c r="H415" s="76" t="s">
        <v>902</v>
      </c>
      <c r="J415" s="8" t="s">
        <v>6</v>
      </c>
      <c r="K415" s="9">
        <f>SUM(Tabla1103453454455456479116117118120740126148156186254256287328340342343349364[Coste LÃ­nea])</f>
        <v>83269.255409599995</v>
      </c>
      <c r="M415" s="406" t="s">
        <v>1383</v>
      </c>
    </row>
    <row r="416" spans="2:13" s="40" customFormat="1" x14ac:dyDescent="0.25">
      <c r="B416" s="10" t="s">
        <v>710</v>
      </c>
      <c r="C416" s="11" t="s">
        <v>67</v>
      </c>
      <c r="D416" s="12">
        <v>1300</v>
      </c>
      <c r="E416" s="12">
        <v>0</v>
      </c>
      <c r="F416" s="12">
        <v>1300</v>
      </c>
      <c r="G416" s="337">
        <f>+VLOOKUP(Tabla1103453454455456479116117118120740126148156186254256287328340342343349364[[#This Row],[ArtÃ­culo]],Tabla34[#All],3,0)</f>
        <v>2.5</v>
      </c>
      <c r="H416" s="338">
        <f>+Tabla1103453454455456479116117118120740126148156186254256287328340342343349364[[#This Row],[Coste Componente]]*Tabla1103453454455456479116117118120740126148156186254256287328340342343349364[[#This Row],[Unidades]]</f>
        <v>3250</v>
      </c>
      <c r="J416" s="8" t="s">
        <v>12</v>
      </c>
      <c r="K416" s="15">
        <f>+K415*5%</f>
        <v>4163.4627704799996</v>
      </c>
      <c r="M416" s="384"/>
    </row>
    <row r="417" spans="2:13" s="40" customFormat="1" x14ac:dyDescent="0.25">
      <c r="B417" s="10" t="s">
        <v>699</v>
      </c>
      <c r="C417" s="11" t="s">
        <v>67</v>
      </c>
      <c r="D417" s="12">
        <v>1500</v>
      </c>
      <c r="E417" s="12">
        <v>0</v>
      </c>
      <c r="F417" s="12">
        <v>1500</v>
      </c>
      <c r="G417" s="337">
        <f>+VLOOKUP(Tabla1103453454455456479116117118120740126148156186254256287328340342343349364[[#This Row],[ArtÃ­culo]],Tabla34[#All],3,0)</f>
        <v>9.5</v>
      </c>
      <c r="H417" s="338">
        <f>+Tabla1103453454455456479116117118120740126148156186254256287328340342343349364[[#This Row],[Coste Componente]]*Tabla1103453454455456479116117118120740126148156186254256287328340342343349364[[#This Row],[Unidades]]</f>
        <v>14250</v>
      </c>
      <c r="J417" s="8" t="s">
        <v>13</v>
      </c>
      <c r="K417" s="15">
        <f>+K415+K416</f>
        <v>87432.718180079988</v>
      </c>
      <c r="M417" s="384"/>
    </row>
    <row r="418" spans="2:13" s="40" customFormat="1" x14ac:dyDescent="0.25">
      <c r="B418" s="10" t="s">
        <v>729</v>
      </c>
      <c r="C418" s="11" t="s">
        <v>67</v>
      </c>
      <c r="D418" s="12">
        <v>4000</v>
      </c>
      <c r="E418" s="12">
        <v>0</v>
      </c>
      <c r="F418" s="12">
        <v>4000</v>
      </c>
      <c r="G418" s="337">
        <f>+VLOOKUP(Tabla1103453454455456479116117118120740126148156186254256287328340342343349364[[#This Row],[ArtÃ­culo]],Tabla34[#All],3,0)</f>
        <v>0</v>
      </c>
      <c r="H418" s="338">
        <f>+Tabla1103453454455456479116117118120740126148156186254256287328340342343349364[[#This Row],[Coste Componente]]*Tabla1103453454455456479116117118120740126148156186254256287328340342343349364[[#This Row],[Unidades]]</f>
        <v>0</v>
      </c>
      <c r="J418" s="20" t="s">
        <v>1313</v>
      </c>
      <c r="K418" s="328">
        <v>45000</v>
      </c>
    </row>
    <row r="419" spans="2:13" s="40" customFormat="1" x14ac:dyDescent="0.25">
      <c r="B419" s="10" t="s">
        <v>746</v>
      </c>
      <c r="C419" s="11" t="s">
        <v>67</v>
      </c>
      <c r="D419" s="12">
        <v>10</v>
      </c>
      <c r="E419" s="12">
        <v>0</v>
      </c>
      <c r="F419" s="12">
        <v>10</v>
      </c>
      <c r="G419" s="337">
        <f>+VLOOKUP(Tabla1103453454455456479116117118120740126148156186254256287328340342343349364[[#This Row],[ArtÃ­culo]],Tabla34[#All],3,0)</f>
        <v>12</v>
      </c>
      <c r="H419" s="338">
        <f>+Tabla1103453454455456479116117118120740126148156186254256287328340342343349364[[#This Row],[Coste Componente]]*Tabla1103453454455456479116117118120740126148156186254256287328340342343349364[[#This Row],[Unidades]]</f>
        <v>120</v>
      </c>
      <c r="J419" s="8" t="s">
        <v>15</v>
      </c>
      <c r="K419" s="15">
        <f>+K417/K418</f>
        <v>1.9429492928906664</v>
      </c>
      <c r="M419" s="406" t="s">
        <v>1377</v>
      </c>
    </row>
    <row r="420" spans="2:13" s="40" customFormat="1" x14ac:dyDescent="0.25">
      <c r="B420" s="10" t="s">
        <v>687</v>
      </c>
      <c r="C420" s="11" t="s">
        <v>67</v>
      </c>
      <c r="D420" s="12">
        <v>1000</v>
      </c>
      <c r="E420" s="12">
        <v>0</v>
      </c>
      <c r="F420" s="12">
        <v>1000</v>
      </c>
      <c r="G420" s="337">
        <f>+VLOOKUP(Tabla1103453454455456479116117118120740126148156186254256287328340342343349364[[#This Row],[ArtÃ­culo]],Tabla34[#All],3,0)</f>
        <v>2.8</v>
      </c>
      <c r="H420" s="338">
        <f>+Tabla1103453454455456479116117118120740126148156186254256287328340342343349364[[#This Row],[Coste Componente]]*Tabla1103453454455456479116117118120740126148156186254256287328340342343349364[[#This Row],[Unidades]]</f>
        <v>2800</v>
      </c>
      <c r="M420" s="384"/>
    </row>
    <row r="421" spans="2:13" s="40" customFormat="1" x14ac:dyDescent="0.25">
      <c r="B421" s="10" t="s">
        <v>199</v>
      </c>
      <c r="C421" s="11" t="s">
        <v>67</v>
      </c>
      <c r="D421" s="12">
        <v>6</v>
      </c>
      <c r="E421" s="12">
        <v>0</v>
      </c>
      <c r="F421" s="12">
        <v>6</v>
      </c>
      <c r="G421" s="337">
        <f>+VLOOKUP(Tabla1103453454455456479116117118120740126148156186254256287328340342343349364[[#This Row],[ArtÃ­culo]],Tabla34[#All],3,0)</f>
        <v>60.010800000000003</v>
      </c>
      <c r="H421" s="338">
        <f>+Tabla1103453454455456479116117118120740126148156186254256287328340342343349364[[#This Row],[Coste Componente]]*Tabla1103453454455456479116117118120740126148156186254256287328340342343349364[[#This Row],[Unidades]]</f>
        <v>360.06479999999999</v>
      </c>
    </row>
    <row r="422" spans="2:13" s="40" customFormat="1" x14ac:dyDescent="0.25">
      <c r="B422" s="10" t="s">
        <v>736</v>
      </c>
      <c r="C422" s="11" t="s">
        <v>67</v>
      </c>
      <c r="D422" s="12">
        <v>500</v>
      </c>
      <c r="E422" s="12">
        <v>0</v>
      </c>
      <c r="F422" s="12">
        <v>500</v>
      </c>
      <c r="G422" s="337">
        <f>+VLOOKUP(Tabla1103453454455456479116117118120740126148156186254256287328340342343349364[[#This Row],[ArtÃ­culo]],Tabla34[#All],3,0)</f>
        <v>2.2999999999999998</v>
      </c>
      <c r="H422" s="338">
        <f>+Tabla1103453454455456479116117118120740126148156186254256287328340342343349364[[#This Row],[Coste Componente]]*Tabla1103453454455456479116117118120740126148156186254256287328340342343349364[[#This Row],[Unidades]]</f>
        <v>1150</v>
      </c>
    </row>
    <row r="423" spans="2:13" s="40" customFormat="1" x14ac:dyDescent="0.25">
      <c r="B423" s="10" t="s">
        <v>1210</v>
      </c>
      <c r="C423" s="11" t="s">
        <v>67</v>
      </c>
      <c r="D423" s="12">
        <v>2000</v>
      </c>
      <c r="E423" s="12">
        <v>0</v>
      </c>
      <c r="F423" s="12">
        <v>2000</v>
      </c>
      <c r="G423" s="337">
        <f>+VLOOKUP(Tabla1103453454455456479116117118120740126148156186254256287328340342343349364[[#This Row],[ArtÃ­culo]],Tabla34[#All],3,0)</f>
        <v>25.531333329999999</v>
      </c>
      <c r="H423" s="338">
        <f>+Tabla1103453454455456479116117118120740126148156186254256287328340342343349364[[#This Row],[Coste Componente]]*Tabla1103453454455456479116117118120740126148156186254256287328340342343349364[[#This Row],[Unidades]]</f>
        <v>51062.666659999995</v>
      </c>
    </row>
    <row r="424" spans="2:13" s="40" customFormat="1" x14ac:dyDescent="0.25">
      <c r="B424" s="10" t="s">
        <v>976</v>
      </c>
      <c r="C424" s="11" t="s">
        <v>67</v>
      </c>
      <c r="D424" s="12">
        <v>6</v>
      </c>
      <c r="E424" s="12">
        <v>0</v>
      </c>
      <c r="F424" s="12">
        <v>6</v>
      </c>
      <c r="G424" s="337">
        <f>+VLOOKUP(Tabla1103453454455456479116117118120740126148156186254256287328340342343349364[[#This Row],[ArtÃ­culo]],Tabla34[#All],3,0)</f>
        <v>25</v>
      </c>
      <c r="H424" s="338">
        <f>+Tabla1103453454455456479116117118120740126148156186254256287328340342343349364[[#This Row],[Coste Componente]]*Tabla1103453454455456479116117118120740126148156186254256287328340342343349364[[#This Row],[Unidades]]</f>
        <v>150</v>
      </c>
    </row>
    <row r="425" spans="2:13" s="40" customFormat="1" x14ac:dyDescent="0.25">
      <c r="B425" s="10" t="s">
        <v>748</v>
      </c>
      <c r="C425" s="11" t="s">
        <v>67</v>
      </c>
      <c r="D425" s="12">
        <v>22</v>
      </c>
      <c r="E425" s="12">
        <v>0</v>
      </c>
      <c r="F425" s="12">
        <v>22</v>
      </c>
      <c r="G425" s="337">
        <f>+VLOOKUP(Tabla1103453454455456479116117118120740126148156186254256287328340342343349364[[#This Row],[ArtÃ­culo]],Tabla34[#All],3,0)</f>
        <v>10.5</v>
      </c>
      <c r="H425" s="338">
        <f>+Tabla1103453454455456479116117118120740126148156186254256287328340342343349364[[#This Row],[Coste Componente]]*Tabla1103453454455456479116117118120740126148156186254256287328340342343349364[[#This Row],[Unidades]]</f>
        <v>231</v>
      </c>
    </row>
    <row r="426" spans="2:13" s="40" customFormat="1" x14ac:dyDescent="0.25">
      <c r="B426" s="10" t="s">
        <v>806</v>
      </c>
      <c r="C426" s="11" t="s">
        <v>67</v>
      </c>
      <c r="D426" s="12">
        <v>20</v>
      </c>
      <c r="E426" s="12">
        <v>0</v>
      </c>
      <c r="F426" s="12">
        <v>20</v>
      </c>
      <c r="G426" s="337">
        <f>+VLOOKUP(Tabla1103453454455456479116117118120740126148156186254256287328340342343349364[[#This Row],[ArtÃ­culo]],Tabla34[#All],3,0)</f>
        <v>19.77619748</v>
      </c>
      <c r="H426" s="338">
        <f>+Tabla1103453454455456479116117118120740126148156186254256287328340342343349364[[#This Row],[Coste Componente]]*Tabla1103453454455456479116117118120740126148156186254256287328340342343349364[[#This Row],[Unidades]]</f>
        <v>395.52394960000004</v>
      </c>
    </row>
    <row r="427" spans="2:13" s="40" customFormat="1" x14ac:dyDescent="0.25">
      <c r="B427" s="10" t="s">
        <v>824</v>
      </c>
      <c r="C427" s="11" t="s">
        <v>67</v>
      </c>
      <c r="D427" s="12">
        <v>500</v>
      </c>
      <c r="E427" s="12">
        <v>0</v>
      </c>
      <c r="F427" s="12">
        <v>500</v>
      </c>
      <c r="G427" s="337">
        <f>+VLOOKUP(Tabla1103453454455456479116117118120740126148156186254256287328340342343349364[[#This Row],[ArtÃ­culo]],Tabla34[#All],3,0)</f>
        <v>19</v>
      </c>
      <c r="H427" s="338">
        <f>+Tabla1103453454455456479116117118120740126148156186254256287328340342343349364[[#This Row],[Coste Componente]]*Tabla1103453454455456479116117118120740126148156186254256287328340342343349364[[#This Row],[Unidades]]</f>
        <v>9500</v>
      </c>
    </row>
    <row r="428" spans="2:13" s="40" customFormat="1" x14ac:dyDescent="0.25">
      <c r="B428" s="16"/>
      <c r="C428" s="17"/>
      <c r="D428" s="17"/>
      <c r="E428" s="17"/>
      <c r="F428" s="17"/>
      <c r="G428" s="18"/>
      <c r="H428" s="18">
        <f>SUBTOTAL(109,Tabla1103453454455456479116117118120740126148156186254256287328340342343349364[Coste LÃ­nea])</f>
        <v>83269.255409599995</v>
      </c>
    </row>
    <row r="429" spans="2:13" s="40" customFormat="1" x14ac:dyDescent="0.25"/>
    <row r="431" spans="2:13" s="40" customFormat="1" x14ac:dyDescent="0.25">
      <c r="B431" s="1" t="s">
        <v>337</v>
      </c>
      <c r="C431" s="2"/>
      <c r="D431" s="2"/>
      <c r="E431" s="3"/>
      <c r="F431" s="3"/>
      <c r="G431" s="3"/>
      <c r="H431" s="3"/>
      <c r="J431" s="399" t="s">
        <v>0</v>
      </c>
      <c r="K431" s="399"/>
    </row>
    <row r="432" spans="2:13" s="40" customFormat="1" x14ac:dyDescent="0.25">
      <c r="B432" s="16" t="s">
        <v>857</v>
      </c>
      <c r="C432" s="17" t="s">
        <v>895</v>
      </c>
      <c r="D432" s="17" t="s">
        <v>892</v>
      </c>
      <c r="E432" s="17" t="s">
        <v>893</v>
      </c>
      <c r="F432" s="17" t="s">
        <v>894</v>
      </c>
      <c r="G432" s="76" t="s">
        <v>901</v>
      </c>
      <c r="H432" s="76" t="s">
        <v>902</v>
      </c>
      <c r="J432" s="8" t="s">
        <v>6</v>
      </c>
      <c r="K432" s="9" t="e">
        <f>SUM(Tabla1103453454455456479116117118120740126148156186254256287328340342343349364366[Coste LÃ­nea])</f>
        <v>#N/A</v>
      </c>
      <c r="M432" s="406" t="s">
        <v>1383</v>
      </c>
    </row>
    <row r="433" spans="2:13" s="40" customFormat="1" x14ac:dyDescent="0.25">
      <c r="B433" s="10" t="s">
        <v>677</v>
      </c>
      <c r="C433" s="11" t="s">
        <v>67</v>
      </c>
      <c r="D433" s="12">
        <v>400</v>
      </c>
      <c r="E433" s="12">
        <v>0</v>
      </c>
      <c r="F433" s="12">
        <v>400</v>
      </c>
      <c r="G433" s="337">
        <f>+VLOOKUP(Tabla1103453454455456479116117118120740126148156186254256287328340342343349364366[[#This Row],[ArtÃ­culo]],Tabla34[#All],3,0)</f>
        <v>2.5</v>
      </c>
      <c r="H433" s="338">
        <f>+Tabla1103453454455456479116117118120740126148156186254256287328340342343349364366[[#This Row],[Coste Componente]]*Tabla1103453454455456479116117118120740126148156186254256287328340342343349364366[[#This Row],[Unidades]]</f>
        <v>1000</v>
      </c>
      <c r="J433" s="8" t="s">
        <v>12</v>
      </c>
      <c r="K433" s="15" t="e">
        <f>+K432*5%</f>
        <v>#N/A</v>
      </c>
      <c r="M433" s="384"/>
    </row>
    <row r="434" spans="2:13" s="40" customFormat="1" x14ac:dyDescent="0.25">
      <c r="B434" s="10" t="s">
        <v>218</v>
      </c>
      <c r="C434" s="11" t="s">
        <v>67</v>
      </c>
      <c r="D434" s="12">
        <v>400</v>
      </c>
      <c r="E434" s="12">
        <v>0</v>
      </c>
      <c r="F434" s="12">
        <v>400</v>
      </c>
      <c r="G434" s="337">
        <f>+VLOOKUP(Tabla1103453454455456479116117118120740126148156186254256287328340342343349364366[[#This Row],[ArtÃ­culo]],Tabla34[#All],3,0)</f>
        <v>9</v>
      </c>
      <c r="H434" s="338">
        <f>+Tabla1103453454455456479116117118120740126148156186254256287328340342343349364366[[#This Row],[Coste Componente]]*Tabla1103453454455456479116117118120740126148156186254256287328340342343349364366[[#This Row],[Unidades]]</f>
        <v>3600</v>
      </c>
      <c r="J434" s="8" t="s">
        <v>13</v>
      </c>
      <c r="K434" s="15" t="e">
        <f>+K432+K433</f>
        <v>#N/A</v>
      </c>
      <c r="M434" s="384"/>
    </row>
    <row r="435" spans="2:13" s="40" customFormat="1" x14ac:dyDescent="0.25">
      <c r="B435" s="10" t="s">
        <v>1373</v>
      </c>
      <c r="C435" s="11" t="s">
        <v>67</v>
      </c>
      <c r="D435" s="12">
        <v>200</v>
      </c>
      <c r="E435" s="12">
        <v>10</v>
      </c>
      <c r="F435" s="12">
        <v>222.22200000000001</v>
      </c>
      <c r="G435" s="337" t="e">
        <f>+VLOOKUP(Tabla1103453454455456479116117118120740126148156186254256287328340342343349364366[[#This Row],[ArtÃ­culo]],Tabla34[#All],3,0)</f>
        <v>#N/A</v>
      </c>
      <c r="H435" s="338" t="e">
        <f>+Tabla1103453454455456479116117118120740126148156186254256287328340342343349364366[[#This Row],[Coste Componente]]*Tabla1103453454455456479116117118120740126148156186254256287328340342343349364366[[#This Row],[Unidades]]</f>
        <v>#N/A</v>
      </c>
      <c r="J435" s="20" t="s">
        <v>1313</v>
      </c>
      <c r="K435" s="328">
        <v>2000</v>
      </c>
    </row>
    <row r="436" spans="2:13" s="40" customFormat="1" x14ac:dyDescent="0.25">
      <c r="B436" s="10" t="s">
        <v>673</v>
      </c>
      <c r="C436" s="11" t="s">
        <v>67</v>
      </c>
      <c r="D436" s="12">
        <v>400</v>
      </c>
      <c r="E436" s="12">
        <v>0</v>
      </c>
      <c r="F436" s="12">
        <v>400</v>
      </c>
      <c r="G436" s="337">
        <f>+VLOOKUP(Tabla1103453454455456479116117118120740126148156186254256287328340342343349364366[[#This Row],[ArtÃ­culo]],Tabla34[#All],3,0)</f>
        <v>5.5</v>
      </c>
      <c r="H436" s="338">
        <f>+Tabla1103453454455456479116117118120740126148156186254256287328340342343349364366[[#This Row],[Coste Componente]]*Tabla1103453454455456479116117118120740126148156186254256287328340342343349364366[[#This Row],[Unidades]]</f>
        <v>2200</v>
      </c>
      <c r="J436" s="8" t="s">
        <v>15</v>
      </c>
      <c r="K436" s="15" t="e">
        <f>+K434/K435</f>
        <v>#N/A</v>
      </c>
      <c r="M436" s="406" t="s">
        <v>1377</v>
      </c>
    </row>
    <row r="437" spans="2:13" s="40" customFormat="1" x14ac:dyDescent="0.25">
      <c r="B437" s="10" t="s">
        <v>1064</v>
      </c>
      <c r="C437" s="11" t="s">
        <v>67</v>
      </c>
      <c r="D437" s="12">
        <v>10</v>
      </c>
      <c r="E437" s="12">
        <v>0</v>
      </c>
      <c r="F437" s="12">
        <v>10</v>
      </c>
      <c r="G437" s="337">
        <f>+VLOOKUP(Tabla1103453454455456479116117118120740126148156186254256287328340342343349364366[[#This Row],[ArtÃ­culo]],Tabla34[#All],3,0)</f>
        <v>12.5</v>
      </c>
      <c r="H437" s="338">
        <f>+Tabla1103453454455456479116117118120740126148156186254256287328340342343349364366[[#This Row],[Coste Componente]]*Tabla1103453454455456479116117118120740126148156186254256287328340342343349364366[[#This Row],[Unidades]]</f>
        <v>125</v>
      </c>
      <c r="M437" s="384"/>
    </row>
    <row r="438" spans="2:13" s="40" customFormat="1" x14ac:dyDescent="0.25">
      <c r="B438" s="10" t="s">
        <v>85</v>
      </c>
      <c r="C438" s="11" t="s">
        <v>67</v>
      </c>
      <c r="D438" s="12">
        <v>480</v>
      </c>
      <c r="E438" s="12">
        <v>0</v>
      </c>
      <c r="F438" s="12">
        <v>480</v>
      </c>
      <c r="G438" s="337">
        <f>+VLOOKUP(Tabla1103453454455456479116117118120740126148156186254256287328340342343349364366[[#This Row],[ArtÃ­culo]],Tabla34[#All],3,0)</f>
        <v>4.8816666700000004</v>
      </c>
      <c r="H438" s="338">
        <f>+Tabla1103453454455456479116117118120740126148156186254256287328340342343349364366[[#This Row],[Coste Componente]]*Tabla1103453454455456479116117118120740126148156186254256287328340342343349364366[[#This Row],[Unidades]]</f>
        <v>2343.2000016000002</v>
      </c>
    </row>
    <row r="439" spans="2:13" s="40" customFormat="1" x14ac:dyDescent="0.25">
      <c r="B439" s="16"/>
      <c r="C439" s="17"/>
      <c r="D439" s="17"/>
      <c r="E439" s="17"/>
      <c r="F439" s="17"/>
      <c r="G439" s="18"/>
      <c r="H439" s="18" t="e">
        <f>SUBTOTAL(109,Tabla1103453454455456479116117118120740126148156186254256287328340342343349364366[Coste LÃ­nea])</f>
        <v>#N/A</v>
      </c>
    </row>
    <row r="440" spans="2:13" s="40" customFormat="1" x14ac:dyDescent="0.25"/>
    <row r="442" spans="2:13" s="40" customFormat="1" x14ac:dyDescent="0.25">
      <c r="B442" s="1" t="s">
        <v>139</v>
      </c>
      <c r="C442" s="2"/>
      <c r="D442" s="2"/>
      <c r="E442" s="3"/>
      <c r="F442" s="3"/>
      <c r="G442" s="3"/>
      <c r="H442" s="3"/>
      <c r="J442" s="399" t="s">
        <v>0</v>
      </c>
      <c r="K442" s="399"/>
    </row>
    <row r="443" spans="2:13" s="40" customFormat="1" x14ac:dyDescent="0.25">
      <c r="B443" s="16" t="s">
        <v>857</v>
      </c>
      <c r="C443" s="17" t="s">
        <v>895</v>
      </c>
      <c r="D443" s="17" t="s">
        <v>892</v>
      </c>
      <c r="E443" s="17" t="s">
        <v>893</v>
      </c>
      <c r="F443" s="17" t="s">
        <v>894</v>
      </c>
      <c r="G443" s="76" t="s">
        <v>901</v>
      </c>
      <c r="H443" s="76" t="s">
        <v>902</v>
      </c>
      <c r="J443" s="8" t="s">
        <v>6</v>
      </c>
      <c r="K443" s="9">
        <f>SUM(Tabla1103453454455456479116117118120740126148156186254256287328340342343349364366369[Coste LÃ­nea])</f>
        <v>91927.079502599998</v>
      </c>
      <c r="M443" s="406" t="s">
        <v>1383</v>
      </c>
    </row>
    <row r="444" spans="2:13" s="40" customFormat="1" x14ac:dyDescent="0.25">
      <c r="B444" s="10" t="s">
        <v>814</v>
      </c>
      <c r="C444" s="11" t="s">
        <v>67</v>
      </c>
      <c r="D444" s="12">
        <v>5000</v>
      </c>
      <c r="E444" s="12">
        <v>0</v>
      </c>
      <c r="F444" s="12">
        <v>5000</v>
      </c>
      <c r="G444" s="337">
        <f>+VLOOKUP(Tabla1103453454455456479116117118120740126148156186254256287328340342343349364366369[[#This Row],[ArtÃ­culo]],Tabla34[#All],3,0)</f>
        <v>2.8</v>
      </c>
      <c r="H444" s="338">
        <f>+Tabla1103453454455456479116117118120740126148156186254256287328340342343349364366369[[#This Row],[Coste Componente]]*Tabla1103453454455456479116117118120740126148156186254256287328340342343349364366369[[#This Row],[Unidades]]</f>
        <v>14000</v>
      </c>
      <c r="J444" s="8" t="s">
        <v>12</v>
      </c>
      <c r="K444" s="15">
        <f>+K443*5%</f>
        <v>4596.3539751300004</v>
      </c>
      <c r="M444" s="384"/>
    </row>
    <row r="445" spans="2:13" s="40" customFormat="1" x14ac:dyDescent="0.25">
      <c r="B445" s="10" t="s">
        <v>677</v>
      </c>
      <c r="C445" s="11" t="s">
        <v>67</v>
      </c>
      <c r="D445" s="12">
        <v>1500</v>
      </c>
      <c r="E445" s="12">
        <v>0</v>
      </c>
      <c r="F445" s="12">
        <v>1500</v>
      </c>
      <c r="G445" s="337">
        <f>+VLOOKUP(Tabla1103453454455456479116117118120740126148156186254256287328340342343349364366369[[#This Row],[ArtÃ­culo]],Tabla34[#All],3,0)</f>
        <v>2.5</v>
      </c>
      <c r="H445" s="338">
        <f>+Tabla1103453454455456479116117118120740126148156186254256287328340342343349364366369[[#This Row],[Coste Componente]]*Tabla1103453454455456479116117118120740126148156186254256287328340342343349364366369[[#This Row],[Unidades]]</f>
        <v>3750</v>
      </c>
      <c r="J445" s="8" t="s">
        <v>13</v>
      </c>
      <c r="K445" s="15">
        <f>+K443+K444</f>
        <v>96523.433477729996</v>
      </c>
      <c r="M445" s="384"/>
    </row>
    <row r="446" spans="2:13" s="40" customFormat="1" x14ac:dyDescent="0.25">
      <c r="B446" s="10" t="s">
        <v>218</v>
      </c>
      <c r="C446" s="11" t="s">
        <v>67</v>
      </c>
      <c r="D446" s="12">
        <v>2000</v>
      </c>
      <c r="E446" s="12">
        <v>0</v>
      </c>
      <c r="F446" s="12">
        <v>2000</v>
      </c>
      <c r="G446" s="337">
        <f>+VLOOKUP(Tabla1103453454455456479116117118120740126148156186254256287328340342343349364366369[[#This Row],[ArtÃ­culo]],Tabla34[#All],3,0)</f>
        <v>9</v>
      </c>
      <c r="H446" s="338">
        <f>+Tabla1103453454455456479116117118120740126148156186254256287328340342343349364366369[[#This Row],[Coste Componente]]*Tabla1103453454455456479116117118120740126148156186254256287328340342343349364366369[[#This Row],[Unidades]]</f>
        <v>18000</v>
      </c>
      <c r="J446" s="20" t="s">
        <v>1313</v>
      </c>
      <c r="K446" s="328">
        <v>12000</v>
      </c>
    </row>
    <row r="447" spans="2:13" s="40" customFormat="1" x14ac:dyDescent="0.25">
      <c r="B447" s="10" t="s">
        <v>832</v>
      </c>
      <c r="C447" s="11" t="s">
        <v>67</v>
      </c>
      <c r="D447" s="12">
        <v>2500</v>
      </c>
      <c r="E447" s="12">
        <v>0</v>
      </c>
      <c r="F447" s="12">
        <v>2500</v>
      </c>
      <c r="G447" s="337">
        <f>+VLOOKUP(Tabla1103453454455456479116117118120740126148156186254256287328340342343349364366369[[#This Row],[ArtÃ­culo]],Tabla34[#All],3,0)</f>
        <v>4.8</v>
      </c>
      <c r="H447" s="338">
        <f>+Tabla1103453454455456479116117118120740126148156186254256287328340342343349364366369[[#This Row],[Coste Componente]]*Tabla1103453454455456479116117118120740126148156186254256287328340342343349364366369[[#This Row],[Unidades]]</f>
        <v>12000</v>
      </c>
      <c r="J447" s="8" t="s">
        <v>15</v>
      </c>
      <c r="K447" s="15">
        <f>+K445/K446</f>
        <v>8.043619456477499</v>
      </c>
      <c r="M447" s="406" t="s">
        <v>1377</v>
      </c>
    </row>
    <row r="448" spans="2:13" s="40" customFormat="1" x14ac:dyDescent="0.25">
      <c r="B448" s="10" t="s">
        <v>85</v>
      </c>
      <c r="C448" s="11" t="s">
        <v>67</v>
      </c>
      <c r="D448" s="12">
        <v>4500</v>
      </c>
      <c r="E448" s="12">
        <v>0</v>
      </c>
      <c r="F448" s="12">
        <v>4500</v>
      </c>
      <c r="G448" s="337">
        <f>+VLOOKUP(Tabla1103453454455456479116117118120740126148156186254256287328340342343349364366369[[#This Row],[ArtÃ­culo]],Tabla34[#All],3,0)</f>
        <v>4.8816666700000004</v>
      </c>
      <c r="H448" s="338">
        <f>+Tabla1103453454455456479116117118120740126148156186254256287328340342343349364366369[[#This Row],[Coste Componente]]*Tabla1103453454455456479116117118120740126148156186254256287328340342343349364366369[[#This Row],[Unidades]]</f>
        <v>21967.500015000001</v>
      </c>
      <c r="M448" s="384"/>
    </row>
    <row r="449" spans="2:13" s="40" customFormat="1" x14ac:dyDescent="0.25">
      <c r="B449" s="10" t="s">
        <v>241</v>
      </c>
      <c r="C449" s="11" t="s">
        <v>67</v>
      </c>
      <c r="D449" s="12">
        <v>1000</v>
      </c>
      <c r="E449" s="12">
        <v>0</v>
      </c>
      <c r="F449" s="12">
        <v>1000</v>
      </c>
      <c r="G449" s="337">
        <f>+VLOOKUP(Tabla1103453454455456479116117118120740126148156186254256287328340342343349364366369[[#This Row],[ArtÃ­culo]],Tabla34[#All],3,0)</f>
        <v>15.193341269999999</v>
      </c>
      <c r="H449" s="338">
        <f>+Tabla1103453454455456479116117118120740126148156186254256287328340342343349364366369[[#This Row],[Coste Componente]]*Tabla1103453454455456479116117118120740126148156186254256287328340342343349364366369[[#This Row],[Unidades]]</f>
        <v>15193.341269999999</v>
      </c>
    </row>
    <row r="450" spans="2:13" s="40" customFormat="1" x14ac:dyDescent="0.25">
      <c r="B450" s="10" t="s">
        <v>186</v>
      </c>
      <c r="C450" s="11" t="s">
        <v>67</v>
      </c>
      <c r="D450" s="12">
        <v>30</v>
      </c>
      <c r="E450" s="12">
        <v>0</v>
      </c>
      <c r="F450" s="12">
        <v>30</v>
      </c>
      <c r="G450" s="337">
        <f>+VLOOKUP(Tabla1103453454455456479116117118120740126148156186254256287328340342343349364366369[[#This Row],[ArtÃ­culo]],Tabla34[#All],3,0)</f>
        <v>233.07427392</v>
      </c>
      <c r="H450" s="338">
        <f>+Tabla1103453454455456479116117118120740126148156186254256287328340342343349364366369[[#This Row],[Coste Componente]]*Tabla1103453454455456479116117118120740126148156186254256287328340342343349364366369[[#This Row],[Unidades]]</f>
        <v>6992.2282175999999</v>
      </c>
    </row>
    <row r="451" spans="2:13" s="40" customFormat="1" x14ac:dyDescent="0.25">
      <c r="B451" s="10" t="s">
        <v>89</v>
      </c>
      <c r="C451" s="11" t="s">
        <v>67</v>
      </c>
      <c r="D451" s="12">
        <v>10</v>
      </c>
      <c r="E451" s="12">
        <v>0</v>
      </c>
      <c r="F451" s="12">
        <v>10</v>
      </c>
      <c r="G451" s="337">
        <f>+VLOOKUP(Tabla1103453454455456479116117118120740126148156186254256287328340342343349364366369[[#This Row],[ArtÃ­culo]],Tabla34[#All],3,0)</f>
        <v>2.4009999999999998</v>
      </c>
      <c r="H451" s="338">
        <f>+Tabla1103453454455456479116117118120740126148156186254256287328340342343349364366369[[#This Row],[Coste Componente]]*Tabla1103453454455456479116117118120740126148156186254256287328340342343349364366369[[#This Row],[Unidades]]</f>
        <v>24.009999999999998</v>
      </c>
    </row>
    <row r="452" spans="2:13" s="40" customFormat="1" x14ac:dyDescent="0.25">
      <c r="B452" s="16"/>
      <c r="C452" s="17"/>
      <c r="D452" s="17"/>
      <c r="E452" s="17"/>
      <c r="F452" s="17"/>
      <c r="G452" s="18"/>
      <c r="H452" s="18">
        <f>SUBTOTAL(109,Tabla1103453454455456479116117118120740126148156186254256287328340342343349364366369[Coste LÃ­nea])</f>
        <v>91927.079502599998</v>
      </c>
    </row>
    <row r="453" spans="2:13" s="40" customFormat="1" x14ac:dyDescent="0.25"/>
    <row r="455" spans="2:13" s="40" customFormat="1" x14ac:dyDescent="0.25">
      <c r="B455" s="1" t="s">
        <v>50</v>
      </c>
      <c r="C455" s="2"/>
      <c r="D455" s="2"/>
      <c r="E455" s="3"/>
      <c r="F455" s="3"/>
      <c r="G455" s="3"/>
      <c r="H455" s="3"/>
      <c r="J455" s="399" t="s">
        <v>0</v>
      </c>
      <c r="K455" s="399"/>
    </row>
    <row r="456" spans="2:13" s="40" customFormat="1" x14ac:dyDescent="0.25">
      <c r="B456" s="16" t="s">
        <v>857</v>
      </c>
      <c r="C456" s="17" t="s">
        <v>895</v>
      </c>
      <c r="D456" s="17" t="s">
        <v>892</v>
      </c>
      <c r="E456" s="17" t="s">
        <v>893</v>
      </c>
      <c r="F456" s="17" t="s">
        <v>894</v>
      </c>
      <c r="G456" s="76" t="s">
        <v>901</v>
      </c>
      <c r="H456" s="76" t="s">
        <v>902</v>
      </c>
      <c r="J456" s="8" t="s">
        <v>6</v>
      </c>
      <c r="K456" s="9">
        <f>SUM(Tabla1103453454455456479116117118120740126148156186254256287328340342343349364366371[Coste LÃ­nea])</f>
        <v>2662.3854999999999</v>
      </c>
      <c r="M456" s="406" t="s">
        <v>1383</v>
      </c>
    </row>
    <row r="457" spans="2:13" s="40" customFormat="1" x14ac:dyDescent="0.25">
      <c r="B457" s="10" t="s">
        <v>683</v>
      </c>
      <c r="C457" s="11" t="s">
        <v>67</v>
      </c>
      <c r="D457" s="12">
        <v>105</v>
      </c>
      <c r="E457" s="12">
        <v>25</v>
      </c>
      <c r="F457" s="12">
        <v>140</v>
      </c>
      <c r="G457" s="337">
        <f>+VLOOKUP(Tabla1103453454455456479116117118120740126148156186254256287328340342343349364366371[[#This Row],[ArtÃ­culo]],Tabla34[#All],3,0)</f>
        <v>8.5</v>
      </c>
      <c r="H457" s="338">
        <f>+Tabla1103453454455456479116117118120740126148156186254256287328340342343349364366371[[#This Row],[Coste Componente]]*Tabla1103453454455456479116117118120740126148156186254256287328340342343349364366371[[#This Row],[Unidades]]</f>
        <v>1190</v>
      </c>
      <c r="J457" s="8" t="s">
        <v>12</v>
      </c>
      <c r="K457" s="15">
        <f>+K456*5%</f>
        <v>133.11927499999999</v>
      </c>
      <c r="M457" s="384"/>
    </row>
    <row r="458" spans="2:13" s="40" customFormat="1" x14ac:dyDescent="0.25">
      <c r="B458" s="10" t="s">
        <v>687</v>
      </c>
      <c r="C458" s="11" t="s">
        <v>67</v>
      </c>
      <c r="D458" s="12">
        <v>30</v>
      </c>
      <c r="E458" s="12">
        <v>17</v>
      </c>
      <c r="F458" s="12">
        <v>36.145000000000003</v>
      </c>
      <c r="G458" s="337">
        <f>+VLOOKUP(Tabla1103453454455456479116117118120740126148156186254256287328340342343349364366371[[#This Row],[ArtÃ­culo]],Tabla34[#All],3,0)</f>
        <v>2.8</v>
      </c>
      <c r="H458" s="338">
        <f>+Tabla1103453454455456479116117118120740126148156186254256287328340342343349364366371[[#This Row],[Coste Componente]]*Tabla1103453454455456479116117118120740126148156186254256287328340342343349364366371[[#This Row],[Unidades]]</f>
        <v>101.206</v>
      </c>
      <c r="J458" s="8" t="s">
        <v>13</v>
      </c>
      <c r="K458" s="15">
        <f>+K456+K457</f>
        <v>2795.5047749999999</v>
      </c>
      <c r="M458" s="384"/>
    </row>
    <row r="459" spans="2:13" s="40" customFormat="1" x14ac:dyDescent="0.25">
      <c r="B459" s="10" t="s">
        <v>730</v>
      </c>
      <c r="C459" s="11" t="s">
        <v>67</v>
      </c>
      <c r="D459" s="12">
        <v>2</v>
      </c>
      <c r="E459" s="12">
        <v>40</v>
      </c>
      <c r="F459" s="12">
        <v>3.3330000000000002</v>
      </c>
      <c r="G459" s="337">
        <f>+VLOOKUP(Tabla1103453454455456479116117118120740126148156186254256287328340342343349364366371[[#This Row],[ArtÃ­culo]],Tabla34[#All],3,0)</f>
        <v>12</v>
      </c>
      <c r="H459" s="338">
        <f>+Tabla1103453454455456479116117118120740126148156186254256287328340342343349364366371[[#This Row],[Coste Componente]]*Tabla1103453454455456479116117118120740126148156186254256287328340342343349364366371[[#This Row],[Unidades]]</f>
        <v>39.996000000000002</v>
      </c>
      <c r="J459" s="20" t="s">
        <v>1313</v>
      </c>
      <c r="K459" s="328">
        <v>223</v>
      </c>
    </row>
    <row r="460" spans="2:13" s="40" customFormat="1" x14ac:dyDescent="0.25">
      <c r="B460" s="10" t="s">
        <v>89</v>
      </c>
      <c r="C460" s="11" t="s">
        <v>67</v>
      </c>
      <c r="D460" s="12">
        <v>8</v>
      </c>
      <c r="E460" s="12">
        <v>0</v>
      </c>
      <c r="F460" s="12">
        <v>8</v>
      </c>
      <c r="G460" s="337">
        <f>+VLOOKUP(Tabla1103453454455456479116117118120740126148156186254256287328340342343349364366371[[#This Row],[ArtÃ­culo]],Tabla34[#All],3,0)</f>
        <v>2.4009999999999998</v>
      </c>
      <c r="H460" s="338">
        <f>+Tabla1103453454455456479116117118120740126148156186254256287328340342343349364366371[[#This Row],[Coste Componente]]*Tabla1103453454455456479116117118120740126148156186254256287328340342343349364366371[[#This Row],[Unidades]]</f>
        <v>19.207999999999998</v>
      </c>
      <c r="J460" s="8" t="s">
        <v>15</v>
      </c>
      <c r="K460" s="15">
        <f>+K458/K459</f>
        <v>12.535895852017937</v>
      </c>
      <c r="M460" s="406" t="s">
        <v>1377</v>
      </c>
    </row>
    <row r="461" spans="2:13" s="40" customFormat="1" x14ac:dyDescent="0.25">
      <c r="B461" s="10" t="s">
        <v>674</v>
      </c>
      <c r="C461" s="11" t="s">
        <v>67</v>
      </c>
      <c r="D461" s="12">
        <v>18</v>
      </c>
      <c r="E461" s="12">
        <v>15</v>
      </c>
      <c r="F461" s="12">
        <v>21.175999999999998</v>
      </c>
      <c r="G461" s="337">
        <f>+VLOOKUP(Tabla1103453454455456479116117118120740126148156186254256287328340342343349364366371[[#This Row],[ArtÃ­culo]],Tabla34[#All],3,0)</f>
        <v>4</v>
      </c>
      <c r="H461" s="338">
        <f>+Tabla1103453454455456479116117118120740126148156186254256287328340342343349364366371[[#This Row],[Coste Componente]]*Tabla1103453454455456479116117118120740126148156186254256287328340342343349364366371[[#This Row],[Unidades]]</f>
        <v>84.703999999999994</v>
      </c>
      <c r="M461" s="384"/>
    </row>
    <row r="462" spans="2:13" s="40" customFormat="1" x14ac:dyDescent="0.25">
      <c r="B462" s="10" t="s">
        <v>835</v>
      </c>
      <c r="C462" s="11" t="s">
        <v>67</v>
      </c>
      <c r="D462" s="12">
        <v>60</v>
      </c>
      <c r="E462" s="12">
        <v>78</v>
      </c>
      <c r="F462" s="12">
        <v>272.72699999999998</v>
      </c>
      <c r="G462" s="337">
        <f>+VLOOKUP(Tabla1103453454455456479116117118120740126148156186254256287328340342343349364366371[[#This Row],[ArtÃ­culo]],Tabla34[#All],3,0)</f>
        <v>4.5</v>
      </c>
      <c r="H462" s="338">
        <f>+Tabla1103453454455456479116117118120740126148156186254256287328340342343349364366371[[#This Row],[Coste Componente]]*Tabla1103453454455456479116117118120740126148156186254256287328340342343349364366371[[#This Row],[Unidades]]</f>
        <v>1227.2714999999998</v>
      </c>
    </row>
    <row r="463" spans="2:13" s="40" customFormat="1" x14ac:dyDescent="0.25">
      <c r="B463" s="16"/>
      <c r="C463" s="17"/>
      <c r="D463" s="17"/>
      <c r="E463" s="17"/>
      <c r="F463" s="17"/>
      <c r="G463" s="18"/>
      <c r="H463" s="18">
        <f>SUBTOTAL(109,Tabla1103453454455456479116117118120740126148156186254256287328340342343349364366371[Coste LÃ­nea])</f>
        <v>2662.3854999999999</v>
      </c>
    </row>
    <row r="464" spans="2:13" s="40" customFormat="1" x14ac:dyDescent="0.25"/>
    <row r="466" spans="2:13" s="40" customFormat="1" x14ac:dyDescent="0.25">
      <c r="B466" s="1" t="s">
        <v>132</v>
      </c>
      <c r="C466" s="2"/>
      <c r="D466" s="2"/>
      <c r="E466" s="3"/>
      <c r="F466" s="3"/>
      <c r="G466" s="3"/>
      <c r="H466" s="3"/>
      <c r="J466" s="399" t="s">
        <v>0</v>
      </c>
      <c r="K466" s="399"/>
    </row>
    <row r="467" spans="2:13" s="40" customFormat="1" x14ac:dyDescent="0.25">
      <c r="B467" s="16" t="s">
        <v>857</v>
      </c>
      <c r="C467" s="17" t="s">
        <v>895</v>
      </c>
      <c r="D467" s="17" t="s">
        <v>892</v>
      </c>
      <c r="E467" s="17" t="s">
        <v>893</v>
      </c>
      <c r="F467" s="17" t="s">
        <v>894</v>
      </c>
      <c r="G467" s="76" t="s">
        <v>901</v>
      </c>
      <c r="H467" s="76" t="s">
        <v>902</v>
      </c>
      <c r="J467" s="8" t="s">
        <v>6</v>
      </c>
      <c r="K467" s="9">
        <f>SUM(Tabla1103453454455456479116117118120740126148156186254256287328340342343349364366374[Coste LÃ­nea])</f>
        <v>6508.6715133100006</v>
      </c>
      <c r="M467" s="406" t="s">
        <v>1383</v>
      </c>
    </row>
    <row r="468" spans="2:13" s="40" customFormat="1" x14ac:dyDescent="0.25">
      <c r="B468" s="10" t="s">
        <v>687</v>
      </c>
      <c r="C468" s="11" t="s">
        <v>67</v>
      </c>
      <c r="D468" s="12">
        <v>130</v>
      </c>
      <c r="E468" s="12">
        <v>0</v>
      </c>
      <c r="F468" s="12">
        <v>130</v>
      </c>
      <c r="G468" s="337">
        <f>+VLOOKUP(Tabla1103453454455456479116117118120740126148156186254256287328340342343349364366374[[#This Row],[ArtÃ­culo]],Tabla34[#All],3,0)</f>
        <v>2.8</v>
      </c>
      <c r="H468" s="338">
        <f>+Tabla1103453454455456479116117118120740126148156186254256287328340342343349364366374[[#This Row],[Coste Componente]]*Tabla1103453454455456479116117118120740126148156186254256287328340342343349364366374[[#This Row],[Unidades]]</f>
        <v>364</v>
      </c>
      <c r="J468" s="8" t="s">
        <v>12</v>
      </c>
      <c r="K468" s="15">
        <f>+K467*5%</f>
        <v>325.43357566550003</v>
      </c>
      <c r="M468" s="384"/>
    </row>
    <row r="469" spans="2:13" s="40" customFormat="1" x14ac:dyDescent="0.25">
      <c r="B469" s="10" t="s">
        <v>674</v>
      </c>
      <c r="C469" s="11" t="s">
        <v>67</v>
      </c>
      <c r="D469" s="12">
        <v>850</v>
      </c>
      <c r="E469" s="12">
        <v>0</v>
      </c>
      <c r="F469" s="12">
        <v>850</v>
      </c>
      <c r="G469" s="337">
        <f>+VLOOKUP(Tabla1103453454455456479116117118120740126148156186254256287328340342343349364366374[[#This Row],[ArtÃ­culo]],Tabla34[#All],3,0)</f>
        <v>4</v>
      </c>
      <c r="H469" s="338">
        <f>+Tabla1103453454455456479116117118120740126148156186254256287328340342343349364366374[[#This Row],[Coste Componente]]*Tabla1103453454455456479116117118120740126148156186254256287328340342343349364366374[[#This Row],[Unidades]]</f>
        <v>3400</v>
      </c>
      <c r="J469" s="8" t="s">
        <v>13</v>
      </c>
      <c r="K469" s="15">
        <f>+K467+K468</f>
        <v>6834.1050889755006</v>
      </c>
      <c r="M469" s="384"/>
    </row>
    <row r="470" spans="2:13" s="40" customFormat="1" x14ac:dyDescent="0.25">
      <c r="B470" s="10" t="s">
        <v>89</v>
      </c>
      <c r="C470" s="11" t="s">
        <v>67</v>
      </c>
      <c r="D470" s="12">
        <v>15</v>
      </c>
      <c r="E470" s="12">
        <v>0</v>
      </c>
      <c r="F470" s="12">
        <v>15</v>
      </c>
      <c r="G470" s="337">
        <f>+VLOOKUP(Tabla1103453454455456479116117118120740126148156186254256287328340342343349364366374[[#This Row],[ArtÃ­culo]],Tabla34[#All],3,0)</f>
        <v>2.4009999999999998</v>
      </c>
      <c r="H470" s="338">
        <f>+Tabla1103453454455456479116117118120740126148156186254256287328340342343349364366374[[#This Row],[Coste Componente]]*Tabla1103453454455456479116117118120740126148156186254256287328340342343349364366374[[#This Row],[Unidades]]</f>
        <v>36.015000000000001</v>
      </c>
      <c r="J470" s="20" t="s">
        <v>1313</v>
      </c>
      <c r="K470" s="328">
        <v>650</v>
      </c>
    </row>
    <row r="471" spans="2:13" s="40" customFormat="1" x14ac:dyDescent="0.25">
      <c r="B471" s="10" t="s">
        <v>51</v>
      </c>
      <c r="C471" s="11" t="s">
        <v>67</v>
      </c>
      <c r="D471" s="12">
        <v>40</v>
      </c>
      <c r="E471" s="12">
        <v>0</v>
      </c>
      <c r="F471" s="12">
        <v>40</v>
      </c>
      <c r="G471" s="337">
        <f>+VLOOKUP(Tabla1103453454455456479116117118120740126148156186254256287328340342343349364366374[[#This Row],[ArtÃ­culo]],Tabla34[#All],3,0)</f>
        <v>11.3849874</v>
      </c>
      <c r="H471" s="338">
        <f>+Tabla1103453454455456479116117118120740126148156186254256287328340342343349364366374[[#This Row],[Coste Componente]]*Tabla1103453454455456479116117118120740126148156186254256287328340342343349364366374[[#This Row],[Unidades]]</f>
        <v>455.399496</v>
      </c>
      <c r="J471" s="8" t="s">
        <v>15</v>
      </c>
      <c r="K471" s="15">
        <f>+K469/K470</f>
        <v>10.514007829193078</v>
      </c>
      <c r="M471" s="406" t="s">
        <v>1377</v>
      </c>
    </row>
    <row r="472" spans="2:13" s="40" customFormat="1" x14ac:dyDescent="0.25">
      <c r="B472" s="10" t="s">
        <v>37</v>
      </c>
      <c r="C472" s="11" t="s">
        <v>67</v>
      </c>
      <c r="D472" s="12">
        <v>10</v>
      </c>
      <c r="E472" s="12">
        <v>0</v>
      </c>
      <c r="F472" s="12">
        <v>10</v>
      </c>
      <c r="G472" s="337">
        <f>+VLOOKUP(Tabla1103453454455456479116117118120740126148156186254256287328340342343349364366374[[#This Row],[ArtÃ­culo]],Tabla34[#All],3,0)</f>
        <v>14.25783539</v>
      </c>
      <c r="H472" s="338">
        <f>+Tabla1103453454455456479116117118120740126148156186254256287328340342343349364366374[[#This Row],[Coste Componente]]*Tabla1103453454455456479116117118120740126148156186254256287328340342343349364366374[[#This Row],[Unidades]]</f>
        <v>142.5783539</v>
      </c>
      <c r="M472" s="384"/>
    </row>
    <row r="473" spans="2:13" s="40" customFormat="1" x14ac:dyDescent="0.25">
      <c r="B473" s="10" t="s">
        <v>695</v>
      </c>
      <c r="C473" s="11" t="s">
        <v>67</v>
      </c>
      <c r="D473" s="12">
        <v>30</v>
      </c>
      <c r="E473" s="12">
        <v>0</v>
      </c>
      <c r="F473" s="12">
        <v>30</v>
      </c>
      <c r="G473" s="337">
        <f>+VLOOKUP(Tabla1103453454455456479116117118120740126148156186254256287328340342343349364366374[[#This Row],[ArtÃ­culo]],Tabla34[#All],3,0)</f>
        <v>5</v>
      </c>
      <c r="H473" s="338">
        <f>+Tabla1103453454455456479116117118120740126148156186254256287328340342343349364366374[[#This Row],[Coste Componente]]*Tabla1103453454455456479116117118120740126148156186254256287328340342343349364366374[[#This Row],[Unidades]]</f>
        <v>150</v>
      </c>
    </row>
    <row r="474" spans="2:13" s="40" customFormat="1" x14ac:dyDescent="0.25">
      <c r="B474" s="10" t="s">
        <v>730</v>
      </c>
      <c r="C474" s="11" t="s">
        <v>67</v>
      </c>
      <c r="D474" s="12">
        <v>16</v>
      </c>
      <c r="E474" s="12">
        <v>0</v>
      </c>
      <c r="F474" s="12">
        <v>16</v>
      </c>
      <c r="G474" s="337">
        <f>+VLOOKUP(Tabla1103453454455456479116117118120740126148156186254256287328340342343349364366374[[#This Row],[ArtÃ­culo]],Tabla34[#All],3,0)</f>
        <v>12</v>
      </c>
      <c r="H474" s="338">
        <f>+Tabla1103453454455456479116117118120740126148156186254256287328340342343349364366374[[#This Row],[Coste Componente]]*Tabla1103453454455456479116117118120740126148156186254256287328340342343349364366374[[#This Row],[Unidades]]</f>
        <v>192</v>
      </c>
    </row>
    <row r="475" spans="2:13" s="40" customFormat="1" x14ac:dyDescent="0.25">
      <c r="B475" s="10" t="s">
        <v>199</v>
      </c>
      <c r="C475" s="11" t="s">
        <v>67</v>
      </c>
      <c r="D475" s="12">
        <v>1</v>
      </c>
      <c r="E475" s="12">
        <v>0</v>
      </c>
      <c r="F475" s="12">
        <v>1</v>
      </c>
      <c r="G475" s="337">
        <f>+VLOOKUP(Tabla1103453454455456479116117118120740126148156186254256287328340342343349364366374[[#This Row],[ArtÃ­culo]],Tabla34[#All],3,0)</f>
        <v>60.010800000000003</v>
      </c>
      <c r="H475" s="338">
        <f>+Tabla1103453454455456479116117118120740126148156186254256287328340342343349364366374[[#This Row],[Coste Componente]]*Tabla1103453454455456479116117118120740126148156186254256287328340342343349364366374[[#This Row],[Unidades]]</f>
        <v>60.010800000000003</v>
      </c>
    </row>
    <row r="476" spans="2:13" s="40" customFormat="1" x14ac:dyDescent="0.25">
      <c r="B476" s="10" t="s">
        <v>840</v>
      </c>
      <c r="C476" s="11" t="s">
        <v>67</v>
      </c>
      <c r="D476" s="12">
        <v>3</v>
      </c>
      <c r="E476" s="12">
        <v>0</v>
      </c>
      <c r="F476" s="12">
        <v>3</v>
      </c>
      <c r="G476" s="337">
        <f>+VLOOKUP(Tabla1103453454455456479116117118120740126148156186254256287328340342343349364366374[[#This Row],[ArtÃ­culo]],Tabla34[#All],3,0)</f>
        <v>57.218061669999997</v>
      </c>
      <c r="H476" s="338">
        <f>+Tabla1103453454455456479116117118120740126148156186254256287328340342343349364366374[[#This Row],[Coste Componente]]*Tabla1103453454455456479116117118120740126148156186254256287328340342343349364366374[[#This Row],[Unidades]]</f>
        <v>171.65418500999999</v>
      </c>
    </row>
    <row r="477" spans="2:13" s="40" customFormat="1" x14ac:dyDescent="0.25">
      <c r="B477" s="10" t="s">
        <v>219</v>
      </c>
      <c r="C477" s="11" t="s">
        <v>67</v>
      </c>
      <c r="D477" s="12">
        <v>1</v>
      </c>
      <c r="E477" s="12">
        <v>0</v>
      </c>
      <c r="F477" s="12">
        <v>1</v>
      </c>
      <c r="G477" s="337">
        <f>+VLOOKUP(Tabla1103453454455456479116117118120740126148156186254256287328340342343349364366374[[#This Row],[ArtÃ­culo]],Tabla34[#All],3,0)</f>
        <v>30.77</v>
      </c>
      <c r="H477" s="338">
        <f>+Tabla1103453454455456479116117118120740126148156186254256287328340342343349364366374[[#This Row],[Coste Componente]]*Tabla1103453454455456479116117118120740126148156186254256287328340342343349364366374[[#This Row],[Unidades]]</f>
        <v>30.77</v>
      </c>
    </row>
    <row r="478" spans="2:13" s="40" customFormat="1" x14ac:dyDescent="0.25">
      <c r="B478" s="10" t="s">
        <v>90</v>
      </c>
      <c r="C478" s="11" t="s">
        <v>67</v>
      </c>
      <c r="D478" s="12">
        <v>80</v>
      </c>
      <c r="E478" s="12">
        <v>0</v>
      </c>
      <c r="F478" s="12">
        <v>80</v>
      </c>
      <c r="G478" s="337">
        <f>+VLOOKUP(Tabla1103453454455456479116117118120740126148156186254256287328340342343349364366374[[#This Row],[ArtÃ­culo]],Tabla34[#All],3,0)</f>
        <v>18.828045979999999</v>
      </c>
      <c r="H478" s="338">
        <f>+Tabla1103453454455456479116117118120740126148156186254256287328340342343349364366374[[#This Row],[Coste Componente]]*Tabla1103453454455456479116117118120740126148156186254256287328340342343349364366374[[#This Row],[Unidades]]</f>
        <v>1506.2436783999999</v>
      </c>
    </row>
    <row r="479" spans="2:13" s="40" customFormat="1" x14ac:dyDescent="0.25">
      <c r="B479" s="16"/>
      <c r="C479" s="17"/>
      <c r="D479" s="17"/>
      <c r="E479" s="17"/>
      <c r="F479" s="17"/>
      <c r="G479" s="18"/>
      <c r="H479" s="18">
        <f>SUBTOTAL(109,Tabla1103453454455456479116117118120740126148156186254256287328340342343349364366374[Coste LÃ­nea])</f>
        <v>6508.6715133100006</v>
      </c>
    </row>
    <row r="480" spans="2:13" s="40" customFormat="1" x14ac:dyDescent="0.25"/>
    <row r="482" spans="2:13" s="40" customFormat="1" x14ac:dyDescent="0.25">
      <c r="B482" s="1" t="s">
        <v>813</v>
      </c>
      <c r="C482" s="2"/>
      <c r="D482" s="2"/>
      <c r="E482" s="3"/>
      <c r="F482" s="3"/>
      <c r="G482" s="3"/>
      <c r="H482" s="3"/>
      <c r="J482" s="399" t="s">
        <v>0</v>
      </c>
      <c r="K482" s="399"/>
    </row>
    <row r="483" spans="2:13" s="40" customFormat="1" x14ac:dyDescent="0.25">
      <c r="B483" s="16" t="s">
        <v>857</v>
      </c>
      <c r="C483" s="17" t="s">
        <v>895</v>
      </c>
      <c r="D483" s="17" t="s">
        <v>892</v>
      </c>
      <c r="E483" s="17" t="s">
        <v>893</v>
      </c>
      <c r="F483" s="17" t="s">
        <v>894</v>
      </c>
      <c r="G483" s="76" t="s">
        <v>901</v>
      </c>
      <c r="H483" s="76" t="s">
        <v>902</v>
      </c>
      <c r="J483" s="8" t="s">
        <v>6</v>
      </c>
      <c r="K483" s="9">
        <f>SUM(Tabla1103453454455456479116117118120740126148156186254256287328340342343349364366376[Coste LÃ­nea])</f>
        <v>6372.13000001</v>
      </c>
      <c r="M483" s="406" t="s">
        <v>1383</v>
      </c>
    </row>
    <row r="484" spans="2:13" s="40" customFormat="1" x14ac:dyDescent="0.25">
      <c r="B484" s="10" t="s">
        <v>312</v>
      </c>
      <c r="C484" s="11" t="s">
        <v>67</v>
      </c>
      <c r="D484" s="12">
        <v>800</v>
      </c>
      <c r="E484" s="12">
        <v>0</v>
      </c>
      <c r="F484" s="12">
        <v>800</v>
      </c>
      <c r="G484" s="337">
        <f>+VLOOKUP(Tabla1103453454455456479116117118120740126148156186254256287328340342343349364366376[[#This Row],[ArtÃ­culo]],Tabla34[#All],3,0)</f>
        <v>4.2671999999999999</v>
      </c>
      <c r="H484" s="338">
        <f>+Tabla1103453454455456479116117118120740126148156186254256287328340342343349364366376[[#This Row],[Coste Componente]]*Tabla1103453454455456479116117118120740126148156186254256287328340342343349364366376[[#This Row],[Unidades]]</f>
        <v>3413.7599999999998</v>
      </c>
      <c r="J484" s="8" t="s">
        <v>12</v>
      </c>
      <c r="K484" s="15">
        <f>+K483*5%</f>
        <v>318.60650000050003</v>
      </c>
      <c r="M484" s="384"/>
    </row>
    <row r="485" spans="2:13" s="40" customFormat="1" x14ac:dyDescent="0.25">
      <c r="B485" s="10" t="s">
        <v>1194</v>
      </c>
      <c r="C485" s="11" t="s">
        <v>847</v>
      </c>
      <c r="D485" s="12">
        <v>3</v>
      </c>
      <c r="E485" s="12">
        <v>0</v>
      </c>
      <c r="F485" s="12">
        <v>3</v>
      </c>
      <c r="G485" s="337">
        <f>+VLOOKUP(Tabla1103453454455456479116117118120740126148156186254256287328340342343349364366376[[#This Row],[ArtÃ­culo]],Tabla34[#All],3,0)</f>
        <v>726.66666667000004</v>
      </c>
      <c r="H485" s="338">
        <f>+Tabla1103453454455456479116117118120740126148156186254256287328340342343349364366376[[#This Row],[Coste Componente]]*Tabla1103453454455456479116117118120740126148156186254256287328340342343349364366376[[#This Row],[Unidades]]</f>
        <v>2180.0000000099999</v>
      </c>
      <c r="J485" s="8" t="s">
        <v>13</v>
      </c>
      <c r="K485" s="15">
        <f>+K483+K484</f>
        <v>6690.7365000105001</v>
      </c>
      <c r="M485" s="384"/>
    </row>
    <row r="486" spans="2:13" s="40" customFormat="1" x14ac:dyDescent="0.25">
      <c r="B486" s="10" t="s">
        <v>92</v>
      </c>
      <c r="C486" s="11" t="s">
        <v>67</v>
      </c>
      <c r="D486" s="12">
        <v>40</v>
      </c>
      <c r="E486" s="12">
        <v>0</v>
      </c>
      <c r="F486" s="12">
        <v>40</v>
      </c>
      <c r="G486" s="337">
        <f>+VLOOKUP(Tabla1103453454455456479116117118120740126148156186254256287328340342343349364366376[[#This Row],[ArtÃ­culo]],Tabla34[#All],3,0)</f>
        <v>18.859000000000002</v>
      </c>
      <c r="H486" s="338">
        <f>+Tabla1103453454455456479116117118120740126148156186254256287328340342343349364366376[[#This Row],[Coste Componente]]*Tabla1103453454455456479116117118120740126148156186254256287328340342343349364366376[[#This Row],[Unidades]]</f>
        <v>754.36000000000013</v>
      </c>
      <c r="J486" s="20" t="s">
        <v>1313</v>
      </c>
      <c r="K486" s="328">
        <v>120</v>
      </c>
    </row>
    <row r="487" spans="2:13" s="40" customFormat="1" x14ac:dyDescent="0.25">
      <c r="B487" s="10" t="s">
        <v>89</v>
      </c>
      <c r="C487" s="11" t="s">
        <v>67</v>
      </c>
      <c r="D487" s="12">
        <v>10</v>
      </c>
      <c r="E487" s="12">
        <v>0</v>
      </c>
      <c r="F487" s="12">
        <v>10</v>
      </c>
      <c r="G487" s="337">
        <f>+VLOOKUP(Tabla1103453454455456479116117118120740126148156186254256287328340342343349364366376[[#This Row],[ArtÃ­culo]],Tabla34[#All],3,0)</f>
        <v>2.4009999999999998</v>
      </c>
      <c r="H487" s="338">
        <f>+Tabla1103453454455456479116117118120740126148156186254256287328340342343349364366376[[#This Row],[Coste Componente]]*Tabla1103453454455456479116117118120740126148156186254256287328340342343349364366376[[#This Row],[Unidades]]</f>
        <v>24.009999999999998</v>
      </c>
      <c r="J487" s="8" t="s">
        <v>15</v>
      </c>
      <c r="K487" s="15">
        <f>+K485/K486</f>
        <v>55.756137500087497</v>
      </c>
      <c r="M487" s="406" t="s">
        <v>1377</v>
      </c>
    </row>
    <row r="488" spans="2:13" s="40" customFormat="1" x14ac:dyDescent="0.25">
      <c r="B488" s="10" t="s">
        <v>38</v>
      </c>
      <c r="C488" s="11" t="s">
        <v>67</v>
      </c>
      <c r="D488" s="12">
        <v>280</v>
      </c>
      <c r="E488" s="12">
        <v>0</v>
      </c>
      <c r="F488" s="12">
        <v>280</v>
      </c>
      <c r="G488" s="337">
        <f>+VLOOKUP(Tabla1103453454455456479116117118120740126148156186254256287328340342343349364366376[[#This Row],[ArtÃ­culo]],Tabla34[#All],3,0)</f>
        <v>0</v>
      </c>
      <c r="H488" s="338">
        <f>+Tabla1103453454455456479116117118120740126148156186254256287328340342343349364366376[[#This Row],[Coste Componente]]*Tabla1103453454455456479116117118120740126148156186254256287328340342343349364366376[[#This Row],[Unidades]]</f>
        <v>0</v>
      </c>
      <c r="M488" s="384"/>
    </row>
    <row r="489" spans="2:13" s="40" customFormat="1" x14ac:dyDescent="0.25">
      <c r="B489" s="16"/>
      <c r="C489" s="17"/>
      <c r="D489" s="17"/>
      <c r="E489" s="17"/>
      <c r="F489" s="17"/>
      <c r="G489" s="18"/>
      <c r="H489" s="18">
        <f>SUBTOTAL(109,Tabla1103453454455456479116117118120740126148156186254256287328340342343349364366376[Coste LÃ­nea])</f>
        <v>6372.13000001</v>
      </c>
    </row>
    <row r="490" spans="2:13" s="40" customFormat="1" x14ac:dyDescent="0.25"/>
    <row r="493" spans="2:13" s="40" customFormat="1" x14ac:dyDescent="0.25">
      <c r="B493" s="1" t="s">
        <v>57</v>
      </c>
      <c r="C493" s="2"/>
      <c r="D493" s="2"/>
      <c r="E493" s="3"/>
      <c r="F493" s="3"/>
      <c r="G493" s="3"/>
      <c r="H493" s="3"/>
      <c r="J493" s="399" t="s">
        <v>0</v>
      </c>
      <c r="K493" s="399"/>
    </row>
    <row r="494" spans="2:13" s="40" customFormat="1" x14ac:dyDescent="0.25">
      <c r="B494" s="16" t="s">
        <v>857</v>
      </c>
      <c r="C494" s="17" t="s">
        <v>895</v>
      </c>
      <c r="D494" s="17" t="s">
        <v>892</v>
      </c>
      <c r="E494" s="17" t="s">
        <v>893</v>
      </c>
      <c r="F494" s="17" t="s">
        <v>894</v>
      </c>
      <c r="G494" s="76" t="s">
        <v>901</v>
      </c>
      <c r="H494" s="76" t="s">
        <v>902</v>
      </c>
      <c r="J494" s="8" t="s">
        <v>6</v>
      </c>
      <c r="K494" s="9">
        <f>SUM(Tabla1103453454455456479116117118120740126148156186254256287328340342343349364366382[Coste LÃ­nea])</f>
        <v>21800.000000100001</v>
      </c>
      <c r="M494" s="406" t="s">
        <v>1383</v>
      </c>
    </row>
    <row r="495" spans="2:13" s="40" customFormat="1" x14ac:dyDescent="0.25">
      <c r="B495" s="10" t="s">
        <v>1194</v>
      </c>
      <c r="C495" s="11" t="s">
        <v>847</v>
      </c>
      <c r="D495" s="12">
        <v>30</v>
      </c>
      <c r="E495" s="12">
        <v>0</v>
      </c>
      <c r="F495" s="12">
        <v>30</v>
      </c>
      <c r="G495" s="337">
        <f>+VLOOKUP(Tabla1103453454455456479116117118120740126148156186254256287328340342343349364366382[[#This Row],[ArtÃ­culo]],Tabla34[#All],3,0)</f>
        <v>726.66666667000004</v>
      </c>
      <c r="H495" s="338">
        <f>+Tabla1103453454455456479116117118120740126148156186254256287328340342343349364366382[[#This Row],[Coste Componente]]*Tabla1103453454455456479116117118120740126148156186254256287328340342343349364366382[[#This Row],[Unidades]]</f>
        <v>21800.000000100001</v>
      </c>
      <c r="J495" s="8" t="s">
        <v>12</v>
      </c>
      <c r="K495" s="15">
        <f>+K494*5%</f>
        <v>1090.0000000050002</v>
      </c>
      <c r="M495" s="384"/>
    </row>
    <row r="496" spans="2:13" s="40" customFormat="1" x14ac:dyDescent="0.25">
      <c r="B496" s="16"/>
      <c r="C496" s="17"/>
      <c r="D496" s="17"/>
      <c r="E496" s="17"/>
      <c r="F496" s="17"/>
      <c r="G496" s="18"/>
      <c r="H496" s="18">
        <f>SUBTOTAL(109,Tabla1103453454455456479116117118120740126148156186254256287328340342343349364366382[Coste LÃ­nea])</f>
        <v>21800.000000100001</v>
      </c>
      <c r="J496" s="8" t="s">
        <v>13</v>
      </c>
      <c r="K496" s="15">
        <f>+K494+K495</f>
        <v>22890.000000104999</v>
      </c>
      <c r="M496" s="384"/>
    </row>
    <row r="497" spans="2:13" s="40" customFormat="1" x14ac:dyDescent="0.25">
      <c r="J497" s="20" t="s">
        <v>1313</v>
      </c>
      <c r="K497" s="328">
        <v>1150</v>
      </c>
    </row>
    <row r="498" spans="2:13" s="40" customFormat="1" x14ac:dyDescent="0.25">
      <c r="J498" s="8" t="s">
        <v>15</v>
      </c>
      <c r="K498" s="15">
        <f>+K496/K497</f>
        <v>19.90434782617826</v>
      </c>
      <c r="M498" s="406" t="s">
        <v>1377</v>
      </c>
    </row>
    <row r="499" spans="2:13" s="40" customFormat="1" x14ac:dyDescent="0.25">
      <c r="M499" s="384"/>
    </row>
    <row r="500" spans="2:13" s="40" customFormat="1" x14ac:dyDescent="0.25">
      <c r="B500" s="1" t="s">
        <v>124</v>
      </c>
      <c r="C500" s="2"/>
      <c r="D500" s="2"/>
      <c r="E500" s="3"/>
      <c r="F500" s="3"/>
      <c r="G500" s="3"/>
      <c r="H500" s="3"/>
      <c r="J500" s="399" t="s">
        <v>0</v>
      </c>
      <c r="K500" s="399"/>
    </row>
    <row r="501" spans="2:13" s="40" customFormat="1" x14ac:dyDescent="0.25">
      <c r="B501" s="16" t="s">
        <v>857</v>
      </c>
      <c r="C501" s="17" t="s">
        <v>895</v>
      </c>
      <c r="D501" s="17" t="s">
        <v>892</v>
      </c>
      <c r="E501" s="17" t="s">
        <v>893</v>
      </c>
      <c r="F501" s="17" t="s">
        <v>894</v>
      </c>
      <c r="G501" s="76" t="s">
        <v>901</v>
      </c>
      <c r="H501" s="76" t="s">
        <v>902</v>
      </c>
      <c r="J501" s="8" t="s">
        <v>6</v>
      </c>
      <c r="K501" s="9">
        <f>SUM(Tabla1103453454455456479116117118120740126148156186254256287328340342343349364366383[Coste LÃ­nea])</f>
        <v>23369.999999999996</v>
      </c>
      <c r="M501" s="406" t="s">
        <v>1383</v>
      </c>
    </row>
    <row r="502" spans="2:13" s="40" customFormat="1" x14ac:dyDescent="0.25">
      <c r="B502" s="10" t="s">
        <v>640</v>
      </c>
      <c r="C502" s="11" t="s">
        <v>67</v>
      </c>
      <c r="D502" s="12">
        <v>1710</v>
      </c>
      <c r="E502" s="12">
        <v>40</v>
      </c>
      <c r="F502" s="12">
        <v>2850</v>
      </c>
      <c r="G502" s="337">
        <f>+VLOOKUP(Tabla1103453454455456479116117118120740126148156186254256287328340342343349364366383[[#This Row],[ArtÃ­culo]],Tabla34[#All],3,0)</f>
        <v>8.1999999999999993</v>
      </c>
      <c r="H502" s="338">
        <f>+Tabla1103453454455456479116117118120740126148156186254256287328340342343349364366383[[#This Row],[Coste Componente]]*Tabla1103453454455456479116117118120740126148156186254256287328340342343349364366383[[#This Row],[Unidades]]</f>
        <v>23369.999999999996</v>
      </c>
      <c r="J502" s="8" t="s">
        <v>12</v>
      </c>
      <c r="K502" s="15">
        <f>+K501*5%</f>
        <v>1168.4999999999998</v>
      </c>
      <c r="M502" s="384"/>
    </row>
    <row r="503" spans="2:13" s="40" customFormat="1" x14ac:dyDescent="0.25">
      <c r="B503" s="10" t="s">
        <v>38</v>
      </c>
      <c r="C503" s="11" t="s">
        <v>67</v>
      </c>
      <c r="D503" s="12">
        <v>1000</v>
      </c>
      <c r="E503" s="12">
        <v>0</v>
      </c>
      <c r="F503" s="12">
        <v>1000</v>
      </c>
      <c r="G503" s="337">
        <f>+VLOOKUP(Tabla1103453454455456479116117118120740126148156186254256287328340342343349364366383[[#This Row],[ArtÃ­culo]],Tabla34[#All],3,0)</f>
        <v>0</v>
      </c>
      <c r="H503" s="338">
        <f>+Tabla1103453454455456479116117118120740126148156186254256287328340342343349364366383[[#This Row],[Coste Componente]]*Tabla1103453454455456479116117118120740126148156186254256287328340342343349364366383[[#This Row],[Unidades]]</f>
        <v>0</v>
      </c>
      <c r="J503" s="8" t="s">
        <v>13</v>
      </c>
      <c r="K503" s="15">
        <f>+K501+K502</f>
        <v>24538.499999999996</v>
      </c>
      <c r="M503" s="384"/>
    </row>
    <row r="504" spans="2:13" s="40" customFormat="1" x14ac:dyDescent="0.25">
      <c r="B504" s="16"/>
      <c r="C504" s="17"/>
      <c r="D504" s="17"/>
      <c r="E504" s="17"/>
      <c r="F504" s="17"/>
      <c r="G504" s="18"/>
      <c r="H504" s="18">
        <f>SUBTOTAL(109,Tabla1103453454455456479116117118120740126148156186254256287328340342343349364366383[Coste LÃ­nea])</f>
        <v>23369.999999999996</v>
      </c>
      <c r="J504" s="20" t="s">
        <v>1313</v>
      </c>
      <c r="K504" s="328">
        <v>6226</v>
      </c>
    </row>
    <row r="505" spans="2:13" s="40" customFormat="1" x14ac:dyDescent="0.25">
      <c r="J505" s="8" t="s">
        <v>15</v>
      </c>
      <c r="K505" s="15">
        <f>+K503/K504</f>
        <v>3.9412945711532279</v>
      </c>
      <c r="M505" s="406" t="s">
        <v>1377</v>
      </c>
    </row>
    <row r="506" spans="2:13" s="40" customFormat="1" x14ac:dyDescent="0.25">
      <c r="M506" s="384"/>
    </row>
    <row r="507" spans="2:13" s="40" customFormat="1" x14ac:dyDescent="0.25">
      <c r="B507" s="1" t="s">
        <v>54</v>
      </c>
      <c r="C507" s="2"/>
      <c r="D507" s="2"/>
      <c r="E507" s="3"/>
      <c r="F507" s="3"/>
      <c r="G507" s="3"/>
      <c r="H507" s="3"/>
      <c r="J507" s="399" t="s">
        <v>0</v>
      </c>
      <c r="K507" s="399"/>
    </row>
    <row r="508" spans="2:13" s="40" customFormat="1" x14ac:dyDescent="0.25">
      <c r="B508" s="16" t="s">
        <v>857</v>
      </c>
      <c r="C508" s="17" t="s">
        <v>895</v>
      </c>
      <c r="D508" s="17" t="s">
        <v>892</v>
      </c>
      <c r="E508" s="17" t="s">
        <v>893</v>
      </c>
      <c r="F508" s="17" t="s">
        <v>894</v>
      </c>
      <c r="G508" s="76" t="s">
        <v>901</v>
      </c>
      <c r="H508" s="76" t="s">
        <v>902</v>
      </c>
      <c r="J508" s="8" t="s">
        <v>6</v>
      </c>
      <c r="K508" s="9">
        <f>SUM(Tabla1103453454455456479116117118120740126148156186254256287328340342343349364366376401[Coste LÃ­nea])</f>
        <v>2254.8100000000004</v>
      </c>
      <c r="M508" s="406" t="s">
        <v>1383</v>
      </c>
    </row>
    <row r="509" spans="2:13" s="40" customFormat="1" x14ac:dyDescent="0.25">
      <c r="B509" s="10" t="s">
        <v>87</v>
      </c>
      <c r="C509" s="11" t="s">
        <v>67</v>
      </c>
      <c r="D509" s="12">
        <v>600</v>
      </c>
      <c r="E509" s="12">
        <v>0</v>
      </c>
      <c r="F509" s="12">
        <v>600</v>
      </c>
      <c r="G509" s="337">
        <f>+VLOOKUP(Tabla1103453454455456479116117118120740126148156186254256287328340342343349364366376401[[#This Row],[ArtÃ­culo]],Tabla34[#All],3,0)</f>
        <v>3.718</v>
      </c>
      <c r="H509" s="338">
        <f>+Tabla1103453454455456479116117118120740126148156186254256287328340342343349364366376401[[#This Row],[Coste Componente]]*Tabla1103453454455456479116117118120740126148156186254256287328340342343349364366376401[[#This Row],[Unidades]]</f>
        <v>2230.8000000000002</v>
      </c>
      <c r="J509" s="8" t="s">
        <v>12</v>
      </c>
      <c r="K509" s="15">
        <f>+K508*5%</f>
        <v>112.74050000000003</v>
      </c>
      <c r="M509" s="384"/>
    </row>
    <row r="510" spans="2:13" s="40" customFormat="1" x14ac:dyDescent="0.25">
      <c r="B510" s="10" t="s">
        <v>38</v>
      </c>
      <c r="C510" s="11" t="s">
        <v>67</v>
      </c>
      <c r="D510" s="12">
        <v>800</v>
      </c>
      <c r="E510" s="12">
        <v>0</v>
      </c>
      <c r="F510" s="12">
        <v>800</v>
      </c>
      <c r="G510" s="337">
        <f>+VLOOKUP(Tabla1103453454455456479116117118120740126148156186254256287328340342343349364366376401[[#This Row],[ArtÃ­culo]],Tabla34[#All],3,0)</f>
        <v>0</v>
      </c>
      <c r="H510" s="338">
        <f>+Tabla1103453454455456479116117118120740126148156186254256287328340342343349364366376401[[#This Row],[Coste Componente]]*Tabla1103453454455456479116117118120740126148156186254256287328340342343349364366376401[[#This Row],[Unidades]]</f>
        <v>0</v>
      </c>
      <c r="J510" s="8" t="s">
        <v>13</v>
      </c>
      <c r="K510" s="15">
        <f>+K508+K509</f>
        <v>2367.5505000000003</v>
      </c>
      <c r="M510" s="384"/>
    </row>
    <row r="511" spans="2:13" s="40" customFormat="1" x14ac:dyDescent="0.25">
      <c r="B511" s="10" t="s">
        <v>89</v>
      </c>
      <c r="C511" s="11" t="s">
        <v>67</v>
      </c>
      <c r="D511" s="12">
        <v>10</v>
      </c>
      <c r="E511" s="12">
        <v>0</v>
      </c>
      <c r="F511" s="12">
        <v>10</v>
      </c>
      <c r="G511" s="337">
        <f>+VLOOKUP(Tabla1103453454455456479116117118120740126148156186254256287328340342343349364366376401[[#This Row],[ArtÃ­culo]],Tabla34[#All],3,0)</f>
        <v>2.4009999999999998</v>
      </c>
      <c r="H511" s="338">
        <f>+Tabla1103453454455456479116117118120740126148156186254256287328340342343349364366376401[[#This Row],[Coste Componente]]*Tabla1103453454455456479116117118120740126148156186254256287328340342343349364366376401[[#This Row],[Unidades]]</f>
        <v>24.009999999999998</v>
      </c>
      <c r="J511" s="20" t="s">
        <v>1313</v>
      </c>
      <c r="K511" s="328">
        <v>1400</v>
      </c>
    </row>
    <row r="512" spans="2:13" s="40" customFormat="1" x14ac:dyDescent="0.25">
      <c r="B512" s="16"/>
      <c r="C512" s="17"/>
      <c r="D512" s="17"/>
      <c r="E512" s="17"/>
      <c r="F512" s="17"/>
      <c r="G512" s="18"/>
      <c r="H512" s="18">
        <f>SUBTOTAL(109,Tabla1103453454455456479116117118120740126148156186254256287328340342343349364366376401[Coste LÃ­nea])</f>
        <v>2254.8100000000004</v>
      </c>
      <c r="J512" s="8" t="s">
        <v>15</v>
      </c>
      <c r="K512" s="15">
        <f>+K510/K511</f>
        <v>1.6911075000000002</v>
      </c>
      <c r="M512" s="406" t="s">
        <v>1377</v>
      </c>
    </row>
    <row r="513" spans="2:13" s="40" customFormat="1" x14ac:dyDescent="0.25">
      <c r="M513" s="384"/>
    </row>
    <row r="516" spans="2:13" s="40" customFormat="1" x14ac:dyDescent="0.25">
      <c r="B516" s="1" t="s">
        <v>130</v>
      </c>
      <c r="C516" s="2"/>
      <c r="D516" s="2"/>
      <c r="E516" s="3"/>
      <c r="F516" s="3"/>
      <c r="G516" s="3"/>
      <c r="H516" s="3"/>
      <c r="J516" s="399" t="s">
        <v>0</v>
      </c>
      <c r="K516" s="399"/>
    </row>
    <row r="517" spans="2:13" s="40" customFormat="1" x14ac:dyDescent="0.25">
      <c r="B517" s="16" t="s">
        <v>857</v>
      </c>
      <c r="C517" s="17" t="s">
        <v>895</v>
      </c>
      <c r="D517" s="17" t="s">
        <v>892</v>
      </c>
      <c r="E517" s="17" t="s">
        <v>893</v>
      </c>
      <c r="F517" s="17" t="s">
        <v>894</v>
      </c>
      <c r="G517" s="76" t="s">
        <v>901</v>
      </c>
      <c r="H517" s="76" t="s">
        <v>902</v>
      </c>
      <c r="J517" s="8" t="s">
        <v>6</v>
      </c>
      <c r="K517" s="9">
        <f>SUM(Tabla1103453454455456479116117118120740126148156186254256287328340342343349364366376401403[Coste LÃ­nea])</f>
        <v>12631.176206920001</v>
      </c>
      <c r="M517" s="406" t="s">
        <v>1383</v>
      </c>
    </row>
    <row r="518" spans="2:13" s="40" customFormat="1" x14ac:dyDescent="0.25">
      <c r="B518" s="10" t="s">
        <v>128</v>
      </c>
      <c r="C518" s="11" t="s">
        <v>67</v>
      </c>
      <c r="D518" s="12">
        <v>150</v>
      </c>
      <c r="E518" s="12">
        <v>0</v>
      </c>
      <c r="F518" s="12">
        <v>150</v>
      </c>
      <c r="G518" s="337">
        <f>+VLOOKUP(Tabla1103453454455456479116117118120740126148156186254256287328340342343349364366376401403[[#This Row],[ArtÃ­culo]],Tabla34[#All],3,0)</f>
        <v>18.434479750000001</v>
      </c>
      <c r="H518" s="338">
        <f>+Tabla1103453454455456479116117118120740126148156186254256287328340342343349364366376401403[[#This Row],[Coste Componente]]*Tabla1103453454455456479116117118120740126148156186254256287328340342343349364366376401403[[#This Row],[Unidades]]</f>
        <v>2765.1719625000001</v>
      </c>
      <c r="J518" s="8" t="s">
        <v>12</v>
      </c>
      <c r="K518" s="15">
        <f>+K517*5%</f>
        <v>631.55881034600009</v>
      </c>
      <c r="M518" s="384"/>
    </row>
    <row r="519" spans="2:13" s="40" customFormat="1" x14ac:dyDescent="0.25">
      <c r="B519" s="10" t="s">
        <v>619</v>
      </c>
      <c r="C519" s="11" t="s">
        <v>67</v>
      </c>
      <c r="D519" s="12">
        <v>300</v>
      </c>
      <c r="E519" s="12">
        <v>0</v>
      </c>
      <c r="F519" s="12">
        <v>300</v>
      </c>
      <c r="G519" s="337">
        <f>+VLOOKUP(Tabla1103453454455456479116117118120740126148156186254256287328340342343349364366376401403[[#This Row],[ArtÃ­culo]],Tabla34[#All],3,0)</f>
        <v>26.27257651</v>
      </c>
      <c r="H519" s="338">
        <f>+Tabla1103453454455456479116117118120740126148156186254256287328340342343349364366376401403[[#This Row],[Coste Componente]]*Tabla1103453454455456479116117118120740126148156186254256287328340342343349364366376401403[[#This Row],[Unidades]]</f>
        <v>7881.7729529999997</v>
      </c>
      <c r="J519" s="8" t="s">
        <v>13</v>
      </c>
      <c r="K519" s="15">
        <f>+K517+K518</f>
        <v>13262.735017266001</v>
      </c>
      <c r="M519" s="384"/>
    </row>
    <row r="520" spans="2:13" s="40" customFormat="1" x14ac:dyDescent="0.25">
      <c r="B520" s="10" t="s">
        <v>709</v>
      </c>
      <c r="C520" s="11" t="s">
        <v>67</v>
      </c>
      <c r="D520" s="12">
        <v>100</v>
      </c>
      <c r="E520" s="12">
        <v>0</v>
      </c>
      <c r="F520" s="12">
        <v>100</v>
      </c>
      <c r="G520" s="337">
        <f>+VLOOKUP(Tabla1103453454455456479116117118120740126148156186254256287328340342343349364366376401403[[#This Row],[ArtÃ­culo]],Tabla34[#All],3,0)</f>
        <v>3.2</v>
      </c>
      <c r="H520" s="338">
        <f>+Tabla1103453454455456479116117118120740126148156186254256287328340342343349364366376401403[[#This Row],[Coste Componente]]*Tabla1103453454455456479116117118120740126148156186254256287328340342343349364366376401403[[#This Row],[Unidades]]</f>
        <v>320</v>
      </c>
      <c r="J520" s="20" t="s">
        <v>1313</v>
      </c>
      <c r="K520" s="328">
        <v>610</v>
      </c>
    </row>
    <row r="521" spans="2:13" s="40" customFormat="1" x14ac:dyDescent="0.25">
      <c r="B521" s="10" t="s">
        <v>450</v>
      </c>
      <c r="C521" s="11" t="s">
        <v>67</v>
      </c>
      <c r="D521" s="12">
        <v>1</v>
      </c>
      <c r="E521" s="12">
        <v>0</v>
      </c>
      <c r="F521" s="12">
        <v>1</v>
      </c>
      <c r="G521" s="337">
        <f>+VLOOKUP(Tabla1103453454455456479116117118120740126148156186254256287328340342343349364366376401403[[#This Row],[ArtÃ­culo]],Tabla34[#All],3,0)</f>
        <v>13.40129132</v>
      </c>
      <c r="H521" s="338">
        <f>+Tabla1103453454455456479116117118120740126148156186254256287328340342343349364366376401403[[#This Row],[Coste Componente]]*Tabla1103453454455456479116117118120740126148156186254256287328340342343349364366376401403[[#This Row],[Unidades]]</f>
        <v>13.40129132</v>
      </c>
      <c r="J521" s="8" t="s">
        <v>15</v>
      </c>
      <c r="K521" s="15">
        <f>+K519/K520</f>
        <v>21.742188552895083</v>
      </c>
      <c r="M521" s="406" t="s">
        <v>1377</v>
      </c>
    </row>
    <row r="522" spans="2:13" s="40" customFormat="1" x14ac:dyDescent="0.25">
      <c r="B522" s="10" t="s">
        <v>212</v>
      </c>
      <c r="C522" s="11" t="s">
        <v>67</v>
      </c>
      <c r="D522" s="12">
        <v>30</v>
      </c>
      <c r="E522" s="12">
        <v>0</v>
      </c>
      <c r="F522" s="12">
        <v>30</v>
      </c>
      <c r="G522" s="337">
        <f>+VLOOKUP(Tabla1103453454455456479116117118120740126148156186254256287328340342343349364366376401403[[#This Row],[ArtÃ­culo]],Tabla34[#All],3,0)</f>
        <v>40.047916669999999</v>
      </c>
      <c r="H522" s="338">
        <f>+Tabla1103453454455456479116117118120740126148156186254256287328340342343349364366376401403[[#This Row],[Coste Componente]]*Tabla1103453454455456479116117118120740126148156186254256287328340342343349364366376401403[[#This Row],[Unidades]]</f>
        <v>1201.4375001000001</v>
      </c>
      <c r="M522" s="384"/>
    </row>
    <row r="523" spans="2:13" s="40" customFormat="1" x14ac:dyDescent="0.25">
      <c r="B523" s="10" t="s">
        <v>654</v>
      </c>
      <c r="C523" s="11" t="s">
        <v>67</v>
      </c>
      <c r="D523" s="12">
        <v>30</v>
      </c>
      <c r="E523" s="12">
        <v>0</v>
      </c>
      <c r="F523" s="12">
        <v>30</v>
      </c>
      <c r="G523" s="337">
        <f>+VLOOKUP(Tabla1103453454455456479116117118120740126148156186254256287328340342343349364366376401403[[#This Row],[ArtÃ­culo]],Tabla34[#All],3,0)</f>
        <v>14.979749999999999</v>
      </c>
      <c r="H523" s="338">
        <f>+Tabla1103453454455456479116117118120740126148156186254256287328340342343349364366376401403[[#This Row],[Coste Componente]]*Tabla1103453454455456479116117118120740126148156186254256287328340342343349364366376401403[[#This Row],[Unidades]]</f>
        <v>449.39249999999998</v>
      </c>
    </row>
    <row r="524" spans="2:13" s="40" customFormat="1" x14ac:dyDescent="0.25">
      <c r="B524" s="16"/>
      <c r="C524" s="17"/>
      <c r="D524" s="17"/>
      <c r="E524" s="17"/>
      <c r="F524" s="17"/>
      <c r="G524" s="18"/>
      <c r="H524" s="18">
        <f>SUBTOTAL(109,Tabla1103453454455456479116117118120740126148156186254256287328340342343349364366376401403[Coste LÃ­nea])</f>
        <v>12631.176206920001</v>
      </c>
    </row>
    <row r="525" spans="2:13" s="50" customFormat="1" x14ac:dyDescent="0.25">
      <c r="B525" s="32"/>
      <c r="C525" s="33"/>
      <c r="D525" s="33"/>
      <c r="E525" s="33"/>
      <c r="F525" s="33"/>
      <c r="G525" s="34"/>
      <c r="H525" s="34"/>
      <c r="M525" s="40"/>
    </row>
    <row r="526" spans="2:13" s="40" customFormat="1" x14ac:dyDescent="0.25">
      <c r="B526" s="1" t="s">
        <v>147</v>
      </c>
      <c r="C526" s="2"/>
      <c r="D526" s="2"/>
      <c r="E526" s="3"/>
      <c r="F526" s="3"/>
      <c r="G526" s="3"/>
      <c r="H526" s="3"/>
      <c r="J526" s="399" t="s">
        <v>0</v>
      </c>
      <c r="K526" s="399"/>
    </row>
    <row r="527" spans="2:13" s="40" customFormat="1" x14ac:dyDescent="0.25">
      <c r="B527" s="16" t="s">
        <v>857</v>
      </c>
      <c r="C527" s="17" t="s">
        <v>895</v>
      </c>
      <c r="D527" s="17" t="s">
        <v>892</v>
      </c>
      <c r="E527" s="17" t="s">
        <v>893</v>
      </c>
      <c r="F527" s="17" t="s">
        <v>894</v>
      </c>
      <c r="G527" s="76" t="s">
        <v>901</v>
      </c>
      <c r="H527" s="76" t="s">
        <v>902</v>
      </c>
      <c r="J527" s="8" t="s">
        <v>6</v>
      </c>
      <c r="K527" s="9">
        <f>SUM(Tabla1103453454455456479116117118120740126148156186254256287328340342343349364366376401405[Coste LÃ­nea])</f>
        <v>1561.00128877</v>
      </c>
      <c r="M527" s="406" t="s">
        <v>1383</v>
      </c>
    </row>
    <row r="528" spans="2:13" s="40" customFormat="1" x14ac:dyDescent="0.25">
      <c r="B528" s="10" t="s">
        <v>619</v>
      </c>
      <c r="C528" s="11" t="s">
        <v>67</v>
      </c>
      <c r="D528" s="12">
        <v>40</v>
      </c>
      <c r="E528" s="12">
        <v>0</v>
      </c>
      <c r="F528" s="12">
        <v>40</v>
      </c>
      <c r="G528" s="337">
        <f>+VLOOKUP(Tabla1103453454455456479116117118120740126148156186254256287328340342343349364366376401405[[#This Row],[ArtÃ­culo]],Tabla34[#All],3,0)</f>
        <v>26.27257651</v>
      </c>
      <c r="H528" s="338">
        <f>+Tabla1103453454455456479116117118120740126148156186254256287328340342343349364366376401405[[#This Row],[Coste Componente]]*Tabla1103453454455456479116117118120740126148156186254256287328340342343349364366376401405[[#This Row],[Unidades]]</f>
        <v>1050.9030604</v>
      </c>
      <c r="J528" s="8" t="s">
        <v>12</v>
      </c>
      <c r="K528" s="15">
        <f>+K527*5%</f>
        <v>78.050064438500002</v>
      </c>
      <c r="M528" s="384"/>
    </row>
    <row r="529" spans="2:13" s="40" customFormat="1" x14ac:dyDescent="0.25">
      <c r="B529" s="10" t="s">
        <v>212</v>
      </c>
      <c r="C529" s="11" t="s">
        <v>67</v>
      </c>
      <c r="D529" s="12">
        <v>10</v>
      </c>
      <c r="E529" s="12">
        <v>0</v>
      </c>
      <c r="F529" s="12">
        <v>10</v>
      </c>
      <c r="G529" s="337">
        <f>+VLOOKUP(Tabla1103453454455456479116117118120740126148156186254256287328340342343349364366376401405[[#This Row],[ArtÃ­culo]],Tabla34[#All],3,0)</f>
        <v>40.047916669999999</v>
      </c>
      <c r="H529" s="338">
        <f>+Tabla1103453454455456479116117118120740126148156186254256287328340342343349364366376401405[[#This Row],[Coste Componente]]*Tabla1103453454455456479116117118120740126148156186254256287328340342343349364366376401405[[#This Row],[Unidades]]</f>
        <v>400.47916670000001</v>
      </c>
      <c r="J529" s="8" t="s">
        <v>13</v>
      </c>
      <c r="K529" s="15">
        <f>+K527+K528</f>
        <v>1639.0513532084999</v>
      </c>
      <c r="M529" s="384"/>
    </row>
    <row r="530" spans="2:13" s="40" customFormat="1" x14ac:dyDescent="0.25">
      <c r="B530" s="10" t="s">
        <v>923</v>
      </c>
      <c r="C530" s="11" t="s">
        <v>67</v>
      </c>
      <c r="D530" s="12">
        <v>2</v>
      </c>
      <c r="E530" s="12">
        <v>0</v>
      </c>
      <c r="F530" s="12">
        <v>2</v>
      </c>
      <c r="G530" s="337">
        <f>+VLOOKUP(Tabla1103453454455456479116117118120740126148156186254256287328340342343349364366376401405[[#This Row],[ArtÃ­culo]],Tabla34[#All],3,0)</f>
        <v>25</v>
      </c>
      <c r="H530" s="338">
        <f>+Tabla1103453454455456479116117118120740126148156186254256287328340342343349364366376401405[[#This Row],[Coste Componente]]*Tabla1103453454455456479116117118120740126148156186254256287328340342343349364366376401405[[#This Row],[Unidades]]</f>
        <v>50</v>
      </c>
      <c r="J530" s="20" t="s">
        <v>1313</v>
      </c>
      <c r="K530" s="328">
        <v>117</v>
      </c>
    </row>
    <row r="531" spans="2:13" s="40" customFormat="1" x14ac:dyDescent="0.25">
      <c r="B531" s="10" t="s">
        <v>89</v>
      </c>
      <c r="C531" s="11" t="s">
        <v>67</v>
      </c>
      <c r="D531" s="12">
        <v>1</v>
      </c>
      <c r="E531" s="12">
        <v>0</v>
      </c>
      <c r="F531" s="12">
        <v>1</v>
      </c>
      <c r="G531" s="337">
        <f>+VLOOKUP(Tabla1103453454455456479116117118120740126148156186254256287328340342343349364366376401405[[#This Row],[ArtÃ­culo]],Tabla34[#All],3,0)</f>
        <v>2.4009999999999998</v>
      </c>
      <c r="H531" s="338">
        <f>+Tabla1103453454455456479116117118120740126148156186254256287328340342343349364366376401405[[#This Row],[Coste Componente]]*Tabla1103453454455456479116117118120740126148156186254256287328340342343349364366376401405[[#This Row],[Unidades]]</f>
        <v>2.4009999999999998</v>
      </c>
      <c r="J531" s="8" t="s">
        <v>15</v>
      </c>
      <c r="K531" s="15">
        <f>+K529/K530</f>
        <v>14.008985924858974</v>
      </c>
    </row>
    <row r="532" spans="2:13" s="40" customFormat="1" x14ac:dyDescent="0.25">
      <c r="B532" s="10" t="s">
        <v>840</v>
      </c>
      <c r="C532" s="11" t="s">
        <v>67</v>
      </c>
      <c r="D532" s="12">
        <v>1</v>
      </c>
      <c r="E532" s="12">
        <v>0</v>
      </c>
      <c r="F532" s="12">
        <v>1</v>
      </c>
      <c r="G532" s="337">
        <f>+VLOOKUP(Tabla1103453454455456479116117118120740126148156186254256287328340342343349364366376401405[[#This Row],[ArtÃ­culo]],Tabla34[#All],3,0)</f>
        <v>57.218061669999997</v>
      </c>
      <c r="H532" s="338">
        <f>+Tabla1103453454455456479116117118120740126148156186254256287328340342343349364366376401405[[#This Row],[Coste Componente]]*Tabla1103453454455456479116117118120740126148156186254256287328340342343349364366376401405[[#This Row],[Unidades]]</f>
        <v>57.218061669999997</v>
      </c>
    </row>
    <row r="533" spans="2:13" s="40" customFormat="1" x14ac:dyDescent="0.25">
      <c r="B533" s="16"/>
      <c r="C533" s="17"/>
      <c r="D533" s="17"/>
      <c r="E533" s="17"/>
      <c r="F533" s="17"/>
      <c r="G533" s="18"/>
      <c r="H533" s="18">
        <f>SUBTOTAL(109,Tabla1103453454455456479116117118120740126148156186254256287328340342343349364366376401405[Coste LÃ­nea])</f>
        <v>1561.00128877</v>
      </c>
    </row>
    <row r="534" spans="2:13" s="40" customFormat="1" x14ac:dyDescent="0.25"/>
    <row r="536" spans="2:13" s="40" customFormat="1" x14ac:dyDescent="0.25">
      <c r="B536" s="1" t="s">
        <v>118</v>
      </c>
      <c r="C536" s="2"/>
      <c r="D536" s="2"/>
      <c r="E536" s="3"/>
      <c r="F536" s="3"/>
      <c r="G536" s="3"/>
      <c r="H536" s="3"/>
      <c r="J536" s="399" t="s">
        <v>0</v>
      </c>
      <c r="K536" s="399"/>
    </row>
    <row r="537" spans="2:13" s="40" customFormat="1" x14ac:dyDescent="0.25">
      <c r="B537" s="16" t="s">
        <v>857</v>
      </c>
      <c r="C537" s="17" t="s">
        <v>895</v>
      </c>
      <c r="D537" s="17" t="s">
        <v>892</v>
      </c>
      <c r="E537" s="17" t="s">
        <v>893</v>
      </c>
      <c r="F537" s="17" t="s">
        <v>894</v>
      </c>
      <c r="G537" s="76" t="s">
        <v>901</v>
      </c>
      <c r="H537" s="76" t="s">
        <v>902</v>
      </c>
      <c r="J537" s="8" t="s">
        <v>6</v>
      </c>
      <c r="K537" s="9">
        <f>SUM(Tabla1103453454455456479116117118120740126148156186254256287328340342343349364366376401406[Coste LÃ­nea])</f>
        <v>58399.404098599996</v>
      </c>
      <c r="M537" s="406" t="s">
        <v>1383</v>
      </c>
    </row>
    <row r="538" spans="2:13" s="40" customFormat="1" x14ac:dyDescent="0.25">
      <c r="B538" s="10" t="s">
        <v>673</v>
      </c>
      <c r="C538" s="11" t="s">
        <v>67</v>
      </c>
      <c r="D538" s="12">
        <v>1200</v>
      </c>
      <c r="E538" s="12">
        <v>60</v>
      </c>
      <c r="F538" s="12">
        <v>3000</v>
      </c>
      <c r="G538" s="337">
        <f>+VLOOKUP(Tabla1103453454455456479116117118120740126148156186254256287328340342343349364366376401406[[#This Row],[ArtÃ­culo]],Tabla34[#All],3,0)</f>
        <v>5.5</v>
      </c>
      <c r="H538" s="338">
        <f>+Tabla1103453454455456479116117118120740126148156186254256287328340342343349364366376401406[[#This Row],[Coste Componente]]*Tabla1103453454455456479116117118120740126148156186254256287328340342343349364366376401406[[#This Row],[Unidades]]</f>
        <v>16500</v>
      </c>
      <c r="J538" s="8" t="s">
        <v>12</v>
      </c>
      <c r="K538" s="15">
        <f>+K537*5%</f>
        <v>2919.9702049299999</v>
      </c>
      <c r="M538" s="384"/>
    </row>
    <row r="539" spans="2:13" s="40" customFormat="1" x14ac:dyDescent="0.25">
      <c r="B539" s="10" t="s">
        <v>38</v>
      </c>
      <c r="C539" s="11" t="s">
        <v>67</v>
      </c>
      <c r="D539" s="12">
        <v>20</v>
      </c>
      <c r="E539" s="12">
        <v>0</v>
      </c>
      <c r="F539" s="12">
        <v>20</v>
      </c>
      <c r="G539" s="337">
        <f>+VLOOKUP(Tabla1103453454455456479116117118120740126148156186254256287328340342343349364366376401406[[#This Row],[ArtÃ­culo]],Tabla34[#All],3,0)</f>
        <v>0</v>
      </c>
      <c r="H539" s="338">
        <f>+Tabla1103453454455456479116117118120740126148156186254256287328340342343349364366376401406[[#This Row],[Coste Componente]]*Tabla1103453454455456479116117118120740126148156186254256287328340342343349364366376401406[[#This Row],[Unidades]]</f>
        <v>0</v>
      </c>
      <c r="J539" s="8" t="s">
        <v>13</v>
      </c>
      <c r="K539" s="15">
        <f>+K537+K538</f>
        <v>61319.374303529999</v>
      </c>
    </row>
    <row r="540" spans="2:13" s="40" customFormat="1" x14ac:dyDescent="0.25">
      <c r="B540" s="10" t="s">
        <v>619</v>
      </c>
      <c r="C540" s="11" t="s">
        <v>67</v>
      </c>
      <c r="D540" s="12">
        <v>1500</v>
      </c>
      <c r="E540" s="12">
        <v>0</v>
      </c>
      <c r="F540" s="12">
        <v>1500</v>
      </c>
      <c r="G540" s="337">
        <f>+VLOOKUP(Tabla1103453454455456479116117118120740126148156186254256287328340342343349364366376401406[[#This Row],[ArtÃ­culo]],Tabla34[#All],3,0)</f>
        <v>26.27257651</v>
      </c>
      <c r="H540" s="338">
        <f>+Tabla1103453454455456479116117118120740126148156186254256287328340342343349364366376401406[[#This Row],[Coste Componente]]*Tabla1103453454455456479116117118120740126148156186254256287328340342343349364366376401406[[#This Row],[Unidades]]</f>
        <v>39408.864764999998</v>
      </c>
      <c r="J540" s="20" t="s">
        <v>1313</v>
      </c>
      <c r="K540" s="328">
        <v>1924</v>
      </c>
    </row>
    <row r="541" spans="2:13" s="40" customFormat="1" x14ac:dyDescent="0.25">
      <c r="B541" s="10" t="s">
        <v>198</v>
      </c>
      <c r="C541" s="11" t="s">
        <v>67</v>
      </c>
      <c r="D541" s="12">
        <v>6</v>
      </c>
      <c r="E541" s="12">
        <v>0</v>
      </c>
      <c r="F541" s="12">
        <v>6</v>
      </c>
      <c r="G541" s="337">
        <f>+VLOOKUP(Tabla1103453454455456479116117118120740126148156186254256287328340342343349364366376401406[[#This Row],[ArtÃ­culo]],Tabla34[#All],3,0)</f>
        <v>350.00099999999998</v>
      </c>
      <c r="H541" s="338">
        <f>+Tabla1103453454455456479116117118120740126148156186254256287328340342343349364366376401406[[#This Row],[Coste Componente]]*Tabla1103453454455456479116117118120740126148156186254256287328340342343349364366376401406[[#This Row],[Unidades]]</f>
        <v>2100.0059999999999</v>
      </c>
      <c r="J541" s="8" t="s">
        <v>15</v>
      </c>
      <c r="K541" s="15">
        <f>+K539/K540</f>
        <v>31.870776665036381</v>
      </c>
    </row>
    <row r="542" spans="2:13" s="40" customFormat="1" x14ac:dyDescent="0.25">
      <c r="B542" s="10" t="s">
        <v>85</v>
      </c>
      <c r="C542" s="11" t="s">
        <v>67</v>
      </c>
      <c r="D542" s="12">
        <v>80</v>
      </c>
      <c r="E542" s="12">
        <v>0</v>
      </c>
      <c r="F542" s="12">
        <v>80</v>
      </c>
      <c r="G542" s="337">
        <f>+VLOOKUP(Tabla1103453454455456479116117118120740126148156186254256287328340342343349364366376401406[[#This Row],[ArtÃ­culo]],Tabla34[#All],3,0)</f>
        <v>4.8816666700000004</v>
      </c>
      <c r="H542" s="338">
        <f>+Tabla1103453454455456479116117118120740126148156186254256287328340342343349364366376401406[[#This Row],[Coste Componente]]*Tabla1103453454455456479116117118120740126148156186254256287328340342343349364366376401406[[#This Row],[Unidades]]</f>
        <v>390.53333360000005</v>
      </c>
    </row>
    <row r="543" spans="2:13" s="40" customFormat="1" x14ac:dyDescent="0.25">
      <c r="B543" s="16"/>
      <c r="C543" s="17"/>
      <c r="D543" s="17"/>
      <c r="E543" s="17"/>
      <c r="F543" s="17"/>
      <c r="G543" s="18"/>
      <c r="H543" s="18">
        <f>SUBTOTAL(109,Tabla1103453454455456479116117118120740126148156186254256287328340342343349364366376401406[Coste LÃ­nea])</f>
        <v>58399.404098599996</v>
      </c>
    </row>
    <row r="544" spans="2:13" s="40" customFormat="1" x14ac:dyDescent="0.25"/>
    <row r="546" spans="2:13" s="40" customFormat="1" x14ac:dyDescent="0.25">
      <c r="B546" s="1" t="s">
        <v>133</v>
      </c>
      <c r="C546" s="2"/>
      <c r="D546" s="2"/>
      <c r="E546" s="3"/>
      <c r="F546" s="3"/>
      <c r="G546" s="3"/>
      <c r="H546" s="3"/>
      <c r="J546" s="399" t="s">
        <v>0</v>
      </c>
      <c r="K546" s="399"/>
    </row>
    <row r="547" spans="2:13" s="40" customFormat="1" x14ac:dyDescent="0.25">
      <c r="B547" s="16" t="s">
        <v>857</v>
      </c>
      <c r="C547" s="17" t="s">
        <v>895</v>
      </c>
      <c r="D547" s="17" t="s">
        <v>892</v>
      </c>
      <c r="E547" s="17" t="s">
        <v>893</v>
      </c>
      <c r="F547" s="17" t="s">
        <v>894</v>
      </c>
      <c r="G547" s="76" t="s">
        <v>901</v>
      </c>
      <c r="H547" s="76" t="s">
        <v>902</v>
      </c>
      <c r="J547" s="8" t="s">
        <v>6</v>
      </c>
      <c r="K547" s="9">
        <f>SUM(Tabla1103453454455456479116117118120740126148156186254256287328340342343349364366376401413[Coste LÃ­nea])</f>
        <v>11617.7076657</v>
      </c>
      <c r="M547" s="406" t="s">
        <v>1383</v>
      </c>
    </row>
    <row r="548" spans="2:13" s="40" customFormat="1" x14ac:dyDescent="0.25">
      <c r="B548" s="10" t="s">
        <v>107</v>
      </c>
      <c r="C548" s="11" t="s">
        <v>67</v>
      </c>
      <c r="D548" s="12">
        <v>500</v>
      </c>
      <c r="E548" s="12">
        <v>0</v>
      </c>
      <c r="F548" s="12">
        <v>500</v>
      </c>
      <c r="G548" s="337">
        <f>+VLOOKUP(Tabla1103453454455456479116117118120740126148156186254256287328340342343349364366376401413[[#This Row],[ArtÃ­culo]],Tabla34[#All],3,0)</f>
        <v>19.747499999999999</v>
      </c>
      <c r="H548" s="338">
        <f>+Tabla1103453454455456479116117118120740126148156186254256287328340342343349364366376401413[[#This Row],[Coste Componente]]*Tabla1103453454455456479116117118120740126148156186254256287328340342343349364366376401413[[#This Row],[Unidades]]</f>
        <v>9873.75</v>
      </c>
      <c r="J548" s="8" t="s">
        <v>12</v>
      </c>
      <c r="K548" s="15">
        <f>+K547*5%</f>
        <v>580.88538328499999</v>
      </c>
      <c r="M548" s="384"/>
    </row>
    <row r="549" spans="2:13" s="40" customFormat="1" x14ac:dyDescent="0.25">
      <c r="B549" s="10" t="s">
        <v>282</v>
      </c>
      <c r="C549" s="11" t="s">
        <v>67</v>
      </c>
      <c r="D549" s="12">
        <v>200</v>
      </c>
      <c r="E549" s="12">
        <v>0</v>
      </c>
      <c r="F549" s="12">
        <v>200</v>
      </c>
      <c r="G549" s="337">
        <f>+VLOOKUP(Tabla1103453454455456479116117118120740126148156186254256287328340342343349364366376401413[[#This Row],[ArtÃ­culo]],Tabla34[#All],3,0)</f>
        <v>8.6178504199999999</v>
      </c>
      <c r="H549" s="338">
        <f>+Tabla1103453454455456479116117118120740126148156186254256287328340342343349364366376401413[[#This Row],[Coste Componente]]*Tabla1103453454455456479116117118120740126148156186254256287328340342343349364366376401413[[#This Row],[Unidades]]</f>
        <v>1723.570084</v>
      </c>
      <c r="J549" s="8" t="s">
        <v>13</v>
      </c>
      <c r="K549" s="15">
        <f>+K547+K548</f>
        <v>12198.593048985</v>
      </c>
    </row>
    <row r="550" spans="2:13" s="40" customFormat="1" x14ac:dyDescent="0.25">
      <c r="B550" s="10" t="s">
        <v>91</v>
      </c>
      <c r="C550" s="11" t="s">
        <v>67</v>
      </c>
      <c r="D550" s="12">
        <v>2</v>
      </c>
      <c r="E550" s="12">
        <v>0</v>
      </c>
      <c r="F550" s="12">
        <v>2</v>
      </c>
      <c r="G550" s="337">
        <f>+VLOOKUP(Tabla1103453454455456479116117118120740126148156186254256287328340342343349364366376401413[[#This Row],[ArtÃ­culo]],Tabla34[#All],3,0)</f>
        <v>10.193790849999999</v>
      </c>
      <c r="H550" s="338">
        <f>+Tabla1103453454455456479116117118120740126148156186254256287328340342343349364366376401413[[#This Row],[Coste Componente]]*Tabla1103453454455456479116117118120740126148156186254256287328340342343349364366376401413[[#This Row],[Unidades]]</f>
        <v>20.387581699999998</v>
      </c>
      <c r="J550" s="20" t="s">
        <v>1313</v>
      </c>
      <c r="K550" s="328">
        <v>702</v>
      </c>
    </row>
    <row r="551" spans="2:13" s="40" customFormat="1" x14ac:dyDescent="0.25">
      <c r="B551" s="16"/>
      <c r="C551" s="17"/>
      <c r="D551" s="17"/>
      <c r="E551" s="17"/>
      <c r="F551" s="17"/>
      <c r="G551" s="18"/>
      <c r="H551" s="18">
        <f>SUBTOTAL(109,Tabla1103453454455456479116117118120740126148156186254256287328340342343349364366376401413[Coste LÃ­nea])</f>
        <v>11617.7076657</v>
      </c>
      <c r="J551" s="8" t="s">
        <v>15</v>
      </c>
      <c r="K551" s="15">
        <f>+K549/K550</f>
        <v>17.376913175192307</v>
      </c>
    </row>
    <row r="552" spans="2:13" s="40" customFormat="1" x14ac:dyDescent="0.25"/>
    <row r="554" spans="2:13" s="40" customFormat="1" x14ac:dyDescent="0.25">
      <c r="B554" s="1" t="s">
        <v>897</v>
      </c>
      <c r="C554" s="2"/>
      <c r="D554" s="2"/>
      <c r="E554" s="3"/>
      <c r="F554" s="3"/>
      <c r="G554" s="3"/>
      <c r="H554" s="3"/>
      <c r="J554" s="399" t="s">
        <v>0</v>
      </c>
      <c r="K554" s="399"/>
    </row>
    <row r="555" spans="2:13" s="40" customFormat="1" x14ac:dyDescent="0.25">
      <c r="B555" s="16" t="s">
        <v>857</v>
      </c>
      <c r="C555" s="17" t="s">
        <v>895</v>
      </c>
      <c r="D555" s="17" t="s">
        <v>892</v>
      </c>
      <c r="E555" s="17" t="s">
        <v>893</v>
      </c>
      <c r="F555" s="17" t="s">
        <v>894</v>
      </c>
      <c r="G555" s="76" t="s">
        <v>901</v>
      </c>
      <c r="H555" s="76" t="s">
        <v>902</v>
      </c>
      <c r="J555" s="8" t="s">
        <v>6</v>
      </c>
      <c r="K555" s="9">
        <f>SUM(Tabla1103453454455456479116117118120740126148156186254256287328340342343349364366376401413415[Coste LÃ­nea])</f>
        <v>5155.0837090099994</v>
      </c>
      <c r="M555" s="406" t="s">
        <v>1383</v>
      </c>
    </row>
    <row r="556" spans="2:13" s="40" customFormat="1" x14ac:dyDescent="0.25">
      <c r="B556" s="10" t="s">
        <v>721</v>
      </c>
      <c r="C556" s="11" t="s">
        <v>67</v>
      </c>
      <c r="D556" s="12">
        <v>20</v>
      </c>
      <c r="E556" s="12">
        <v>0</v>
      </c>
      <c r="F556" s="12">
        <v>20</v>
      </c>
      <c r="G556" s="337">
        <f>+VLOOKUP(Tabla1103453454455456479116117118120740126148156186254256287328340342343349364366376401413415[[#This Row],[ArtÃ­culo]],Tabla34[#All],3,0)</f>
        <v>90</v>
      </c>
      <c r="H556" s="338">
        <f>+Tabla1103453454455456479116117118120740126148156186254256287328340342343349364366376401413415[[#This Row],[Coste Componente]]*Tabla1103453454455456479116117118120740126148156186254256287328340342343349364366376401413415[[#This Row],[Unidades]]</f>
        <v>1800</v>
      </c>
      <c r="J556" s="8" t="s">
        <v>12</v>
      </c>
      <c r="K556" s="15">
        <f>+K555*5%</f>
        <v>257.75418545049996</v>
      </c>
      <c r="M556" s="384"/>
    </row>
    <row r="557" spans="2:13" s="40" customFormat="1" x14ac:dyDescent="0.25">
      <c r="B557" s="10" t="s">
        <v>1194</v>
      </c>
      <c r="C557" s="11" t="s">
        <v>847</v>
      </c>
      <c r="D557" s="12">
        <v>3</v>
      </c>
      <c r="E557" s="12">
        <v>0</v>
      </c>
      <c r="F557" s="12">
        <v>3</v>
      </c>
      <c r="G557" s="337">
        <f>+VLOOKUP(Tabla1103453454455456479116117118120740126148156186254256287328340342343349364366376401413415[[#This Row],[ArtÃ­culo]],Tabla34[#All],3,0)</f>
        <v>726.66666667000004</v>
      </c>
      <c r="H557" s="338">
        <f>+Tabla1103453454455456479116117118120740126148156186254256287328340342343349364366376401413415[[#This Row],[Coste Componente]]*Tabla1103453454455456479116117118120740126148156186254256287328340342343349364366376401413415[[#This Row],[Unidades]]</f>
        <v>2180.0000000099999</v>
      </c>
      <c r="J557" s="8" t="s">
        <v>13</v>
      </c>
      <c r="K557" s="15">
        <f>+K555+K556</f>
        <v>5412.8378944604992</v>
      </c>
    </row>
    <row r="558" spans="2:13" s="40" customFormat="1" x14ac:dyDescent="0.25">
      <c r="B558" s="10" t="s">
        <v>85</v>
      </c>
      <c r="C558" s="11" t="s">
        <v>67</v>
      </c>
      <c r="D558" s="12">
        <v>200</v>
      </c>
      <c r="E558" s="12">
        <v>0</v>
      </c>
      <c r="F558" s="12">
        <v>200</v>
      </c>
      <c r="G558" s="337">
        <f>+VLOOKUP(Tabla1103453454455456479116117118120740126148156186254256287328340342343349364366376401413415[[#This Row],[ArtÃ­culo]],Tabla34[#All],3,0)</f>
        <v>4.8816666700000004</v>
      </c>
      <c r="H558" s="338">
        <f>+Tabla1103453454455456479116117118120740126148156186254256287328340342343349364366376401413415[[#This Row],[Coste Componente]]*Tabla1103453454455456479116117118120740126148156186254256287328340342343349364366376401413415[[#This Row],[Unidades]]</f>
        <v>976.33333400000004</v>
      </c>
      <c r="J558" s="20" t="s">
        <v>1313</v>
      </c>
      <c r="K558" s="328">
        <v>180</v>
      </c>
    </row>
    <row r="559" spans="2:13" s="40" customFormat="1" x14ac:dyDescent="0.25">
      <c r="B559" s="10" t="s">
        <v>1172</v>
      </c>
      <c r="C559" s="11" t="s">
        <v>67</v>
      </c>
      <c r="D559" s="12">
        <v>1</v>
      </c>
      <c r="E559" s="12">
        <v>0</v>
      </c>
      <c r="F559" s="12">
        <v>1</v>
      </c>
      <c r="G559" s="337">
        <f>+VLOOKUP(Tabla1103453454455456479116117118120740126148156186254256287328340342343349364366376401413415[[#This Row],[ArtÃ­culo]],Tabla34[#All],3,0)</f>
        <v>131.25037499999999</v>
      </c>
      <c r="H559" s="338">
        <f>+Tabla1103453454455456479116117118120740126148156186254256287328340342343349364366376401413415[[#This Row],[Coste Componente]]*Tabla1103453454455456479116117118120740126148156186254256287328340342343349364366376401413415[[#This Row],[Unidades]]</f>
        <v>131.25037499999999</v>
      </c>
      <c r="J559" s="8" t="s">
        <v>15</v>
      </c>
      <c r="K559" s="15">
        <f>+K557/K558</f>
        <v>30.071321635891664</v>
      </c>
    </row>
    <row r="560" spans="2:13" s="40" customFormat="1" x14ac:dyDescent="0.25">
      <c r="B560" s="10" t="s">
        <v>835</v>
      </c>
      <c r="C560" s="11" t="s">
        <v>67</v>
      </c>
      <c r="D560" s="12">
        <v>15</v>
      </c>
      <c r="E560" s="12">
        <v>0</v>
      </c>
      <c r="F560" s="12">
        <v>15</v>
      </c>
      <c r="G560" s="337">
        <f>+VLOOKUP(Tabla1103453454455456479116117118120740126148156186254256287328340342343349364366376401413415[[#This Row],[ArtÃ­culo]],Tabla34[#All],3,0)</f>
        <v>4.5</v>
      </c>
      <c r="H560" s="338">
        <f>+Tabla1103453454455456479116117118120740126148156186254256287328340342343349364366376401413415[[#This Row],[Coste Componente]]*Tabla1103453454455456479116117118120740126148156186254256287328340342343349364366376401413415[[#This Row],[Unidades]]</f>
        <v>67.5</v>
      </c>
    </row>
    <row r="561" spans="2:13" s="40" customFormat="1" x14ac:dyDescent="0.25">
      <c r="B561" s="16"/>
      <c r="C561" s="17"/>
      <c r="D561" s="17"/>
      <c r="E561" s="17"/>
      <c r="F561" s="17"/>
      <c r="G561" s="18"/>
      <c r="H561" s="18">
        <f>SUBTOTAL(109,Tabla1103453454455456479116117118120740126148156186254256287328340342343349364366376401413415[Coste LÃ­nea])</f>
        <v>5155.0837090099994</v>
      </c>
    </row>
    <row r="562" spans="2:13" s="40" customFormat="1" x14ac:dyDescent="0.25"/>
    <row r="564" spans="2:13" s="40" customFormat="1" x14ac:dyDescent="0.25">
      <c r="B564" s="1" t="s">
        <v>39</v>
      </c>
      <c r="C564" s="2"/>
      <c r="D564" s="2"/>
      <c r="E564" s="3"/>
      <c r="F564" s="3"/>
      <c r="G564" s="3"/>
      <c r="H564" s="3"/>
      <c r="J564" s="399" t="s">
        <v>0</v>
      </c>
      <c r="K564" s="399"/>
    </row>
    <row r="565" spans="2:13" s="40" customFormat="1" x14ac:dyDescent="0.25">
      <c r="B565" s="16" t="s">
        <v>857</v>
      </c>
      <c r="C565" s="17" t="s">
        <v>895</v>
      </c>
      <c r="D565" s="17" t="s">
        <v>892</v>
      </c>
      <c r="E565" s="17" t="s">
        <v>893</v>
      </c>
      <c r="F565" s="17" t="s">
        <v>894</v>
      </c>
      <c r="G565" s="76" t="s">
        <v>901</v>
      </c>
      <c r="H565" s="76" t="s">
        <v>902</v>
      </c>
      <c r="J565" s="8" t="s">
        <v>6</v>
      </c>
      <c r="K565" s="9">
        <f>SUM(Tabla1103453454455456479116117118120740126148156186254256287328340342343349364366376401413415417[Coste LÃ­nea])</f>
        <v>13185.031968169998</v>
      </c>
      <c r="M565" s="406" t="s">
        <v>1383</v>
      </c>
    </row>
    <row r="566" spans="2:13" s="40" customFormat="1" x14ac:dyDescent="0.25">
      <c r="B566" s="10" t="s">
        <v>38</v>
      </c>
      <c r="C566" s="11" t="s">
        <v>67</v>
      </c>
      <c r="D566" s="12">
        <v>500</v>
      </c>
      <c r="E566" s="12">
        <v>0</v>
      </c>
      <c r="F566" s="12">
        <v>500</v>
      </c>
      <c r="G566" s="337">
        <f>+VLOOKUP(Tabla1103453454455456479116117118120740126148156186254256287328340342343349364366376401413415417[[#This Row],[ArtÃ­culo]],Tabla34[#All],3,0)</f>
        <v>0</v>
      </c>
      <c r="H566" s="338">
        <f>+Tabla1103453454455456479116117118120740126148156186254256287328340342343349364366376401413415417[[#This Row],[Coste Componente]]*Tabla1103453454455456479116117118120740126148156186254256287328340342343349364366376401413415417[[#This Row],[Unidades]]</f>
        <v>0</v>
      </c>
      <c r="J566" s="8" t="s">
        <v>12</v>
      </c>
      <c r="K566" s="15">
        <f>+K565*5%</f>
        <v>659.25159840849994</v>
      </c>
      <c r="M566" s="384"/>
    </row>
    <row r="567" spans="2:13" s="40" customFormat="1" x14ac:dyDescent="0.25">
      <c r="B567" s="10" t="s">
        <v>828</v>
      </c>
      <c r="C567" s="11" t="s">
        <v>67</v>
      </c>
      <c r="D567" s="12">
        <v>850</v>
      </c>
      <c r="E567" s="12">
        <v>0</v>
      </c>
      <c r="F567" s="12">
        <v>850</v>
      </c>
      <c r="G567" s="337">
        <f>+VLOOKUP(Tabla1103453454455456479116117118120740126148156186254256287328340342343349364366376401413415417[[#This Row],[ArtÃ­culo]],Tabla34[#All],3,0)</f>
        <v>9.8000000000000007</v>
      </c>
      <c r="H567" s="338">
        <f>+Tabla1103453454455456479116117118120740126148156186254256287328340342343349364366376401413415417[[#This Row],[Coste Componente]]*Tabla1103453454455456479116117118120740126148156186254256287328340342343349364366376401413415417[[#This Row],[Unidades]]</f>
        <v>8330</v>
      </c>
      <c r="J567" s="8" t="s">
        <v>13</v>
      </c>
      <c r="K567" s="15">
        <f>+K565+K566</f>
        <v>13844.283566578499</v>
      </c>
    </row>
    <row r="568" spans="2:13" s="40" customFormat="1" x14ac:dyDescent="0.25">
      <c r="B568" s="10" t="s">
        <v>85</v>
      </c>
      <c r="C568" s="11" t="s">
        <v>67</v>
      </c>
      <c r="D568" s="12">
        <v>550</v>
      </c>
      <c r="E568" s="12">
        <v>0</v>
      </c>
      <c r="F568" s="12">
        <v>550</v>
      </c>
      <c r="G568" s="337">
        <f>+VLOOKUP(Tabla1103453454455456479116117118120740126148156186254256287328340342343349364366376401413415417[[#This Row],[ArtÃ­culo]],Tabla34[#All],3,0)</f>
        <v>4.8816666700000004</v>
      </c>
      <c r="H568" s="338">
        <f>+Tabla1103453454455456479116117118120740126148156186254256287328340342343349364366376401413415417[[#This Row],[Coste Componente]]*Tabla1103453454455456479116117118120740126148156186254256287328340342343349364366376401413415417[[#This Row],[Unidades]]</f>
        <v>2684.9166685</v>
      </c>
      <c r="J568" s="20" t="s">
        <v>1313</v>
      </c>
      <c r="K568" s="328">
        <v>1207</v>
      </c>
    </row>
    <row r="569" spans="2:13" s="40" customFormat="1" x14ac:dyDescent="0.25">
      <c r="B569" s="10" t="s">
        <v>89</v>
      </c>
      <c r="C569" s="11" t="s">
        <v>67</v>
      </c>
      <c r="D569" s="12">
        <v>15</v>
      </c>
      <c r="E569" s="12">
        <v>0</v>
      </c>
      <c r="F569" s="12">
        <v>15</v>
      </c>
      <c r="G569" s="337">
        <f>+VLOOKUP(Tabla1103453454455456479116117118120740126148156186254256287328340342343349364366376401413415417[[#This Row],[ArtÃ­culo]],Tabla34[#All],3,0)</f>
        <v>2.4009999999999998</v>
      </c>
      <c r="H569" s="338">
        <f>+Tabla1103453454455456479116117118120740126148156186254256287328340342343349364366376401413415417[[#This Row],[Coste Componente]]*Tabla1103453454455456479116117118120740126148156186254256287328340342343349364366376401413415417[[#This Row],[Unidades]]</f>
        <v>36.015000000000001</v>
      </c>
      <c r="J569" s="8" t="s">
        <v>15</v>
      </c>
      <c r="K569" s="15">
        <f>+K567/K568</f>
        <v>11.469994669907621</v>
      </c>
    </row>
    <row r="570" spans="2:13" s="40" customFormat="1" x14ac:dyDescent="0.25">
      <c r="B570" s="10" t="s">
        <v>37</v>
      </c>
      <c r="C570" s="11" t="s">
        <v>67</v>
      </c>
      <c r="D570" s="12">
        <v>30</v>
      </c>
      <c r="E570" s="12">
        <v>0</v>
      </c>
      <c r="F570" s="12">
        <v>30</v>
      </c>
      <c r="G570" s="337">
        <f>+VLOOKUP(Tabla1103453454455456479116117118120740126148156186254256287328340342343349364366376401413415417[[#This Row],[ArtÃ­culo]],Tabla34[#All],3,0)</f>
        <v>14.25783539</v>
      </c>
      <c r="H570" s="338">
        <f>+Tabla1103453454455456479116117118120740126148156186254256287328340342343349364366376401413415417[[#This Row],[Coste Componente]]*Tabla1103453454455456479116117118120740126148156186254256287328340342343349364366376401413415417[[#This Row],[Unidades]]</f>
        <v>427.73506170000002</v>
      </c>
    </row>
    <row r="571" spans="2:13" s="40" customFormat="1" x14ac:dyDescent="0.25">
      <c r="B571" s="10" t="s">
        <v>631</v>
      </c>
      <c r="C571" s="11" t="s">
        <v>67</v>
      </c>
      <c r="D571" s="12">
        <v>30</v>
      </c>
      <c r="E571" s="12">
        <v>0</v>
      </c>
      <c r="F571" s="12">
        <v>30</v>
      </c>
      <c r="G571" s="337">
        <f>+VLOOKUP(Tabla1103453454455456479116117118120740126148156186254256287328340342343349364366376401413415417[[#This Row],[ArtÃ­culo]],Tabla34[#All],3,0)</f>
        <v>34.714285709999999</v>
      </c>
      <c r="H571" s="338">
        <f>+Tabla1103453454455456479116117118120740126148156186254256287328340342343349364366376401413415417[[#This Row],[Coste Componente]]*Tabla1103453454455456479116117118120740126148156186254256287328340342343349364366376401413415417[[#This Row],[Unidades]]</f>
        <v>1041.4285712999999</v>
      </c>
    </row>
    <row r="572" spans="2:13" s="40" customFormat="1" x14ac:dyDescent="0.25">
      <c r="B572" s="10" t="s">
        <v>92</v>
      </c>
      <c r="C572" s="11" t="s">
        <v>67</v>
      </c>
      <c r="D572" s="12">
        <v>30</v>
      </c>
      <c r="E572" s="12">
        <v>0</v>
      </c>
      <c r="F572" s="12">
        <v>30</v>
      </c>
      <c r="G572" s="337">
        <f>+VLOOKUP(Tabla1103453454455456479116117118120740126148156186254256287328340342343349364366376401413415417[[#This Row],[ArtÃ­culo]],Tabla34[#All],3,0)</f>
        <v>18.859000000000002</v>
      </c>
      <c r="H572" s="338">
        <f>+Tabla1103453454455456479116117118120740126148156186254256287328340342343349364366376401413415417[[#This Row],[Coste Componente]]*Tabla1103453454455456479116117118120740126148156186254256287328340342343349364366376401413415417[[#This Row],[Unidades]]</f>
        <v>565.7700000000001</v>
      </c>
    </row>
    <row r="573" spans="2:13" s="40" customFormat="1" x14ac:dyDescent="0.25">
      <c r="B573" s="10" t="s">
        <v>233</v>
      </c>
      <c r="C573" s="11" t="s">
        <v>67</v>
      </c>
      <c r="D573" s="12">
        <v>1</v>
      </c>
      <c r="E573" s="12">
        <v>0</v>
      </c>
      <c r="F573" s="12">
        <v>1</v>
      </c>
      <c r="G573" s="337">
        <f>+VLOOKUP(Tabla1103453454455456479116117118120740126148156186254256287328340342343349364366376401413415417[[#This Row],[ArtÃ­culo]],Tabla34[#All],3,0)</f>
        <v>99.166666669999998</v>
      </c>
      <c r="H573" s="338">
        <f>+Tabla1103453454455456479116117118120740126148156186254256287328340342343349364366376401413415417[[#This Row],[Coste Componente]]*Tabla1103453454455456479116117118120740126148156186254256287328340342343349364366376401413415417[[#This Row],[Unidades]]</f>
        <v>99.166666669999998</v>
      </c>
    </row>
    <row r="574" spans="2:13" s="40" customFormat="1" x14ac:dyDescent="0.25">
      <c r="B574" s="16"/>
      <c r="C574" s="17"/>
      <c r="D574" s="17"/>
      <c r="E574" s="17"/>
      <c r="F574" s="17"/>
      <c r="G574" s="18"/>
      <c r="H574" s="18">
        <f>SUBTOTAL(109,Tabla1103453454455456479116117118120740126148156186254256287328340342343349364366376401413415417[Coste LÃ­nea])</f>
        <v>13185.031968169998</v>
      </c>
    </row>
    <row r="575" spans="2:13" s="40" customFormat="1" x14ac:dyDescent="0.25"/>
    <row r="577" spans="2:13" s="40" customFormat="1" x14ac:dyDescent="0.25">
      <c r="B577" s="1" t="s">
        <v>148</v>
      </c>
      <c r="C577" s="2"/>
      <c r="D577" s="2"/>
      <c r="E577" s="3"/>
      <c r="F577" s="3"/>
      <c r="G577" s="3"/>
      <c r="H577" s="3"/>
      <c r="J577" s="399" t="s">
        <v>0</v>
      </c>
      <c r="K577" s="399"/>
    </row>
    <row r="578" spans="2:13" s="40" customFormat="1" x14ac:dyDescent="0.25">
      <c r="B578" s="16" t="s">
        <v>857</v>
      </c>
      <c r="C578" s="17" t="s">
        <v>895</v>
      </c>
      <c r="D578" s="17" t="s">
        <v>892</v>
      </c>
      <c r="E578" s="17" t="s">
        <v>893</v>
      </c>
      <c r="F578" s="17" t="s">
        <v>894</v>
      </c>
      <c r="G578" s="76" t="s">
        <v>901</v>
      </c>
      <c r="H578" s="76" t="s">
        <v>902</v>
      </c>
      <c r="J578" s="8" t="s">
        <v>6</v>
      </c>
      <c r="K578" s="9">
        <f>SUM(Tabla1103453454455456479116117118120740126148156186254256287328340342343349364366376401413415417419[Coste LÃ­nea])</f>
        <v>39213.85046804</v>
      </c>
      <c r="M578" s="406" t="s">
        <v>1383</v>
      </c>
    </row>
    <row r="579" spans="2:13" s="40" customFormat="1" x14ac:dyDescent="0.25">
      <c r="B579" s="10" t="s">
        <v>212</v>
      </c>
      <c r="C579" s="11" t="s">
        <v>67</v>
      </c>
      <c r="D579" s="12">
        <v>412</v>
      </c>
      <c r="E579" s="12">
        <v>0</v>
      </c>
      <c r="F579" s="12">
        <v>412</v>
      </c>
      <c r="G579" s="337">
        <f>+VLOOKUP(Tabla1103453454455456479116117118120740126148156186254256287328340342343349364366376401413415417419[[#This Row],[ArtÃ­culo]],Tabla34[#All],3,0)</f>
        <v>40.047916669999999</v>
      </c>
      <c r="H579" s="338">
        <f>+Tabla1103453454455456479116117118120740126148156186254256287328340342343349364366376401413415417419[[#This Row],[Coste Componente]]*Tabla1103453454455456479116117118120740126148156186254256287328340342343349364366376401413415417419[[#This Row],[Unidades]]</f>
        <v>16499.741668039998</v>
      </c>
      <c r="J579" s="8" t="s">
        <v>12</v>
      </c>
      <c r="K579" s="15">
        <f>+K578*5%</f>
        <v>1960.692523402</v>
      </c>
      <c r="M579" s="384"/>
    </row>
    <row r="580" spans="2:13" s="40" customFormat="1" x14ac:dyDescent="0.25">
      <c r="B580" s="10" t="s">
        <v>88</v>
      </c>
      <c r="C580" s="11" t="s">
        <v>67</v>
      </c>
      <c r="D580" s="12">
        <v>500</v>
      </c>
      <c r="E580" s="12">
        <v>0</v>
      </c>
      <c r="F580" s="12">
        <v>500</v>
      </c>
      <c r="G580" s="337">
        <f>+VLOOKUP(Tabla1103453454455456479116117118120740126148156186254256287328340342343349364366376401413415417419[[#This Row],[ArtÃ­culo]],Tabla34[#All],3,0)</f>
        <v>45.428217600000004</v>
      </c>
      <c r="H580" s="338">
        <f>+Tabla1103453454455456479116117118120740126148156186254256287328340342343349364366376401413415417419[[#This Row],[Coste Componente]]*Tabla1103453454455456479116117118120740126148156186254256287328340342343349364366376401413415417419[[#This Row],[Unidades]]</f>
        <v>22714.108800000002</v>
      </c>
      <c r="J580" s="8" t="s">
        <v>13</v>
      </c>
      <c r="K580" s="15">
        <f>+K578+K579</f>
        <v>41174.542991442002</v>
      </c>
    </row>
    <row r="581" spans="2:13" s="40" customFormat="1" x14ac:dyDescent="0.25">
      <c r="B581" s="16"/>
      <c r="C581" s="17"/>
      <c r="D581" s="17"/>
      <c r="E581" s="17"/>
      <c r="F581" s="17"/>
      <c r="G581" s="18"/>
      <c r="H581" s="18">
        <f>SUBTOTAL(109,Tabla1103453454455456479116117118120740126148156186254256287328340342343349364366376401413415417419[Coste LÃ­nea])</f>
        <v>39213.85046804</v>
      </c>
      <c r="J581" s="20" t="s">
        <v>1313</v>
      </c>
      <c r="K581" s="328">
        <v>900</v>
      </c>
    </row>
    <row r="582" spans="2:13" s="40" customFormat="1" x14ac:dyDescent="0.25">
      <c r="J582" s="8" t="s">
        <v>15</v>
      </c>
      <c r="K582" s="15">
        <f>+K580/K581</f>
        <v>45.749492212713335</v>
      </c>
    </row>
    <row r="583" spans="2:13" s="40" customFormat="1" x14ac:dyDescent="0.25"/>
    <row r="584" spans="2:13" s="40" customFormat="1" x14ac:dyDescent="0.25">
      <c r="B584" s="1" t="s">
        <v>64</v>
      </c>
      <c r="C584" s="2"/>
      <c r="D584" s="2"/>
      <c r="E584" s="3"/>
      <c r="F584" s="3"/>
      <c r="G584" s="3"/>
      <c r="H584" s="3"/>
      <c r="J584" s="399" t="s">
        <v>0</v>
      </c>
      <c r="K584" s="399"/>
    </row>
    <row r="585" spans="2:13" s="40" customFormat="1" x14ac:dyDescent="0.25">
      <c r="B585" s="16" t="s">
        <v>857</v>
      </c>
      <c r="C585" s="17" t="s">
        <v>895</v>
      </c>
      <c r="D585" s="17" t="s">
        <v>892</v>
      </c>
      <c r="E585" s="17" t="s">
        <v>893</v>
      </c>
      <c r="F585" s="17" t="s">
        <v>894</v>
      </c>
      <c r="G585" s="76" t="s">
        <v>901</v>
      </c>
      <c r="H585" s="76" t="s">
        <v>902</v>
      </c>
      <c r="J585" s="8" t="s">
        <v>6</v>
      </c>
      <c r="K585" s="9">
        <f>SUM(Tabla1103453454455456479116117118120740126148156186254256287328340342343349364366376401413415417419427[Coste LÃ­nea])</f>
        <v>94028.216</v>
      </c>
      <c r="M585" s="406" t="s">
        <v>1383</v>
      </c>
    </row>
    <row r="586" spans="2:13" s="40" customFormat="1" x14ac:dyDescent="0.25">
      <c r="B586" s="10" t="s">
        <v>214</v>
      </c>
      <c r="C586" s="11" t="s">
        <v>67</v>
      </c>
      <c r="D586" s="12">
        <v>830</v>
      </c>
      <c r="E586" s="12">
        <v>0</v>
      </c>
      <c r="F586" s="12">
        <v>830</v>
      </c>
      <c r="G586" s="337">
        <f>+VLOOKUP(Tabla1103453454455456479116117118120740126148156186254256287328340342343349364366376401413415417419427[[#This Row],[ArtÃ­culo]],Tabla34[#All],3,0)</f>
        <v>13.02</v>
      </c>
      <c r="H586" s="338">
        <f>+Tabla1103453454455456479116117118120740126148156186254256287328340342343349364366376401413415417419427[[#This Row],[Coste Componente]]*Tabla1103453454455456479116117118120740126148156186254256287328340342343349364366376401413415417419427[[#This Row],[Unidades]]</f>
        <v>10806.6</v>
      </c>
      <c r="J586" s="8" t="s">
        <v>12</v>
      </c>
      <c r="K586" s="15">
        <f>+K585*5%</f>
        <v>4701.4108000000006</v>
      </c>
      <c r="M586" s="384"/>
    </row>
    <row r="587" spans="2:13" s="40" customFormat="1" x14ac:dyDescent="0.25">
      <c r="B587" s="10" t="s">
        <v>312</v>
      </c>
      <c r="C587" s="11" t="s">
        <v>67</v>
      </c>
      <c r="D587" s="12">
        <v>530</v>
      </c>
      <c r="E587" s="12">
        <v>0</v>
      </c>
      <c r="F587" s="12">
        <v>530</v>
      </c>
      <c r="G587" s="337">
        <f>+VLOOKUP(Tabla1103453454455456479116117118120740126148156186254256287328340342343349364366376401413415417419427[[#This Row],[ArtÃ­culo]],Tabla34[#All],3,0)</f>
        <v>4.2671999999999999</v>
      </c>
      <c r="H587" s="338">
        <f>+Tabla1103453454455456479116117118120740126148156186254256287328340342343349364366376401413415417419427[[#This Row],[Coste Componente]]*Tabla1103453454455456479116117118120740126148156186254256287328340342343349364366376401413415417419427[[#This Row],[Unidades]]</f>
        <v>2261.616</v>
      </c>
      <c r="J587" s="8" t="s">
        <v>13</v>
      </c>
      <c r="K587" s="15">
        <f>+K585+K586</f>
        <v>98729.626799999998</v>
      </c>
    </row>
    <row r="588" spans="2:13" s="40" customFormat="1" x14ac:dyDescent="0.25">
      <c r="B588" s="10" t="s">
        <v>797</v>
      </c>
      <c r="C588" s="11" t="s">
        <v>847</v>
      </c>
      <c r="D588" s="12">
        <v>160</v>
      </c>
      <c r="E588" s="12">
        <v>0</v>
      </c>
      <c r="F588" s="12">
        <v>160</v>
      </c>
      <c r="G588" s="337">
        <f>+VLOOKUP(Tabla1103453454455456479116117118120740126148156186254256287328340342343349364366376401413415417419427[[#This Row],[ArtÃ­culo]],Tabla34[#All],3,0)</f>
        <v>506</v>
      </c>
      <c r="H588" s="338">
        <f>+Tabla1103453454455456479116117118120740126148156186254256287328340342343349364366376401413415417419427[[#This Row],[Coste Componente]]*Tabla1103453454455456479116117118120740126148156186254256287328340342343349364366376401413415417419427[[#This Row],[Unidades]]</f>
        <v>80960</v>
      </c>
      <c r="J588" s="20" t="s">
        <v>1313</v>
      </c>
      <c r="K588" s="328">
        <v>160</v>
      </c>
    </row>
    <row r="589" spans="2:13" s="40" customFormat="1" x14ac:dyDescent="0.25">
      <c r="B589" s="16"/>
      <c r="C589" s="17"/>
      <c r="D589" s="17"/>
      <c r="E589" s="17"/>
      <c r="F589" s="17"/>
      <c r="G589" s="18"/>
      <c r="H589" s="18">
        <f>SUBTOTAL(109,Tabla1103453454455456479116117118120740126148156186254256287328340342343349364366376401413415417419427[Coste LÃ­nea])</f>
        <v>94028.216</v>
      </c>
      <c r="J589" s="8" t="s">
        <v>15</v>
      </c>
      <c r="K589" s="15">
        <f>+K587/K588</f>
        <v>617.06016750000003</v>
      </c>
    </row>
    <row r="590" spans="2:13" s="40" customFormat="1" x14ac:dyDescent="0.25"/>
    <row r="593" spans="2:13" s="40" customFormat="1" x14ac:dyDescent="0.25">
      <c r="B593" s="1" t="s">
        <v>283</v>
      </c>
      <c r="C593" s="2"/>
      <c r="D593" s="2"/>
      <c r="E593" s="3"/>
      <c r="F593" s="3"/>
      <c r="G593" s="3"/>
      <c r="H593" s="3"/>
      <c r="J593" s="399" t="s">
        <v>0</v>
      </c>
      <c r="K593" s="399"/>
    </row>
    <row r="594" spans="2:13" s="40" customFormat="1" x14ac:dyDescent="0.25">
      <c r="B594" s="16" t="s">
        <v>857</v>
      </c>
      <c r="C594" s="17" t="s">
        <v>895</v>
      </c>
      <c r="D594" s="17" t="s">
        <v>892</v>
      </c>
      <c r="E594" s="17" t="s">
        <v>893</v>
      </c>
      <c r="F594" s="17" t="s">
        <v>894</v>
      </c>
      <c r="G594" s="76" t="s">
        <v>901</v>
      </c>
      <c r="H594" s="76" t="s">
        <v>902</v>
      </c>
      <c r="J594" s="8" t="s">
        <v>6</v>
      </c>
      <c r="K594" s="9" t="e">
        <f>SUM(Tabla1103453454455456479116117118120740126148156186254256287328340342343349364366376401413415417419433[Coste LÃ­nea])</f>
        <v>#N/A</v>
      </c>
      <c r="M594" s="406" t="s">
        <v>1383</v>
      </c>
    </row>
    <row r="595" spans="2:13" s="40" customFormat="1" x14ac:dyDescent="0.25">
      <c r="B595" s="10" t="s">
        <v>724</v>
      </c>
      <c r="C595" s="11" t="s">
        <v>67</v>
      </c>
      <c r="D595" s="12">
        <v>500</v>
      </c>
      <c r="E595" s="12">
        <v>0</v>
      </c>
      <c r="F595" s="12">
        <v>500</v>
      </c>
      <c r="G595" s="337">
        <f>+VLOOKUP(Tabla1103453454455456479116117118120740126148156186254256287328340342343349364366376401413415417419433[[#This Row],[ArtÃ­culo]],Tabla34[#All],3,0)</f>
        <v>17.88</v>
      </c>
      <c r="H595" s="338">
        <f>+Tabla1103453454455456479116117118120740126148156186254256287328340342343349364366376401413415417419433[[#This Row],[Coste Componente]]*Tabla1103453454455456479116117118120740126148156186254256287328340342343349364366376401413415417419433[[#This Row],[Unidades]]</f>
        <v>8940</v>
      </c>
      <c r="J595" s="8" t="s">
        <v>12</v>
      </c>
      <c r="K595" s="15" t="e">
        <f>+K594*5%</f>
        <v>#N/A</v>
      </c>
      <c r="M595" s="384"/>
    </row>
    <row r="596" spans="2:13" s="40" customFormat="1" x14ac:dyDescent="0.25">
      <c r="B596" s="10" t="s">
        <v>819</v>
      </c>
      <c r="C596" s="11" t="s">
        <v>67</v>
      </c>
      <c r="D596" s="12">
        <v>5</v>
      </c>
      <c r="E596" s="12">
        <v>0</v>
      </c>
      <c r="F596" s="12">
        <v>5</v>
      </c>
      <c r="G596" s="337">
        <f>+VLOOKUP(Tabla1103453454455456479116117118120740126148156186254256287328340342343349364366376401413415417419433[[#This Row],[ArtÃ­culo]],Tabla34[#All],3,0)</f>
        <v>21.363943110000001</v>
      </c>
      <c r="H596" s="338">
        <f>+Tabla1103453454455456479116117118120740126148156186254256287328340342343349364366376401413415417419433[[#This Row],[Coste Componente]]*Tabla1103453454455456479116117118120740126148156186254256287328340342343349364366376401413415417419433[[#This Row],[Unidades]]</f>
        <v>106.81971555000001</v>
      </c>
      <c r="J596" s="8" t="s">
        <v>13</v>
      </c>
      <c r="K596" s="15" t="e">
        <f>+K594+K595</f>
        <v>#N/A</v>
      </c>
    </row>
    <row r="597" spans="2:13" s="40" customFormat="1" x14ac:dyDescent="0.25">
      <c r="B597" s="10" t="s">
        <v>312</v>
      </c>
      <c r="C597" s="11" t="s">
        <v>67</v>
      </c>
      <c r="D597" s="12">
        <v>300</v>
      </c>
      <c r="E597" s="12">
        <v>0</v>
      </c>
      <c r="F597" s="12">
        <v>300</v>
      </c>
      <c r="G597" s="337">
        <f>+VLOOKUP(Tabla1103453454455456479116117118120740126148156186254256287328340342343349364366376401413415417419433[[#This Row],[ArtÃ­culo]],Tabla34[#All],3,0)</f>
        <v>4.2671999999999999</v>
      </c>
      <c r="H597" s="338">
        <f>+Tabla1103453454455456479116117118120740126148156186254256287328340342343349364366376401413415417419433[[#This Row],[Coste Componente]]*Tabla1103453454455456479116117118120740126148156186254256287328340342343349364366376401413415417419433[[#This Row],[Unidades]]</f>
        <v>1280.1599999999999</v>
      </c>
      <c r="J597" s="20" t="s">
        <v>1313</v>
      </c>
      <c r="K597" s="328">
        <v>28</v>
      </c>
    </row>
    <row r="598" spans="2:13" s="40" customFormat="1" x14ac:dyDescent="0.25">
      <c r="B598" s="10" t="s">
        <v>1194</v>
      </c>
      <c r="C598" s="11" t="s">
        <v>847</v>
      </c>
      <c r="D598" s="12">
        <v>6</v>
      </c>
      <c r="E598" s="12">
        <v>0</v>
      </c>
      <c r="F598" s="12">
        <v>6</v>
      </c>
      <c r="G598" s="337">
        <f>+VLOOKUP(Tabla1103453454455456479116117118120740126148156186254256287328340342343349364366376401413415417419433[[#This Row],[ArtÃ­culo]],Tabla34[#All],3,0)</f>
        <v>726.66666667000004</v>
      </c>
      <c r="H598" s="338">
        <f>+Tabla1103453454455456479116117118120740126148156186254256287328340342343349364366376401413415417419433[[#This Row],[Coste Componente]]*Tabla1103453454455456479116117118120740126148156186254256287328340342343349364366376401413415417419433[[#This Row],[Unidades]]</f>
        <v>4360.0000000199998</v>
      </c>
      <c r="J598" s="8" t="s">
        <v>15</v>
      </c>
      <c r="K598" s="15" t="e">
        <f>+K596/K597</f>
        <v>#N/A</v>
      </c>
    </row>
    <row r="599" spans="2:13" s="40" customFormat="1" x14ac:dyDescent="0.25">
      <c r="B599" s="10" t="s">
        <v>1374</v>
      </c>
      <c r="C599" s="11" t="s">
        <v>67</v>
      </c>
      <c r="D599" s="12">
        <v>3</v>
      </c>
      <c r="E599" s="12">
        <v>0</v>
      </c>
      <c r="F599" s="12">
        <v>3</v>
      </c>
      <c r="G599" s="337" t="e">
        <f>+VLOOKUP(Tabla1103453454455456479116117118120740126148156186254256287328340342343349364366376401413415417419433[[#This Row],[ArtÃ­culo]],Tabla34[#All],3,0)</f>
        <v>#N/A</v>
      </c>
      <c r="H599" s="338" t="e">
        <f>+Tabla1103453454455456479116117118120740126148156186254256287328340342343349364366376401413415417419433[[#This Row],[Coste Componente]]*Tabla1103453454455456479116117118120740126148156186254256287328340342343349364366376401413415417419433[[#This Row],[Unidades]]</f>
        <v>#N/A</v>
      </c>
    </row>
    <row r="600" spans="2:13" s="40" customFormat="1" x14ac:dyDescent="0.25">
      <c r="B600" s="10" t="s">
        <v>631</v>
      </c>
      <c r="C600" s="11" t="s">
        <v>67</v>
      </c>
      <c r="D600" s="12">
        <v>50</v>
      </c>
      <c r="E600" s="12">
        <v>0</v>
      </c>
      <c r="F600" s="12">
        <v>50</v>
      </c>
      <c r="G600" s="337">
        <f>+VLOOKUP(Tabla1103453454455456479116117118120740126148156186254256287328340342343349364366376401413415417419433[[#This Row],[ArtÃ­culo]],Tabla34[#All],3,0)</f>
        <v>34.714285709999999</v>
      </c>
      <c r="H600" s="338">
        <f>+Tabla1103453454455456479116117118120740126148156186254256287328340342343349364366376401413415417419433[[#This Row],[Coste Componente]]*Tabla1103453454455456479116117118120740126148156186254256287328340342343349364366376401413415417419433[[#This Row],[Unidades]]</f>
        <v>1735.7142855</v>
      </c>
    </row>
    <row r="601" spans="2:13" s="40" customFormat="1" x14ac:dyDescent="0.25">
      <c r="B601" s="10" t="s">
        <v>85</v>
      </c>
      <c r="C601" s="11" t="s">
        <v>67</v>
      </c>
      <c r="D601" s="12">
        <v>230</v>
      </c>
      <c r="E601" s="12">
        <v>0</v>
      </c>
      <c r="F601" s="12">
        <v>230</v>
      </c>
      <c r="G601" s="337">
        <f>+VLOOKUP(Tabla1103453454455456479116117118120740126148156186254256287328340342343349364366376401413415417419433[[#This Row],[ArtÃ­culo]],Tabla34[#All],3,0)</f>
        <v>4.8816666700000004</v>
      </c>
      <c r="H601" s="338">
        <f>+Tabla1103453454455456479116117118120740126148156186254256287328340342343349364366376401413415417419433[[#This Row],[Coste Componente]]*Tabla1103453454455456479116117118120740126148156186254256287328340342343349364366376401413415417419433[[#This Row],[Unidades]]</f>
        <v>1122.7833341</v>
      </c>
    </row>
    <row r="602" spans="2:13" s="40" customFormat="1" x14ac:dyDescent="0.25">
      <c r="B602" s="16"/>
      <c r="C602" s="17"/>
      <c r="D602" s="17"/>
      <c r="E602" s="17"/>
      <c r="F602" s="17"/>
      <c r="G602" s="18"/>
      <c r="H602" s="18" t="e">
        <f>SUBTOTAL(109,Tabla1103453454455456479116117118120740126148156186254256287328340342343349364366376401413415417419433[Coste LÃ­nea])</f>
        <v>#N/A</v>
      </c>
    </row>
    <row r="603" spans="2:13" s="40" customFormat="1" x14ac:dyDescent="0.25"/>
    <row r="605" spans="2:13" s="40" customFormat="1" x14ac:dyDescent="0.25">
      <c r="B605" s="1" t="s">
        <v>52</v>
      </c>
      <c r="C605" s="2"/>
      <c r="D605" s="2"/>
      <c r="E605" s="3"/>
      <c r="F605" s="3"/>
      <c r="G605" s="3"/>
      <c r="H605" s="3"/>
      <c r="J605" s="399" t="s">
        <v>0</v>
      </c>
      <c r="K605" s="399"/>
    </row>
    <row r="606" spans="2:13" s="40" customFormat="1" x14ac:dyDescent="0.25">
      <c r="B606" s="16" t="s">
        <v>857</v>
      </c>
      <c r="C606" s="17" t="s">
        <v>895</v>
      </c>
      <c r="D606" s="17" t="s">
        <v>892</v>
      </c>
      <c r="E606" s="17" t="s">
        <v>893</v>
      </c>
      <c r="F606" s="17" t="s">
        <v>894</v>
      </c>
      <c r="G606" s="76" t="s">
        <v>901</v>
      </c>
      <c r="H606" s="76" t="s">
        <v>902</v>
      </c>
      <c r="J606" s="8" t="s">
        <v>6</v>
      </c>
      <c r="K606" s="9">
        <f>SUM(Tabla1103453454455456479116117118120740126148156186254256287328340342343349364366376401413415417419434[Coste LÃ­nea])</f>
        <v>27339.409504000003</v>
      </c>
      <c r="M606" s="406" t="s">
        <v>1383</v>
      </c>
    </row>
    <row r="607" spans="2:13" s="40" customFormat="1" x14ac:dyDescent="0.25">
      <c r="B607" s="10" t="s">
        <v>38</v>
      </c>
      <c r="C607" s="11" t="s">
        <v>67</v>
      </c>
      <c r="D607" s="12">
        <v>300</v>
      </c>
      <c r="E607" s="12">
        <v>0</v>
      </c>
      <c r="F607" s="12">
        <v>300</v>
      </c>
      <c r="G607" s="337">
        <f>+VLOOKUP(Tabla1103453454455456479116117118120740126148156186254256287328340342343349364366376401413415417419434[[#This Row],[ArtÃ­culo]],Tabla34[#All],3,0)</f>
        <v>0</v>
      </c>
      <c r="H607" s="338">
        <f>+Tabla1103453454455456479116117118120740126148156186254256287328340342343349364366376401413415417419434[[#This Row],[Coste Componente]]*Tabla1103453454455456479116117118120740126148156186254256287328340342343349364366376401413415417419434[[#This Row],[Unidades]]</f>
        <v>0</v>
      </c>
      <c r="J607" s="8" t="s">
        <v>12</v>
      </c>
      <c r="K607" s="15">
        <f>+K606*5%</f>
        <v>1366.9704752000002</v>
      </c>
      <c r="M607" s="384"/>
    </row>
    <row r="608" spans="2:13" s="40" customFormat="1" x14ac:dyDescent="0.25">
      <c r="B608" s="10" t="s">
        <v>91</v>
      </c>
      <c r="C608" s="11" t="s">
        <v>67</v>
      </c>
      <c r="D608" s="12">
        <v>200</v>
      </c>
      <c r="E608" s="12">
        <v>0</v>
      </c>
      <c r="F608" s="12">
        <v>200</v>
      </c>
      <c r="G608" s="337">
        <f>+VLOOKUP(Tabla1103453454455456479116117118120740126148156186254256287328340342343349364366376401413415417419434[[#This Row],[ArtÃ­culo]],Tabla34[#All],3,0)</f>
        <v>10.193790849999999</v>
      </c>
      <c r="H608" s="338">
        <f>+Tabla1103453454455456479116117118120740126148156186254256287328340342343349364366376401413415417419434[[#This Row],[Coste Componente]]*Tabla1103453454455456479116117118120740126148156186254256287328340342343349364366376401413415417419434[[#This Row],[Unidades]]</f>
        <v>2038.7581699999998</v>
      </c>
      <c r="J608" s="8" t="s">
        <v>13</v>
      </c>
      <c r="K608" s="15">
        <f>+K606+K607</f>
        <v>28706.379979200003</v>
      </c>
    </row>
    <row r="609" spans="2:13" s="40" customFormat="1" x14ac:dyDescent="0.25">
      <c r="B609" s="10" t="s">
        <v>657</v>
      </c>
      <c r="C609" s="11" t="s">
        <v>67</v>
      </c>
      <c r="D609" s="12">
        <v>1000</v>
      </c>
      <c r="E609" s="12">
        <v>26</v>
      </c>
      <c r="F609" s="12">
        <v>1351.3510000000001</v>
      </c>
      <c r="G609" s="337">
        <f>+VLOOKUP(Tabla1103453454455456479116117118120740126148156186254256287328340342343349364366376401413415417419434[[#This Row],[ArtÃ­culo]],Tabla34[#All],3,0)</f>
        <v>18</v>
      </c>
      <c r="H609" s="338">
        <f>+Tabla1103453454455456479116117118120740126148156186254256287328340342343349364366376401413415417419434[[#This Row],[Coste Componente]]*Tabla1103453454455456479116117118120740126148156186254256287328340342343349364366376401413415417419434[[#This Row],[Unidades]]</f>
        <v>24324.318000000003</v>
      </c>
      <c r="J609" s="20" t="s">
        <v>1313</v>
      </c>
      <c r="K609" s="328">
        <v>758</v>
      </c>
    </row>
    <row r="610" spans="2:13" s="40" customFormat="1" x14ac:dyDescent="0.25">
      <c r="B610" s="10" t="s">
        <v>85</v>
      </c>
      <c r="C610" s="11" t="s">
        <v>67</v>
      </c>
      <c r="D610" s="12">
        <v>200</v>
      </c>
      <c r="E610" s="12">
        <v>0</v>
      </c>
      <c r="F610" s="12">
        <v>200</v>
      </c>
      <c r="G610" s="337">
        <f>+VLOOKUP(Tabla1103453454455456479116117118120740126148156186254256287328340342343349364366376401413415417419434[[#This Row],[ArtÃ­culo]],Tabla34[#All],3,0)</f>
        <v>4.8816666700000004</v>
      </c>
      <c r="H610" s="338">
        <f>+Tabla1103453454455456479116117118120740126148156186254256287328340342343349364366376401413415417419434[[#This Row],[Coste Componente]]*Tabla1103453454455456479116117118120740126148156186254256287328340342343349364366376401413415417419434[[#This Row],[Unidades]]</f>
        <v>976.33333400000004</v>
      </c>
      <c r="J610" s="8" t="s">
        <v>15</v>
      </c>
      <c r="K610" s="15">
        <f>+K608/K609</f>
        <v>37.87121369287599</v>
      </c>
    </row>
    <row r="611" spans="2:13" s="40" customFormat="1" x14ac:dyDescent="0.25">
      <c r="B611" s="16"/>
      <c r="C611" s="17"/>
      <c r="D611" s="17"/>
      <c r="E611" s="17"/>
      <c r="F611" s="17"/>
      <c r="G611" s="18"/>
      <c r="H611" s="18">
        <f>SUBTOTAL(109,Tabla1103453454455456479116117118120740126148156186254256287328340342343349364366376401413415417419434[Coste LÃ­nea])</f>
        <v>27339.409504000003</v>
      </c>
    </row>
    <row r="612" spans="2:13" s="40" customFormat="1" x14ac:dyDescent="0.25"/>
    <row r="614" spans="2:13" s="40" customFormat="1" x14ac:dyDescent="0.25">
      <c r="B614" s="1" t="s">
        <v>37</v>
      </c>
      <c r="C614" s="2"/>
      <c r="D614" s="2"/>
      <c r="E614" s="3"/>
      <c r="F614" s="3"/>
      <c r="G614" s="3"/>
      <c r="H614" s="3"/>
      <c r="J614" s="399" t="s">
        <v>0</v>
      </c>
      <c r="K614" s="399"/>
    </row>
    <row r="615" spans="2:13" s="40" customFormat="1" x14ac:dyDescent="0.25">
      <c r="B615" s="16" t="s">
        <v>857</v>
      </c>
      <c r="C615" s="17" t="s">
        <v>895</v>
      </c>
      <c r="D615" s="17" t="s">
        <v>892</v>
      </c>
      <c r="E615" s="17" t="s">
        <v>893</v>
      </c>
      <c r="F615" s="17" t="s">
        <v>894</v>
      </c>
      <c r="G615" s="76" t="s">
        <v>901</v>
      </c>
      <c r="H615" s="76" t="s">
        <v>902</v>
      </c>
      <c r="J615" s="8" t="s">
        <v>6</v>
      </c>
      <c r="K615" s="9">
        <f>SUM(Tabla1103453454455456479116117118120740126148156186254256287328340342343349364366376401413415417419435[Coste LÃ­nea])</f>
        <v>28359</v>
      </c>
      <c r="M615" s="406" t="s">
        <v>1383</v>
      </c>
    </row>
    <row r="616" spans="2:13" s="40" customFormat="1" x14ac:dyDescent="0.25">
      <c r="B616" s="10" t="s">
        <v>92</v>
      </c>
      <c r="C616" s="11" t="s">
        <v>67</v>
      </c>
      <c r="D616" s="12">
        <v>1000</v>
      </c>
      <c r="E616" s="12">
        <v>0</v>
      </c>
      <c r="F616" s="12">
        <v>1000</v>
      </c>
      <c r="G616" s="337">
        <f>+VLOOKUP(Tabla1103453454455456479116117118120740126148156186254256287328340342343349364366376401413415417419435[[#This Row],[ArtÃ­culo]],Tabla34[#All],3,0)</f>
        <v>18.859000000000002</v>
      </c>
      <c r="H616" s="338">
        <f>+Tabla1103453454455456479116117118120740126148156186254256287328340342343349364366376401413415417419435[[#This Row],[Coste Componente]]*Tabla1103453454455456479116117118120740126148156186254256287328340342343349364366376401413415417419435[[#This Row],[Unidades]]</f>
        <v>18859</v>
      </c>
      <c r="J616" s="8" t="s">
        <v>12</v>
      </c>
      <c r="K616" s="15">
        <f>+K615*5%</f>
        <v>1417.95</v>
      </c>
      <c r="M616" s="384"/>
    </row>
    <row r="617" spans="2:13" s="40" customFormat="1" x14ac:dyDescent="0.25">
      <c r="B617" s="10" t="s">
        <v>824</v>
      </c>
      <c r="C617" s="11" t="s">
        <v>67</v>
      </c>
      <c r="D617" s="12">
        <v>500</v>
      </c>
      <c r="E617" s="12">
        <v>0</v>
      </c>
      <c r="F617" s="12">
        <v>500</v>
      </c>
      <c r="G617" s="337">
        <f>+VLOOKUP(Tabla1103453454455456479116117118120740126148156186254256287328340342343349364366376401413415417419435[[#This Row],[ArtÃ­culo]],Tabla34[#All],3,0)</f>
        <v>19</v>
      </c>
      <c r="H617" s="338">
        <f>+Tabla1103453454455456479116117118120740126148156186254256287328340342343349364366376401413415417419435[[#This Row],[Coste Componente]]*Tabla1103453454455456479116117118120740126148156186254256287328340342343349364366376401413415417419435[[#This Row],[Unidades]]</f>
        <v>9500</v>
      </c>
      <c r="J617" s="8" t="s">
        <v>13</v>
      </c>
      <c r="K617" s="15">
        <f>+K615+K616</f>
        <v>29776.95</v>
      </c>
    </row>
    <row r="618" spans="2:13" s="40" customFormat="1" x14ac:dyDescent="0.25">
      <c r="B618" s="16"/>
      <c r="C618" s="17"/>
      <c r="D618" s="17"/>
      <c r="E618" s="17"/>
      <c r="F618" s="17"/>
      <c r="G618" s="18"/>
      <c r="H618" s="18">
        <f>SUBTOTAL(109,Tabla1103453454455456479116117118120740126148156186254256287328340342343349364366376401413415417419435[Coste LÃ­nea])</f>
        <v>28359</v>
      </c>
      <c r="J618" s="20" t="s">
        <v>1313</v>
      </c>
      <c r="K618" s="328">
        <v>1500</v>
      </c>
    </row>
    <row r="619" spans="2:13" s="40" customFormat="1" x14ac:dyDescent="0.25">
      <c r="J619" s="8" t="s">
        <v>15</v>
      </c>
      <c r="K619" s="15">
        <f>+K617/K618</f>
        <v>19.851300000000002</v>
      </c>
    </row>
    <row r="620" spans="2:13" s="40" customFormat="1" x14ac:dyDescent="0.25"/>
    <row r="621" spans="2:13" s="40" customFormat="1" x14ac:dyDescent="0.25">
      <c r="B621" s="1" t="s">
        <v>135</v>
      </c>
      <c r="C621" s="2"/>
      <c r="D621" s="2"/>
      <c r="E621" s="3"/>
      <c r="F621" s="3"/>
      <c r="G621" s="3"/>
      <c r="H621" s="3"/>
      <c r="J621" s="399" t="s">
        <v>0</v>
      </c>
      <c r="K621" s="399"/>
    </row>
    <row r="622" spans="2:13" s="40" customFormat="1" x14ac:dyDescent="0.25">
      <c r="B622" s="16" t="s">
        <v>857</v>
      </c>
      <c r="C622" s="17" t="s">
        <v>895</v>
      </c>
      <c r="D622" s="17" t="s">
        <v>892</v>
      </c>
      <c r="E622" s="17" t="s">
        <v>893</v>
      </c>
      <c r="F622" s="17" t="s">
        <v>894</v>
      </c>
      <c r="G622" s="76" t="s">
        <v>901</v>
      </c>
      <c r="H622" s="76" t="s">
        <v>902</v>
      </c>
      <c r="J622" s="8" t="s">
        <v>6</v>
      </c>
      <c r="K622" s="9">
        <f>SUM(Tabla1103453454455456479116117118120740126148156186254256287328340342343349364366376401413415417419436[Coste LÃ­nea])</f>
        <v>11771.804</v>
      </c>
      <c r="M622" s="406" t="s">
        <v>1383</v>
      </c>
    </row>
    <row r="623" spans="2:13" s="40" customFormat="1" x14ac:dyDescent="0.25">
      <c r="B623" s="10" t="s">
        <v>730</v>
      </c>
      <c r="C623" s="11" t="s">
        <v>67</v>
      </c>
      <c r="D623" s="12">
        <v>400</v>
      </c>
      <c r="E623" s="12">
        <v>40</v>
      </c>
      <c r="F623" s="12">
        <v>666.66700000000003</v>
      </c>
      <c r="G623" s="337">
        <f>+VLOOKUP(Tabla1103453454455456479116117118120740126148156186254256287328340342343349364366376401413415417419436[[#This Row],[ArtÃ­culo]],Tabla34[#All],3,0)</f>
        <v>12</v>
      </c>
      <c r="H623" s="338">
        <f>+Tabla1103453454455456479116117118120740126148156186254256287328340342343349364366376401413415417419436[[#This Row],[Coste Componente]]*Tabla1103453454455456479116117118120740126148156186254256287328340342343349364366376401413415417419436[[#This Row],[Unidades]]</f>
        <v>8000.0040000000008</v>
      </c>
      <c r="J623" s="8" t="s">
        <v>12</v>
      </c>
      <c r="K623" s="15">
        <f>+K622*5%</f>
        <v>588.59019999999998</v>
      </c>
      <c r="M623" s="384"/>
    </row>
    <row r="624" spans="2:13" s="40" customFormat="1" x14ac:dyDescent="0.25">
      <c r="B624" s="10" t="s">
        <v>38</v>
      </c>
      <c r="C624" s="11" t="s">
        <v>67</v>
      </c>
      <c r="D624" s="12">
        <v>200</v>
      </c>
      <c r="E624" s="12">
        <v>0</v>
      </c>
      <c r="F624" s="12">
        <v>200</v>
      </c>
      <c r="G624" s="337">
        <f>+VLOOKUP(Tabla1103453454455456479116117118120740126148156186254256287328340342343349364366376401413415417419436[[#This Row],[ArtÃ­culo]],Tabla34[#All],3,0)</f>
        <v>0</v>
      </c>
      <c r="H624" s="338">
        <f>+Tabla1103453454455456479116117118120740126148156186254256287328340342343349364366376401413415417419436[[#This Row],[Coste Componente]]*Tabla1103453454455456479116117118120740126148156186254256287328340342343349364366376401413415417419436[[#This Row],[Unidades]]</f>
        <v>0</v>
      </c>
      <c r="J624" s="8" t="s">
        <v>13</v>
      </c>
      <c r="K624" s="15">
        <f>+K622+K623</f>
        <v>12360.394200000001</v>
      </c>
    </row>
    <row r="625" spans="2:13" s="40" customFormat="1" x14ac:dyDescent="0.25">
      <c r="B625" s="10" t="s">
        <v>92</v>
      </c>
      <c r="C625" s="11" t="s">
        <v>67</v>
      </c>
      <c r="D625" s="12">
        <v>200</v>
      </c>
      <c r="E625" s="12">
        <v>0</v>
      </c>
      <c r="F625" s="12">
        <v>200</v>
      </c>
      <c r="G625" s="337">
        <f>+VLOOKUP(Tabla1103453454455456479116117118120740126148156186254256287328340342343349364366376401413415417419436[[#This Row],[ArtÃ­culo]],Tabla34[#All],3,0)</f>
        <v>18.859000000000002</v>
      </c>
      <c r="H625" s="338">
        <f>+Tabla1103453454455456479116117118120740126148156186254256287328340342343349364366376401413415417419436[[#This Row],[Coste Componente]]*Tabla1103453454455456479116117118120740126148156186254256287328340342343349364366376401413415417419436[[#This Row],[Unidades]]</f>
        <v>3771.8</v>
      </c>
      <c r="J625" s="20" t="s">
        <v>1313</v>
      </c>
      <c r="K625" s="328">
        <v>800</v>
      </c>
    </row>
    <row r="626" spans="2:13" s="40" customFormat="1" x14ac:dyDescent="0.25">
      <c r="B626" s="16"/>
      <c r="C626" s="17"/>
      <c r="D626" s="17"/>
      <c r="E626" s="17"/>
      <c r="F626" s="17"/>
      <c r="G626" s="18"/>
      <c r="H626" s="18">
        <f>SUBTOTAL(109,Tabla1103453454455456479116117118120740126148156186254256287328340342343349364366376401413415417419436[Coste LÃ­nea])</f>
        <v>11771.804</v>
      </c>
      <c r="J626" s="8" t="s">
        <v>15</v>
      </c>
      <c r="K626" s="15">
        <f>+K624/K625</f>
        <v>15.45049275</v>
      </c>
    </row>
    <row r="627" spans="2:13" s="40" customFormat="1" x14ac:dyDescent="0.25"/>
    <row r="629" spans="2:13" s="40" customFormat="1" x14ac:dyDescent="0.25">
      <c r="B629" s="1" t="s">
        <v>138</v>
      </c>
      <c r="C629" s="2"/>
      <c r="D629" s="2"/>
      <c r="E629" s="3"/>
      <c r="F629" s="3"/>
      <c r="G629" s="3"/>
      <c r="H629" s="3"/>
      <c r="J629" s="399" t="s">
        <v>0</v>
      </c>
      <c r="K629" s="399"/>
    </row>
    <row r="630" spans="2:13" s="40" customFormat="1" x14ac:dyDescent="0.25">
      <c r="B630" s="16" t="s">
        <v>857</v>
      </c>
      <c r="C630" s="17" t="s">
        <v>895</v>
      </c>
      <c r="D630" s="17" t="s">
        <v>892</v>
      </c>
      <c r="E630" s="17" t="s">
        <v>893</v>
      </c>
      <c r="F630" s="17" t="s">
        <v>894</v>
      </c>
      <c r="G630" s="76" t="s">
        <v>901</v>
      </c>
      <c r="H630" s="76" t="s">
        <v>902</v>
      </c>
      <c r="J630" s="8" t="s">
        <v>6</v>
      </c>
      <c r="K630" s="9">
        <f>SUM(Tabla1103453454455456479116117118120740126148156186254256287328340342343349364366376401413415417419444[Coste LÃ­nea])</f>
        <v>16780.315415600002</v>
      </c>
      <c r="M630" s="406" t="s">
        <v>1383</v>
      </c>
    </row>
    <row r="631" spans="2:13" s="40" customFormat="1" x14ac:dyDescent="0.25">
      <c r="B631" s="10" t="s">
        <v>178</v>
      </c>
      <c r="C631" s="11" t="s">
        <v>67</v>
      </c>
      <c r="D631" s="12">
        <v>20</v>
      </c>
      <c r="E631" s="12">
        <v>0</v>
      </c>
      <c r="F631" s="12">
        <v>20</v>
      </c>
      <c r="G631" s="337">
        <f>+VLOOKUP(Tabla1103453454455456479116117118120740126148156186254256287328340342343349364366376401413415417419444[[#This Row],[ArtÃ­culo]],Tabla34[#All],3,0)</f>
        <v>10.5</v>
      </c>
      <c r="H631" s="338">
        <f>+Tabla1103453454455456479116117118120740126148156186254256287328340342343349364366376401413415417419444[[#This Row],[Coste Componente]]*Tabla1103453454455456479116117118120740126148156186254256287328340342343349364366376401413415417419444[[#This Row],[Unidades]]</f>
        <v>210</v>
      </c>
      <c r="J631" s="8" t="s">
        <v>12</v>
      </c>
      <c r="K631" s="15">
        <f>+K630*5%</f>
        <v>839.01577078000014</v>
      </c>
      <c r="M631" s="384"/>
    </row>
    <row r="632" spans="2:13" s="40" customFormat="1" x14ac:dyDescent="0.25">
      <c r="B632" s="10" t="s">
        <v>37</v>
      </c>
      <c r="C632" s="11" t="s">
        <v>67</v>
      </c>
      <c r="D632" s="12">
        <v>40</v>
      </c>
      <c r="E632" s="12">
        <v>0</v>
      </c>
      <c r="F632" s="12">
        <v>40</v>
      </c>
      <c r="G632" s="337">
        <f>+VLOOKUP(Tabla1103453454455456479116117118120740126148156186254256287328340342343349364366376401413415417419444[[#This Row],[ArtÃ­culo]],Tabla34[#All],3,0)</f>
        <v>14.25783539</v>
      </c>
      <c r="H632" s="338">
        <f>+Tabla1103453454455456479116117118120740126148156186254256287328340342343349364366376401413415417419444[[#This Row],[Coste Componente]]*Tabla1103453454455456479116117118120740126148156186254256287328340342343349364366376401413415417419444[[#This Row],[Unidades]]</f>
        <v>570.31341559999998</v>
      </c>
      <c r="J632" s="8" t="s">
        <v>13</v>
      </c>
      <c r="K632" s="15">
        <f>+K630+K631</f>
        <v>17619.331186380001</v>
      </c>
    </row>
    <row r="633" spans="2:13" s="40" customFormat="1" x14ac:dyDescent="0.25">
      <c r="B633" s="10" t="s">
        <v>817</v>
      </c>
      <c r="C633" s="11" t="s">
        <v>67</v>
      </c>
      <c r="D633" s="12">
        <v>2000</v>
      </c>
      <c r="E633" s="12">
        <v>25</v>
      </c>
      <c r="F633" s="12">
        <v>2666.6669999999999</v>
      </c>
      <c r="G633" s="337">
        <f>+VLOOKUP(Tabla1103453454455456479116117118120740126148156186254256287328340342343349364366376401413415417419444[[#This Row],[ArtÃ­culo]],Tabla34[#All],3,0)</f>
        <v>6</v>
      </c>
      <c r="H633" s="338">
        <f>+Tabla1103453454455456479116117118120740126148156186254256287328340342343349364366376401413415417419444[[#This Row],[Coste Componente]]*Tabla1103453454455456479116117118120740126148156186254256287328340342343349364366376401413415417419444[[#This Row],[Unidades]]</f>
        <v>16000.002</v>
      </c>
      <c r="J633" s="20" t="s">
        <v>1313</v>
      </c>
      <c r="K633" s="328">
        <v>1060</v>
      </c>
    </row>
    <row r="634" spans="2:13" s="40" customFormat="1" x14ac:dyDescent="0.25">
      <c r="B634" s="16"/>
      <c r="C634" s="17"/>
      <c r="D634" s="17"/>
      <c r="E634" s="17"/>
      <c r="F634" s="17"/>
      <c r="G634" s="18"/>
      <c r="H634" s="18">
        <f>SUBTOTAL(109,Tabla1103453454455456479116117118120740126148156186254256287328340342343349364366376401413415417419444[Coste LÃ­nea])</f>
        <v>16780.315415600002</v>
      </c>
      <c r="J634" s="8" t="s">
        <v>15</v>
      </c>
      <c r="K634" s="15">
        <f>+K632/K633</f>
        <v>16.62201055318868</v>
      </c>
    </row>
    <row r="635" spans="2:13" s="40" customFormat="1" x14ac:dyDescent="0.25"/>
    <row r="638" spans="2:13" s="40" customFormat="1" x14ac:dyDescent="0.25">
      <c r="B638" s="1" t="s">
        <v>145</v>
      </c>
      <c r="C638" s="2"/>
      <c r="D638" s="2"/>
      <c r="E638" s="3"/>
      <c r="F638" s="3"/>
      <c r="G638" s="3"/>
      <c r="H638" s="3"/>
      <c r="J638" s="399" t="s">
        <v>0</v>
      </c>
      <c r="K638" s="399"/>
    </row>
    <row r="639" spans="2:13" s="40" customFormat="1" x14ac:dyDescent="0.25">
      <c r="B639" s="16" t="s">
        <v>857</v>
      </c>
      <c r="C639" s="17" t="s">
        <v>895</v>
      </c>
      <c r="D639" s="17" t="s">
        <v>892</v>
      </c>
      <c r="E639" s="17" t="s">
        <v>893</v>
      </c>
      <c r="F639" s="17" t="s">
        <v>894</v>
      </c>
      <c r="G639" s="76" t="s">
        <v>901</v>
      </c>
      <c r="H639" s="76" t="s">
        <v>902</v>
      </c>
      <c r="J639" s="8" t="s">
        <v>6</v>
      </c>
      <c r="K639" s="9">
        <f>SUM(Tabla1103453454455456479116117118120740126148156186254256287328340342343349364366376401413415417419444448[Coste LÃ­nea])</f>
        <v>28729.369503999998</v>
      </c>
      <c r="M639" s="406" t="s">
        <v>1383</v>
      </c>
    </row>
    <row r="640" spans="2:13" s="40" customFormat="1" x14ac:dyDescent="0.25">
      <c r="B640" s="10" t="s">
        <v>726</v>
      </c>
      <c r="C640" s="11" t="s">
        <v>67</v>
      </c>
      <c r="D640" s="12">
        <v>1000</v>
      </c>
      <c r="E640" s="12">
        <v>30</v>
      </c>
      <c r="F640" s="12">
        <v>1428.5709999999999</v>
      </c>
      <c r="G640" s="337">
        <f>+VLOOKUP(Tabla1103453454455456479116117118120740126148156186254256287328340342343349364366376401413415417419444448[[#This Row],[ArtÃ­culo]],Tabla34[#All],3,0)</f>
        <v>18</v>
      </c>
      <c r="H640" s="338">
        <f>+Tabla1103453454455456479116117118120740126148156186254256287328340342343349364366376401413415417419444448[[#This Row],[Coste Componente]]*Tabla1103453454455456479116117118120740126148156186254256287328340342343349364366376401413415417419444448[[#This Row],[Unidades]]</f>
        <v>25714.277999999998</v>
      </c>
      <c r="J640" s="8" t="s">
        <v>12</v>
      </c>
      <c r="K640" s="15">
        <f>+K639*5%</f>
        <v>1436.4684752000001</v>
      </c>
      <c r="M640" s="384"/>
    </row>
    <row r="641" spans="2:13" s="40" customFormat="1" x14ac:dyDescent="0.25">
      <c r="B641" s="10" t="s">
        <v>38</v>
      </c>
      <c r="C641" s="11" t="s">
        <v>67</v>
      </c>
      <c r="D641" s="12">
        <v>300</v>
      </c>
      <c r="E641" s="12">
        <v>0</v>
      </c>
      <c r="F641" s="12">
        <v>300</v>
      </c>
      <c r="G641" s="337">
        <f>+VLOOKUP(Tabla1103453454455456479116117118120740126148156186254256287328340342343349364366376401413415417419444448[[#This Row],[ArtÃ­culo]],Tabla34[#All],3,0)</f>
        <v>0</v>
      </c>
      <c r="H641" s="338">
        <f>+Tabla1103453454455456479116117118120740126148156186254256287328340342343349364366376401413415417419444448[[#This Row],[Coste Componente]]*Tabla1103453454455456479116117118120740126148156186254256287328340342343349364366376401413415417419444448[[#This Row],[Unidades]]</f>
        <v>0</v>
      </c>
      <c r="J641" s="8" t="s">
        <v>13</v>
      </c>
      <c r="K641" s="15">
        <f>+K639+K640</f>
        <v>30165.837979199998</v>
      </c>
    </row>
    <row r="642" spans="2:13" s="40" customFormat="1" x14ac:dyDescent="0.25">
      <c r="B642" s="10" t="s">
        <v>85</v>
      </c>
      <c r="C642" s="11" t="s">
        <v>67</v>
      </c>
      <c r="D642" s="12">
        <v>200</v>
      </c>
      <c r="E642" s="12">
        <v>0</v>
      </c>
      <c r="F642" s="12">
        <v>200</v>
      </c>
      <c r="G642" s="337">
        <f>+VLOOKUP(Tabla1103453454455456479116117118120740126148156186254256287328340342343349364366376401413415417419444448[[#This Row],[ArtÃ­culo]],Tabla34[#All],3,0)</f>
        <v>4.8816666700000004</v>
      </c>
      <c r="H642" s="338">
        <f>+Tabla1103453454455456479116117118120740126148156186254256287328340342343349364366376401413415417419444448[[#This Row],[Coste Componente]]*Tabla1103453454455456479116117118120740126148156186254256287328340342343349364366376401413415417419444448[[#This Row],[Unidades]]</f>
        <v>976.33333400000004</v>
      </c>
      <c r="J642" s="20" t="s">
        <v>1313</v>
      </c>
      <c r="K642" s="328">
        <v>708</v>
      </c>
    </row>
    <row r="643" spans="2:13" s="40" customFormat="1" x14ac:dyDescent="0.25">
      <c r="B643" s="10" t="s">
        <v>91</v>
      </c>
      <c r="C643" s="11" t="s">
        <v>67</v>
      </c>
      <c r="D643" s="12">
        <v>200</v>
      </c>
      <c r="E643" s="12">
        <v>0</v>
      </c>
      <c r="F643" s="12">
        <v>200</v>
      </c>
      <c r="G643" s="337">
        <f>+VLOOKUP(Tabla1103453454455456479116117118120740126148156186254256287328340342343349364366376401413415417419444448[[#This Row],[ArtÃ­culo]],Tabla34[#All],3,0)</f>
        <v>10.193790849999999</v>
      </c>
      <c r="H643" s="338">
        <f>+Tabla1103453454455456479116117118120740126148156186254256287328340342343349364366376401413415417419444448[[#This Row],[Coste Componente]]*Tabla1103453454455456479116117118120740126148156186254256287328340342343349364366376401413415417419444448[[#This Row],[Unidades]]</f>
        <v>2038.7581699999998</v>
      </c>
      <c r="J643" s="8" t="s">
        <v>15</v>
      </c>
      <c r="K643" s="15">
        <f>+K641/K642</f>
        <v>42.607115789830509</v>
      </c>
    </row>
    <row r="644" spans="2:13" s="40" customFormat="1" x14ac:dyDescent="0.25">
      <c r="B644" s="16"/>
      <c r="C644" s="17"/>
      <c r="D644" s="17"/>
      <c r="E644" s="17"/>
      <c r="F644" s="17"/>
      <c r="G644" s="18"/>
      <c r="H644" s="18">
        <f>SUBTOTAL(109,Tabla1103453454455456479116117118120740126148156186254256287328340342343349364366376401413415417419444448[Coste LÃ­nea])</f>
        <v>28729.369503999998</v>
      </c>
    </row>
    <row r="645" spans="2:13" s="40" customFormat="1" x14ac:dyDescent="0.25"/>
    <row r="648" spans="2:13" s="40" customFormat="1" x14ac:dyDescent="0.25">
      <c r="B648" s="1" t="s">
        <v>140</v>
      </c>
      <c r="C648" s="2"/>
      <c r="D648" s="2"/>
      <c r="E648" s="3"/>
      <c r="F648" s="3"/>
      <c r="G648" s="3"/>
      <c r="H648" s="3"/>
      <c r="J648" s="399" t="s">
        <v>0</v>
      </c>
      <c r="K648" s="399"/>
    </row>
    <row r="649" spans="2:13" s="40" customFormat="1" x14ac:dyDescent="0.25">
      <c r="B649" s="16" t="s">
        <v>857</v>
      </c>
      <c r="C649" s="17" t="s">
        <v>895</v>
      </c>
      <c r="D649" s="17" t="s">
        <v>892</v>
      </c>
      <c r="E649" s="17" t="s">
        <v>893</v>
      </c>
      <c r="F649" s="17" t="s">
        <v>894</v>
      </c>
      <c r="G649" s="76" t="s">
        <v>901</v>
      </c>
      <c r="H649" s="76" t="s">
        <v>902</v>
      </c>
      <c r="J649" s="8" t="s">
        <v>6</v>
      </c>
      <c r="K649" s="9">
        <f>SUM(Tabla1103453454455456479116117118120740126148156186254256287328340342343349364366376401413415417419444448449[Coste LÃ­nea])</f>
        <v>49228.002999999997</v>
      </c>
      <c r="M649" s="406" t="s">
        <v>1383</v>
      </c>
    </row>
    <row r="650" spans="2:13" s="40" customFormat="1" x14ac:dyDescent="0.25">
      <c r="B650" s="10" t="s">
        <v>604</v>
      </c>
      <c r="C650" s="11" t="s">
        <v>67</v>
      </c>
      <c r="D650" s="12">
        <v>500</v>
      </c>
      <c r="E650" s="12">
        <v>0</v>
      </c>
      <c r="F650" s="12">
        <v>500</v>
      </c>
      <c r="G650" s="337">
        <f>+VLOOKUP(Tabla1103453454455456479116117118120740126148156186254256287328340342343349364366376401413415417419444448449[[#This Row],[ArtÃ­culo]],Tabla34[#All],3,0)</f>
        <v>14</v>
      </c>
      <c r="H650" s="338">
        <f>+Tabla1103453454455456479116117118120740126148156186254256287328340342343349364366376401413415417419444448449[[#This Row],[Coste Componente]]*Tabla1103453454455456479116117118120740126148156186254256287328340342343349364366376401413415417419444448449[[#This Row],[Unidades]]</f>
        <v>7000</v>
      </c>
      <c r="J650" s="8" t="s">
        <v>12</v>
      </c>
      <c r="K650" s="15">
        <f>+K649*5%</f>
        <v>2461.4001499999999</v>
      </c>
      <c r="M650" s="384"/>
    </row>
    <row r="651" spans="2:13" s="40" customFormat="1" x14ac:dyDescent="0.25">
      <c r="B651" s="10" t="s">
        <v>179</v>
      </c>
      <c r="C651" s="11" t="s">
        <v>67</v>
      </c>
      <c r="D651" s="12">
        <v>200</v>
      </c>
      <c r="E651" s="12">
        <v>0</v>
      </c>
      <c r="F651" s="12">
        <v>200</v>
      </c>
      <c r="G651" s="337">
        <f>+VLOOKUP(Tabla1103453454455456479116117118120740126148156186254256287328340342343349364366376401413415417419444448449[[#This Row],[ArtÃ­culo]],Tabla34[#All],3,0)</f>
        <v>173.386</v>
      </c>
      <c r="H651" s="338">
        <f>+Tabla1103453454455456479116117118120740126148156186254256287328340342343349364366376401413415417419444448449[[#This Row],[Coste Componente]]*Tabla1103453454455456479116117118120740126148156186254256287328340342343349364366376401413415417419444448449[[#This Row],[Unidades]]</f>
        <v>34677.199999999997</v>
      </c>
      <c r="J651" s="8" t="s">
        <v>13</v>
      </c>
      <c r="K651" s="15">
        <f>+K649+K650</f>
        <v>51689.403149999998</v>
      </c>
    </row>
    <row r="652" spans="2:13" s="40" customFormat="1" x14ac:dyDescent="0.25">
      <c r="B652" s="10" t="s">
        <v>92</v>
      </c>
      <c r="C652" s="11" t="s">
        <v>67</v>
      </c>
      <c r="D652" s="12">
        <v>400</v>
      </c>
      <c r="E652" s="12">
        <v>0</v>
      </c>
      <c r="F652" s="12">
        <v>400</v>
      </c>
      <c r="G652" s="337">
        <f>+VLOOKUP(Tabla1103453454455456479116117118120740126148156186254256287328340342343349364366376401413415417419444448449[[#This Row],[ArtÃ­culo]],Tabla34[#All],3,0)</f>
        <v>18.859000000000002</v>
      </c>
      <c r="H652" s="338">
        <f>+Tabla1103453454455456479116117118120740126148156186254256287328340342343349364366376401413415417419444448449[[#This Row],[Coste Componente]]*Tabla1103453454455456479116117118120740126148156186254256287328340342343349364366376401413415417419444448449[[#This Row],[Unidades]]</f>
        <v>7543.6</v>
      </c>
      <c r="J652" s="20" t="s">
        <v>1313</v>
      </c>
      <c r="K652" s="328">
        <v>650</v>
      </c>
    </row>
    <row r="653" spans="2:13" s="40" customFormat="1" x14ac:dyDescent="0.25">
      <c r="B653" s="10" t="s">
        <v>89</v>
      </c>
      <c r="C653" s="11" t="s">
        <v>67</v>
      </c>
      <c r="D653" s="12">
        <v>3</v>
      </c>
      <c r="E653" s="12">
        <v>0</v>
      </c>
      <c r="F653" s="12">
        <v>3</v>
      </c>
      <c r="G653" s="337">
        <f>+VLOOKUP(Tabla1103453454455456479116117118120740126148156186254256287328340342343349364366376401413415417419444448449[[#This Row],[ArtÃ­culo]],Tabla34[#All],3,0)</f>
        <v>2.4009999999999998</v>
      </c>
      <c r="H653" s="338">
        <f>+Tabla1103453454455456479116117118120740126148156186254256287328340342343349364366376401413415417419444448449[[#This Row],[Coste Componente]]*Tabla1103453454455456479116117118120740126148156186254256287328340342343349364366376401413415417419444448449[[#This Row],[Unidades]]</f>
        <v>7.2029999999999994</v>
      </c>
      <c r="J653" s="8" t="s">
        <v>15</v>
      </c>
      <c r="K653" s="15">
        <f>+K651/K652</f>
        <v>79.522158692307684</v>
      </c>
    </row>
    <row r="654" spans="2:13" s="40" customFormat="1" x14ac:dyDescent="0.25">
      <c r="B654" s="16"/>
      <c r="C654" s="17"/>
      <c r="D654" s="17"/>
      <c r="E654" s="17"/>
      <c r="F654" s="17"/>
      <c r="G654" s="18"/>
      <c r="H654" s="18">
        <f>SUBTOTAL(109,Tabla1103453454455456479116117118120740126148156186254256287328340342343349364366376401413415417419444448449[Coste LÃ­nea])</f>
        <v>49228.002999999997</v>
      </c>
    </row>
    <row r="655" spans="2:13" s="40" customFormat="1" x14ac:dyDescent="0.25"/>
    <row r="660" spans="2:13" s="40" customFormat="1" x14ac:dyDescent="0.25">
      <c r="B660" s="1" t="s">
        <v>155</v>
      </c>
      <c r="C660" s="2"/>
      <c r="D660" s="2"/>
      <c r="E660" s="3"/>
      <c r="F660" s="3"/>
      <c r="G660" s="3"/>
      <c r="H660" s="3"/>
      <c r="J660" s="399" t="s">
        <v>0</v>
      </c>
      <c r="K660" s="399"/>
    </row>
    <row r="661" spans="2:13" s="40" customFormat="1" x14ac:dyDescent="0.25">
      <c r="B661" s="16" t="s">
        <v>857</v>
      </c>
      <c r="C661" s="17" t="s">
        <v>895</v>
      </c>
      <c r="D661" s="17" t="s">
        <v>892</v>
      </c>
      <c r="E661" s="17" t="s">
        <v>893</v>
      </c>
      <c r="F661" s="17" t="s">
        <v>894</v>
      </c>
      <c r="G661" s="76" t="s">
        <v>901</v>
      </c>
      <c r="H661" s="76" t="s">
        <v>902</v>
      </c>
      <c r="J661" s="8" t="s">
        <v>6</v>
      </c>
      <c r="K661" s="9">
        <f>SUM(Tabla1103453454455456479116117118120740126148156186254256287328340342343349364366376401413415417419444448449479[Coste LÃ­nea])</f>
        <v>71624.788081730003</v>
      </c>
      <c r="M661" s="406" t="s">
        <v>1383</v>
      </c>
    </row>
    <row r="662" spans="2:13" s="40" customFormat="1" x14ac:dyDescent="0.25">
      <c r="B662" s="10" t="s">
        <v>824</v>
      </c>
      <c r="C662" s="11" t="s">
        <v>67</v>
      </c>
      <c r="D662" s="12">
        <v>30</v>
      </c>
      <c r="E662" s="12">
        <v>0</v>
      </c>
      <c r="F662" s="12">
        <v>30</v>
      </c>
      <c r="G662" s="337">
        <f>+VLOOKUP(Tabla1103453454455456479116117118120740126148156186254256287328340342343349364366376401413415417419444448449479[[#This Row],[ArtÃ­culo]],Tabla34[#All],3,0)</f>
        <v>19</v>
      </c>
      <c r="H662" s="338">
        <f>+Tabla1103453454455456479116117118120740126148156186254256287328340342343349364366376401413415417419444448449479[[#This Row],[Coste Componente]]*Tabla1103453454455456479116117118120740126148156186254256287328340342343349364366376401413415417419444448449479[[#This Row],[Unidades]]</f>
        <v>570</v>
      </c>
      <c r="J662" s="8" t="s">
        <v>12</v>
      </c>
      <c r="K662" s="15">
        <f>+K661*5%</f>
        <v>3581.2394040865001</v>
      </c>
      <c r="M662" s="384"/>
    </row>
    <row r="663" spans="2:13" s="40" customFormat="1" x14ac:dyDescent="0.25">
      <c r="B663" s="10" t="s">
        <v>186</v>
      </c>
      <c r="C663" s="11" t="s">
        <v>67</v>
      </c>
      <c r="D663" s="12">
        <v>20</v>
      </c>
      <c r="E663" s="12">
        <v>0</v>
      </c>
      <c r="F663" s="12">
        <v>20</v>
      </c>
      <c r="G663" s="337">
        <f>+VLOOKUP(Tabla1103453454455456479116117118120740126148156186254256287328340342343349364366376401413415417419444448449479[[#This Row],[ArtÃ­culo]],Tabla34[#All],3,0)</f>
        <v>233.07427392</v>
      </c>
      <c r="H663" s="338">
        <f>+Tabla1103453454455456479116117118120740126148156186254256287328340342343349364366376401413415417419444448449479[[#This Row],[Coste Componente]]*Tabla1103453454455456479116117118120740126148156186254256287328340342343349364366376401413415417419444448449479[[#This Row],[Unidades]]</f>
        <v>4661.4854783999999</v>
      </c>
      <c r="J663" s="8" t="s">
        <v>13</v>
      </c>
      <c r="K663" s="15">
        <f>+K661+K662</f>
        <v>75206.027485816507</v>
      </c>
    </row>
    <row r="664" spans="2:13" s="40" customFormat="1" x14ac:dyDescent="0.25">
      <c r="B664" s="10" t="s">
        <v>687</v>
      </c>
      <c r="C664" s="11" t="s">
        <v>67</v>
      </c>
      <c r="D664" s="12">
        <v>500</v>
      </c>
      <c r="E664" s="12">
        <v>0</v>
      </c>
      <c r="F664" s="12">
        <v>500</v>
      </c>
      <c r="G664" s="337">
        <f>+VLOOKUP(Tabla1103453454455456479116117118120740126148156186254256287328340342343349364366376401413415417419444448449479[[#This Row],[ArtÃ­culo]],Tabla34[#All],3,0)</f>
        <v>2.8</v>
      </c>
      <c r="H664" s="338">
        <f>+Tabla1103453454455456479116117118120740126148156186254256287328340342343349364366376401413415417419444448449479[[#This Row],[Coste Componente]]*Tabla1103453454455456479116117118120740126148156186254256287328340342343349364366376401413415417419444448449479[[#This Row],[Unidades]]</f>
        <v>1400</v>
      </c>
      <c r="J664" s="20" t="s">
        <v>1313</v>
      </c>
      <c r="K664" s="328">
        <v>20</v>
      </c>
    </row>
    <row r="665" spans="2:13" s="40" customFormat="1" x14ac:dyDescent="0.25">
      <c r="B665" s="10" t="s">
        <v>1170</v>
      </c>
      <c r="C665" s="11" t="s">
        <v>67</v>
      </c>
      <c r="D665" s="12">
        <v>2</v>
      </c>
      <c r="E665" s="12">
        <v>0</v>
      </c>
      <c r="F665" s="12">
        <v>2</v>
      </c>
      <c r="G665" s="337">
        <f>+VLOOKUP(Tabla1103453454455456479116117118120740126148156186254256287328340342343349364366376401413415417419444448449479[[#This Row],[ArtÃ­culo]],Tabla34[#All],3,0)</f>
        <v>178.06399999999999</v>
      </c>
      <c r="H665" s="338">
        <f>+Tabla1103453454455456479116117118120740126148156186254256287328340342343349364366376401413415417419444448449479[[#This Row],[Coste Componente]]*Tabla1103453454455456479116117118120740126148156186254256287328340342343349364366376401413415417419444448449479[[#This Row],[Unidades]]</f>
        <v>356.12799999999999</v>
      </c>
      <c r="J665" s="8" t="s">
        <v>15</v>
      </c>
      <c r="K665" s="15">
        <f>+K663/K664</f>
        <v>3760.3013742908252</v>
      </c>
    </row>
    <row r="666" spans="2:13" s="40" customFormat="1" x14ac:dyDescent="0.25">
      <c r="B666" s="10" t="s">
        <v>976</v>
      </c>
      <c r="C666" s="11" t="s">
        <v>67</v>
      </c>
      <c r="D666" s="12">
        <v>1</v>
      </c>
      <c r="E666" s="12">
        <v>0</v>
      </c>
      <c r="F666" s="12">
        <v>1</v>
      </c>
      <c r="G666" s="337">
        <f>+VLOOKUP(Tabla1103453454455456479116117118120740126148156186254256287328340342343349364366376401413415417419444448449479[[#This Row],[ArtÃ­culo]],Tabla34[#All],3,0)</f>
        <v>25</v>
      </c>
      <c r="H666" s="338">
        <f>+Tabla1103453454455456479116117118120740126148156186254256287328340342343349364366376401413415417419444448449479[[#This Row],[Coste Componente]]*Tabla1103453454455456479116117118120740126148156186254256287328340342343349364366376401413415417419444448449479[[#This Row],[Unidades]]</f>
        <v>25</v>
      </c>
    </row>
    <row r="667" spans="2:13" s="40" customFormat="1" x14ac:dyDescent="0.25">
      <c r="B667" s="10" t="s">
        <v>626</v>
      </c>
      <c r="C667" s="11" t="s">
        <v>847</v>
      </c>
      <c r="D667" s="12">
        <v>20</v>
      </c>
      <c r="E667" s="12">
        <v>0</v>
      </c>
      <c r="F667" s="12">
        <v>20</v>
      </c>
      <c r="G667" s="337">
        <f>+VLOOKUP(Tabla1103453454455456479116117118120740126148156186254256287328340342343349364366376401413415417419444448449479[[#This Row],[ArtÃ­culo]],Tabla34[#All],3,0)</f>
        <v>0</v>
      </c>
      <c r="H667" s="338">
        <f>+Tabla1103453454455456479116117118120740126148156186254256287328340342343349364366376401413415417419444448449479[[#This Row],[Coste Componente]]*Tabla1103453454455456479116117118120740126148156186254256287328340342343349364366376401413415417419444448449479[[#This Row],[Unidades]]</f>
        <v>0</v>
      </c>
    </row>
    <row r="668" spans="2:13" s="40" customFormat="1" x14ac:dyDescent="0.25">
      <c r="B668" s="10" t="s">
        <v>241</v>
      </c>
      <c r="C668" s="11" t="s">
        <v>67</v>
      </c>
      <c r="D668" s="12">
        <v>1000</v>
      </c>
      <c r="E668" s="12">
        <v>0</v>
      </c>
      <c r="F668" s="12">
        <v>1000</v>
      </c>
      <c r="G668" s="337">
        <f>+VLOOKUP(Tabla1103453454455456479116117118120740126148156186254256287328340342343349364366376401413415417419444448449479[[#This Row],[ArtÃ­culo]],Tabla34[#All],3,0)</f>
        <v>15.193341269999999</v>
      </c>
      <c r="H668" s="338">
        <f>+Tabla1103453454455456479116117118120740126148156186254256287328340342343349364366376401413415417419444448449479[[#This Row],[Coste Componente]]*Tabla1103453454455456479116117118120740126148156186254256287328340342343349364366376401413415417419444448449479[[#This Row],[Unidades]]</f>
        <v>15193.341269999999</v>
      </c>
    </row>
    <row r="669" spans="2:13" s="40" customFormat="1" x14ac:dyDescent="0.25">
      <c r="B669" s="10" t="s">
        <v>710</v>
      </c>
      <c r="C669" s="11" t="s">
        <v>67</v>
      </c>
      <c r="D669" s="12">
        <v>500</v>
      </c>
      <c r="E669" s="12">
        <v>0</v>
      </c>
      <c r="F669" s="12">
        <v>500</v>
      </c>
      <c r="G669" s="337">
        <f>+VLOOKUP(Tabla1103453454455456479116117118120740126148156186254256287328340342343349364366376401413415417419444448449479[[#This Row],[ArtÃ­culo]],Tabla34[#All],3,0)</f>
        <v>2.5</v>
      </c>
      <c r="H669" s="338">
        <f>+Tabla1103453454455456479116117118120740126148156186254256287328340342343349364366376401413415417419444448449479[[#This Row],[Coste Componente]]*Tabla1103453454455456479116117118120740126148156186254256287328340342343349364366376401413415417419444448449479[[#This Row],[Unidades]]</f>
        <v>1250</v>
      </c>
    </row>
    <row r="670" spans="2:13" s="40" customFormat="1" x14ac:dyDescent="0.25">
      <c r="B670" s="10" t="s">
        <v>216</v>
      </c>
      <c r="C670" s="11" t="s">
        <v>847</v>
      </c>
      <c r="D670" s="12">
        <v>1</v>
      </c>
      <c r="E670" s="12">
        <v>0</v>
      </c>
      <c r="F670" s="12">
        <v>1</v>
      </c>
      <c r="G670" s="337">
        <f>+VLOOKUP(Tabla1103453454455456479116117118120740126148156186254256287328340342343349364366376401413415417419444448449479[[#This Row],[ArtÃ­culo]],Tabla34[#All],3,0)</f>
        <v>40936</v>
      </c>
      <c r="H670" s="338">
        <f>+Tabla1103453454455456479116117118120740126148156186254256287328340342343349364366376401413415417419444448449479[[#This Row],[Coste Componente]]*Tabla1103453454455456479116117118120740126148156186254256287328340342343349364366376401413415417419444448449479[[#This Row],[Unidades]]</f>
        <v>40936</v>
      </c>
    </row>
    <row r="671" spans="2:13" s="40" customFormat="1" x14ac:dyDescent="0.25">
      <c r="B671" s="10" t="s">
        <v>195</v>
      </c>
      <c r="C671" s="11" t="s">
        <v>847</v>
      </c>
      <c r="D671" s="12">
        <v>1</v>
      </c>
      <c r="E671" s="12">
        <v>0</v>
      </c>
      <c r="F671" s="12">
        <v>1</v>
      </c>
      <c r="G671" s="337">
        <f>+VLOOKUP(Tabla1103453454455456479116117118120740126148156186254256287328340342343349364366376401413415417419444448449479[[#This Row],[ArtÃ­culo]],Tabla34[#All],3,0)</f>
        <v>4126.8333333299997</v>
      </c>
      <c r="H671" s="338">
        <f>+Tabla1103453454455456479116117118120740126148156186254256287328340342343349364366376401413415417419444448449479[[#This Row],[Coste Componente]]*Tabla1103453454455456479116117118120740126148156186254256287328340342343349364366376401413415417419444448449479[[#This Row],[Unidades]]</f>
        <v>4126.8333333299997</v>
      </c>
    </row>
    <row r="672" spans="2:13" s="40" customFormat="1" x14ac:dyDescent="0.25">
      <c r="B672" s="10" t="s">
        <v>719</v>
      </c>
      <c r="C672" s="11" t="s">
        <v>67</v>
      </c>
      <c r="D672" s="12">
        <v>500</v>
      </c>
      <c r="E672" s="12">
        <v>0</v>
      </c>
      <c r="F672" s="12">
        <v>500</v>
      </c>
      <c r="G672" s="337">
        <f>+VLOOKUP(Tabla1103453454455456479116117118120740126148156186254256287328340342343349364366376401413415417419444448449479[[#This Row],[ArtÃ­culo]],Tabla34[#All],3,0)</f>
        <v>6.2119999999999997</v>
      </c>
      <c r="H672" s="338">
        <f>+Tabla1103453454455456479116117118120740126148156186254256287328340342343349364366376401413415417419444448449479[[#This Row],[Coste Componente]]*Tabla1103453454455456479116117118120740126148156186254256287328340342343349364366376401413415417419444448449479[[#This Row],[Unidades]]</f>
        <v>3106</v>
      </c>
    </row>
    <row r="673" spans="2:13" s="40" customFormat="1" x14ac:dyDescent="0.25">
      <c r="B673" s="16"/>
      <c r="C673" s="17"/>
      <c r="D673" s="17"/>
      <c r="E673" s="17"/>
      <c r="F673" s="17"/>
      <c r="G673" s="18"/>
      <c r="H673" s="18">
        <f>SUBTOTAL(109,Tabla1103453454455456479116117118120740126148156186254256287328340342343349364366376401413415417419444448449479[Coste LÃ­nea])</f>
        <v>71624.788081730003</v>
      </c>
    </row>
    <row r="674" spans="2:13" s="40" customFormat="1" x14ac:dyDescent="0.25"/>
    <row r="676" spans="2:13" s="40" customFormat="1" x14ac:dyDescent="0.25">
      <c r="B676" s="1" t="s">
        <v>141</v>
      </c>
      <c r="C676" s="2"/>
      <c r="D676" s="2"/>
      <c r="E676" s="3"/>
      <c r="F676" s="3"/>
      <c r="G676" s="3"/>
      <c r="H676" s="3"/>
      <c r="J676" s="399" t="s">
        <v>0</v>
      </c>
      <c r="K676" s="399"/>
    </row>
    <row r="677" spans="2:13" s="40" customFormat="1" x14ac:dyDescent="0.25">
      <c r="B677" s="16" t="s">
        <v>857</v>
      </c>
      <c r="C677" s="17" t="s">
        <v>895</v>
      </c>
      <c r="D677" s="17" t="s">
        <v>892</v>
      </c>
      <c r="E677" s="17" t="s">
        <v>893</v>
      </c>
      <c r="F677" s="17" t="s">
        <v>894</v>
      </c>
      <c r="G677" s="76" t="s">
        <v>901</v>
      </c>
      <c r="H677" s="76" t="s">
        <v>902</v>
      </c>
      <c r="J677" s="8" t="s">
        <v>6</v>
      </c>
      <c r="K677" s="9">
        <f>SUM(Tabla1103453454455456479116117118120740126148156186254256287328340342343349364366376401413415417419444448449479480[Coste LÃ­nea])</f>
        <v>7440.8313349999999</v>
      </c>
      <c r="M677" s="406" t="s">
        <v>1383</v>
      </c>
    </row>
    <row r="678" spans="2:13" s="40" customFormat="1" x14ac:dyDescent="0.25">
      <c r="B678" s="10" t="s">
        <v>669</v>
      </c>
      <c r="C678" s="11" t="s">
        <v>67</v>
      </c>
      <c r="D678" s="12">
        <v>500</v>
      </c>
      <c r="E678" s="12">
        <v>40</v>
      </c>
      <c r="F678" s="12">
        <v>833.33299999999997</v>
      </c>
      <c r="G678" s="337">
        <f>+VLOOKUP(Tabla1103453454455456479116117118120740126148156186254256287328340342343349364366376401413415417419444448449479480[[#This Row],[ArtÃ­culo]],Tabla34[#All],3,0)</f>
        <v>6</v>
      </c>
      <c r="H678" s="338">
        <f>+Tabla1103453454455456479116117118120740126148156186254256287328340342343349364366376401413415417419444448449479480[[#This Row],[Coste Componente]]*Tabla1103453454455456479116117118120740126148156186254256287328340342343349364366376401413415417419444448449479480[[#This Row],[Unidades]]</f>
        <v>4999.9979999999996</v>
      </c>
      <c r="J678" s="8" t="s">
        <v>12</v>
      </c>
      <c r="K678" s="15">
        <f>+K677*5%</f>
        <v>372.04156675000002</v>
      </c>
      <c r="M678" s="384"/>
    </row>
    <row r="679" spans="2:13" s="40" customFormat="1" x14ac:dyDescent="0.25">
      <c r="B679" s="10" t="s">
        <v>85</v>
      </c>
      <c r="C679" s="11" t="s">
        <v>67</v>
      </c>
      <c r="D679" s="12">
        <v>500</v>
      </c>
      <c r="E679" s="12">
        <v>0</v>
      </c>
      <c r="F679" s="12">
        <v>500</v>
      </c>
      <c r="G679" s="337">
        <f>+VLOOKUP(Tabla1103453454455456479116117118120740126148156186254256287328340342343349364366376401413415417419444448449479480[[#This Row],[ArtÃ­culo]],Tabla34[#All],3,0)</f>
        <v>4.8816666700000004</v>
      </c>
      <c r="H679" s="338">
        <f>+Tabla1103453454455456479116117118120740126148156186254256287328340342343349364366376401413415417419444448449479480[[#This Row],[Coste Componente]]*Tabla1103453454455456479116117118120740126148156186254256287328340342343349364366376401413415417419444448449479480[[#This Row],[Unidades]]</f>
        <v>2440.8333350000003</v>
      </c>
      <c r="J679" s="8" t="s">
        <v>13</v>
      </c>
      <c r="K679" s="15">
        <f>+K677+K678</f>
        <v>7812.87290175</v>
      </c>
    </row>
    <row r="680" spans="2:13" s="40" customFormat="1" x14ac:dyDescent="0.25">
      <c r="B680" s="16"/>
      <c r="C680" s="17"/>
      <c r="D680" s="17"/>
      <c r="E680" s="17"/>
      <c r="F680" s="17"/>
      <c r="G680" s="18"/>
      <c r="H680" s="18">
        <f>SUBTOTAL(109,Tabla1103453454455456479116117118120740126148156186254256287328340342343349364366376401413415417419444448449479480[Coste LÃ­nea])</f>
        <v>7440.8313349999999</v>
      </c>
      <c r="J680" s="20" t="s">
        <v>1313</v>
      </c>
      <c r="K680" s="328">
        <v>820</v>
      </c>
    </row>
    <row r="681" spans="2:13" s="40" customFormat="1" x14ac:dyDescent="0.25">
      <c r="J681" s="8" t="s">
        <v>15</v>
      </c>
      <c r="K681" s="15">
        <f>+K679/K680</f>
        <v>9.5278937826219519</v>
      </c>
    </row>
    <row r="682" spans="2:13" s="40" customFormat="1" x14ac:dyDescent="0.25"/>
    <row r="684" spans="2:13" s="40" customFormat="1" x14ac:dyDescent="0.25">
      <c r="B684" s="1" t="s">
        <v>829</v>
      </c>
      <c r="C684" s="2"/>
      <c r="D684" s="2"/>
      <c r="E684" s="3"/>
      <c r="F684" s="3"/>
      <c r="G684" s="3"/>
      <c r="H684" s="3"/>
      <c r="J684" s="399" t="s">
        <v>0</v>
      </c>
      <c r="K684" s="399"/>
    </row>
    <row r="685" spans="2:13" s="40" customFormat="1" x14ac:dyDescent="0.25">
      <c r="B685" s="16" t="s">
        <v>857</v>
      </c>
      <c r="C685" s="17" t="s">
        <v>895</v>
      </c>
      <c r="D685" s="17" t="s">
        <v>892</v>
      </c>
      <c r="E685" s="17" t="s">
        <v>893</v>
      </c>
      <c r="F685" s="17" t="s">
        <v>894</v>
      </c>
      <c r="G685" s="76" t="s">
        <v>901</v>
      </c>
      <c r="H685" s="76" t="s">
        <v>902</v>
      </c>
      <c r="J685" s="8" t="s">
        <v>6</v>
      </c>
      <c r="K685" s="9">
        <f>SUM(Tabla1103453454455456479116117118120740126148156186254256287328340342343349364366376401413415417419444448449479480481[Coste LÃ­nea])</f>
        <v>324952.75</v>
      </c>
      <c r="M685" s="406" t="s">
        <v>1383</v>
      </c>
    </row>
    <row r="686" spans="2:13" s="40" customFormat="1" x14ac:dyDescent="0.25">
      <c r="B686" s="10" t="s">
        <v>115</v>
      </c>
      <c r="C686" s="11" t="s">
        <v>67</v>
      </c>
      <c r="D686" s="12">
        <v>5000</v>
      </c>
      <c r="E686" s="12">
        <v>0</v>
      </c>
      <c r="F686" s="12">
        <v>5000</v>
      </c>
      <c r="G686" s="337">
        <f>+VLOOKUP(Tabla1103453454455456479116117118120740126148156186254256287328340342343349364366376401413415417419444448449479480481[[#This Row],[ArtÃ­culo]],Tabla34[#All],3,0)</f>
        <v>64.855000000000004</v>
      </c>
      <c r="H686" s="338">
        <f>+Tabla1103453454455456479116117118120740126148156186254256287328340342343349364366376401413415417419444448449479480481[[#This Row],[Coste Componente]]*Tabla1103453454455456479116117118120740126148156186254256287328340342343349364366376401413415417419444448449479480481[[#This Row],[Unidades]]</f>
        <v>324275</v>
      </c>
      <c r="J686" s="8" t="s">
        <v>12</v>
      </c>
      <c r="K686" s="15">
        <f>+K685*5%</f>
        <v>16247.637500000001</v>
      </c>
      <c r="M686" s="384"/>
    </row>
    <row r="687" spans="2:13" s="40" customFormat="1" x14ac:dyDescent="0.25">
      <c r="B687" s="10" t="s">
        <v>38</v>
      </c>
      <c r="C687" s="11" t="s">
        <v>67</v>
      </c>
      <c r="D687" s="12">
        <v>8000</v>
      </c>
      <c r="E687" s="12">
        <v>0</v>
      </c>
      <c r="F687" s="12">
        <v>8000</v>
      </c>
      <c r="G687" s="337">
        <f>+VLOOKUP(Tabla1103453454455456479116117118120740126148156186254256287328340342343349364366376401413415417419444448449479480481[[#This Row],[ArtÃ­culo]],Tabla34[#All],3,0)</f>
        <v>0</v>
      </c>
      <c r="H687" s="338">
        <f>+Tabla1103453454455456479116117118120740126148156186254256287328340342343349364366376401413415417419444448449479480481[[#This Row],[Coste Componente]]*Tabla1103453454455456479116117118120740126148156186254256287328340342343349364366376401413415417419444448449479480481[[#This Row],[Unidades]]</f>
        <v>0</v>
      </c>
      <c r="J687" s="8" t="s">
        <v>13</v>
      </c>
      <c r="K687" s="15">
        <f>+K685+K686</f>
        <v>341200.38750000001</v>
      </c>
    </row>
    <row r="688" spans="2:13" s="40" customFormat="1" x14ac:dyDescent="0.25">
      <c r="B688" s="10" t="s">
        <v>634</v>
      </c>
      <c r="C688" s="11" t="s">
        <v>67</v>
      </c>
      <c r="D688" s="12">
        <v>30</v>
      </c>
      <c r="E688" s="12">
        <v>0</v>
      </c>
      <c r="F688" s="12">
        <v>30</v>
      </c>
      <c r="G688" s="337">
        <f>+VLOOKUP(Tabla1103453454455456479116117118120740126148156186254256287328340342343349364366376401413415417419444448449479480481[[#This Row],[ArtÃ­culo]],Tabla34[#All],3,0)</f>
        <v>8.9250000000000007</v>
      </c>
      <c r="H688" s="338">
        <f>+Tabla1103453454455456479116117118120740126148156186254256287328340342343349364366376401413415417419444448449479480481[[#This Row],[Coste Componente]]*Tabla1103453454455456479116117118120740126148156186254256287328340342343349364366376401413415417419444448449479480481[[#This Row],[Unidades]]</f>
        <v>267.75</v>
      </c>
      <c r="J688" s="20" t="s">
        <v>1313</v>
      </c>
      <c r="K688" s="328">
        <v>15</v>
      </c>
    </row>
    <row r="689" spans="2:13" s="40" customFormat="1" x14ac:dyDescent="0.25">
      <c r="B689" s="10" t="s">
        <v>976</v>
      </c>
      <c r="C689" s="11" t="s">
        <v>67</v>
      </c>
      <c r="D689" s="12">
        <v>5</v>
      </c>
      <c r="E689" s="12">
        <v>0</v>
      </c>
      <c r="F689" s="12">
        <v>5</v>
      </c>
      <c r="G689" s="337">
        <f>+VLOOKUP(Tabla1103453454455456479116117118120740126148156186254256287328340342343349364366376401413415417419444448449479480481[[#This Row],[ArtÃ­culo]],Tabla34[#All],3,0)</f>
        <v>25</v>
      </c>
      <c r="H689" s="338">
        <f>+Tabla1103453454455456479116117118120740126148156186254256287328340342343349364366376401413415417419444448449479480481[[#This Row],[Coste Componente]]*Tabla1103453454455456479116117118120740126148156186254256287328340342343349364366376401413415417419444448449479480481[[#This Row],[Unidades]]</f>
        <v>125</v>
      </c>
      <c r="J689" s="8" t="s">
        <v>15</v>
      </c>
      <c r="K689" s="15">
        <f>+K687/K688</f>
        <v>22746.692500000001</v>
      </c>
    </row>
    <row r="690" spans="2:13" s="40" customFormat="1" x14ac:dyDescent="0.25">
      <c r="B690" s="10" t="s">
        <v>824</v>
      </c>
      <c r="C690" s="11" t="s">
        <v>67</v>
      </c>
      <c r="D690" s="12">
        <v>15</v>
      </c>
      <c r="E690" s="12">
        <v>0</v>
      </c>
      <c r="F690" s="12">
        <v>15</v>
      </c>
      <c r="G690" s="337">
        <f>+VLOOKUP(Tabla1103453454455456479116117118120740126148156186254256287328340342343349364366376401413415417419444448449479480481[[#This Row],[ArtÃ­culo]],Tabla34[#All],3,0)</f>
        <v>19</v>
      </c>
      <c r="H690" s="338">
        <f>+Tabla1103453454455456479116117118120740126148156186254256287328340342343349364366376401413415417419444448449479480481[[#This Row],[Coste Componente]]*Tabla1103453454455456479116117118120740126148156186254256287328340342343349364366376401413415417419444448449479480481[[#This Row],[Unidades]]</f>
        <v>285</v>
      </c>
    </row>
    <row r="691" spans="2:13" s="40" customFormat="1" x14ac:dyDescent="0.25">
      <c r="B691" s="16"/>
      <c r="C691" s="17"/>
      <c r="D691" s="17"/>
      <c r="E691" s="17"/>
      <c r="F691" s="17"/>
      <c r="G691" s="18"/>
      <c r="H691" s="18">
        <f>SUBTOTAL(109,Tabla1103453454455456479116117118120740126148156186254256287328340342343349364366376401413415417419444448449479480481[Coste LÃ­nea])</f>
        <v>324952.75</v>
      </c>
    </row>
    <row r="692" spans="2:13" s="40" customFormat="1" x14ac:dyDescent="0.25"/>
    <row r="694" spans="2:13" s="40" customFormat="1" x14ac:dyDescent="0.25">
      <c r="B694" s="1" t="s">
        <v>137</v>
      </c>
      <c r="C694" s="2"/>
      <c r="D694" s="2"/>
      <c r="E694" s="3"/>
      <c r="F694" s="3"/>
      <c r="G694" s="3"/>
      <c r="H694" s="3"/>
      <c r="J694" s="399" t="s">
        <v>0</v>
      </c>
      <c r="K694" s="399"/>
    </row>
    <row r="695" spans="2:13" s="40" customFormat="1" x14ac:dyDescent="0.25">
      <c r="B695" s="16" t="s">
        <v>857</v>
      </c>
      <c r="C695" s="17" t="s">
        <v>895</v>
      </c>
      <c r="D695" s="17" t="s">
        <v>892</v>
      </c>
      <c r="E695" s="17" t="s">
        <v>893</v>
      </c>
      <c r="F695" s="17" t="s">
        <v>894</v>
      </c>
      <c r="G695" s="76" t="s">
        <v>901</v>
      </c>
      <c r="H695" s="76" t="s">
        <v>902</v>
      </c>
      <c r="J695" s="8" t="s">
        <v>6</v>
      </c>
      <c r="K695" s="9">
        <f>SUM(Tabla1103453454455456479116117118120740126148156186254256287328340342343349364366376401413415417419444448449479480481482[Coste LÃ­nea])</f>
        <v>17815.865048340002</v>
      </c>
      <c r="M695" s="406" t="s">
        <v>1383</v>
      </c>
    </row>
    <row r="696" spans="2:13" s="40" customFormat="1" x14ac:dyDescent="0.25">
      <c r="B696" s="10" t="s">
        <v>616</v>
      </c>
      <c r="C696" s="11" t="s">
        <v>67</v>
      </c>
      <c r="D696" s="12">
        <v>1000</v>
      </c>
      <c r="E696" s="12">
        <v>0</v>
      </c>
      <c r="F696" s="12">
        <v>1000</v>
      </c>
      <c r="G696" s="337">
        <f>+VLOOKUP(Tabla1103453454455456479116117118120740126148156186254256287328340342343349364366376401413415417419444448449479480481482[[#This Row],[ArtÃ­culo]],Tabla34[#All],3,0)</f>
        <v>7.8</v>
      </c>
      <c r="H696"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7800</v>
      </c>
      <c r="J696" s="8" t="s">
        <v>12</v>
      </c>
      <c r="K696" s="15">
        <f>+K695*5%</f>
        <v>890.79325241700008</v>
      </c>
      <c r="M696" s="384"/>
    </row>
    <row r="697" spans="2:13" s="40" customFormat="1" x14ac:dyDescent="0.25">
      <c r="B697" s="10" t="s">
        <v>89</v>
      </c>
      <c r="C697" s="11" t="s">
        <v>67</v>
      </c>
      <c r="D697" s="12">
        <v>7</v>
      </c>
      <c r="E697" s="12">
        <v>0</v>
      </c>
      <c r="F697" s="12">
        <v>7</v>
      </c>
      <c r="G697" s="337">
        <f>+VLOOKUP(Tabla1103453454455456479116117118120740126148156186254256287328340342343349364366376401413415417419444448449479480481482[[#This Row],[ArtÃ­culo]],Tabla34[#All],3,0)</f>
        <v>2.4009999999999998</v>
      </c>
      <c r="H697"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16.806999999999999</v>
      </c>
      <c r="J697" s="8" t="s">
        <v>13</v>
      </c>
      <c r="K697" s="15">
        <f>+K695+K696</f>
        <v>18706.658300757001</v>
      </c>
    </row>
    <row r="698" spans="2:13" s="40" customFormat="1" x14ac:dyDescent="0.25">
      <c r="B698" s="10" t="s">
        <v>631</v>
      </c>
      <c r="C698" s="11" t="s">
        <v>67</v>
      </c>
      <c r="D698" s="12">
        <v>100</v>
      </c>
      <c r="E698" s="12">
        <v>0</v>
      </c>
      <c r="F698" s="12">
        <v>100</v>
      </c>
      <c r="G698" s="337">
        <f>+VLOOKUP(Tabla1103453454455456479116117118120740126148156186254256287328340342343349364366376401413415417419444448449479480481482[[#This Row],[ArtÃ­culo]],Tabla34[#All],3,0)</f>
        <v>34.714285709999999</v>
      </c>
      <c r="H698"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3471.4285709999999</v>
      </c>
      <c r="J698" s="20" t="s">
        <v>1313</v>
      </c>
      <c r="K698" s="328">
        <v>1000</v>
      </c>
    </row>
    <row r="699" spans="2:13" s="40" customFormat="1" x14ac:dyDescent="0.25">
      <c r="B699" s="10" t="s">
        <v>724</v>
      </c>
      <c r="C699" s="11" t="s">
        <v>67</v>
      </c>
      <c r="D699" s="12">
        <v>100</v>
      </c>
      <c r="E699" s="12">
        <v>0</v>
      </c>
      <c r="F699" s="12">
        <v>100</v>
      </c>
      <c r="G699" s="337">
        <f>+VLOOKUP(Tabla1103453454455456479116117118120740126148156186254256287328340342343349364366376401413415417419444448449479480481482[[#This Row],[ArtÃ­culo]],Tabla34[#All],3,0)</f>
        <v>17.88</v>
      </c>
      <c r="H699"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1788</v>
      </c>
      <c r="J699" s="8" t="s">
        <v>15</v>
      </c>
      <c r="K699" s="15">
        <f>+K697/K698</f>
        <v>18.706658300757002</v>
      </c>
    </row>
    <row r="700" spans="2:13" s="40" customFormat="1" x14ac:dyDescent="0.25">
      <c r="B700" s="10" t="s">
        <v>451</v>
      </c>
      <c r="C700" s="11" t="s">
        <v>67</v>
      </c>
      <c r="D700" s="12">
        <v>60</v>
      </c>
      <c r="E700" s="12">
        <v>0</v>
      </c>
      <c r="F700" s="12">
        <v>60</v>
      </c>
      <c r="G700" s="337">
        <f>+VLOOKUP(Tabla1103453454455456479116117118120740126148156186254256287328340342343349364366376401413415417419444448449479480481482[[#This Row],[ArtÃ­culo]],Tabla34[#All],3,0)</f>
        <v>60.987499999999997</v>
      </c>
      <c r="H700"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3659.25</v>
      </c>
    </row>
    <row r="701" spans="2:13" s="40" customFormat="1" x14ac:dyDescent="0.25">
      <c r="B701" s="10" t="s">
        <v>37</v>
      </c>
      <c r="C701" s="11" t="s">
        <v>67</v>
      </c>
      <c r="D701" s="12">
        <v>10</v>
      </c>
      <c r="E701" s="12">
        <v>0</v>
      </c>
      <c r="F701" s="12">
        <v>10</v>
      </c>
      <c r="G701" s="337">
        <f>+VLOOKUP(Tabla1103453454455456479116117118120740126148156186254256287328340342343349364366376401413415417419444448449479480481482[[#This Row],[ArtÃ­culo]],Tabla34[#All],3,0)</f>
        <v>14.25783539</v>
      </c>
      <c r="H701"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142.5783539</v>
      </c>
    </row>
    <row r="702" spans="2:13" s="40" customFormat="1" x14ac:dyDescent="0.25">
      <c r="B702" s="10" t="s">
        <v>954</v>
      </c>
      <c r="C702" s="11" t="s">
        <v>67</v>
      </c>
      <c r="D702" s="12">
        <v>2</v>
      </c>
      <c r="E702" s="12">
        <v>0</v>
      </c>
      <c r="F702" s="12">
        <v>2</v>
      </c>
      <c r="G702" s="337">
        <f>+VLOOKUP(Tabla1103453454455456479116117118120740126148156186254256287328340342343349364366376401413415417419444448449479480481482[[#This Row],[ArtÃ­culo]],Tabla34[#All],3,0)</f>
        <v>114.62</v>
      </c>
      <c r="H702"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229.24</v>
      </c>
    </row>
    <row r="703" spans="2:13" s="40" customFormat="1" x14ac:dyDescent="0.25">
      <c r="B703" s="10" t="s">
        <v>840</v>
      </c>
      <c r="C703" s="11" t="s">
        <v>67</v>
      </c>
      <c r="D703" s="12">
        <v>2</v>
      </c>
      <c r="E703" s="12">
        <v>0</v>
      </c>
      <c r="F703" s="12">
        <v>2</v>
      </c>
      <c r="G703" s="337">
        <f>+VLOOKUP(Tabla1103453454455456479116117118120740126148156186254256287328340342343349364366376401413415417419444448449479480481482[[#This Row],[ArtÃ­culo]],Tabla34[#All],3,0)</f>
        <v>57.218061669999997</v>
      </c>
      <c r="H703"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114.43612333999999</v>
      </c>
    </row>
    <row r="704" spans="2:13" s="40" customFormat="1" x14ac:dyDescent="0.25">
      <c r="B704" s="10" t="s">
        <v>106</v>
      </c>
      <c r="C704" s="11" t="s">
        <v>67</v>
      </c>
      <c r="D704" s="12">
        <v>30</v>
      </c>
      <c r="E704" s="12">
        <v>0</v>
      </c>
      <c r="F704" s="12">
        <v>30</v>
      </c>
      <c r="G704" s="337">
        <f>+VLOOKUP(Tabla1103453454455456479116117118120740126148156186254256287328340342343349364366376401413415417419444448449479480481482[[#This Row],[ArtÃ­culo]],Tabla34[#All],3,0)</f>
        <v>19.804166670000001</v>
      </c>
      <c r="H704" s="338">
        <f>+Tabla1103453454455456479116117118120740126148156186254256287328340342343349364366376401413415417419444448449479480481482[[#This Row],[Coste Componente]]*Tabla1103453454455456479116117118120740126148156186254256287328340342343349364366376401413415417419444448449479480481482[[#This Row],[Unidades]]</f>
        <v>594.12500010000008</v>
      </c>
    </row>
    <row r="705" spans="2:13" s="40" customFormat="1" x14ac:dyDescent="0.25">
      <c r="B705" s="16"/>
      <c r="C705" s="17"/>
      <c r="D705" s="17"/>
      <c r="E705" s="17"/>
      <c r="F705" s="17"/>
      <c r="G705" s="18"/>
      <c r="H705" s="18">
        <f>SUBTOTAL(109,Tabla1103453454455456479116117118120740126148156186254256287328340342343349364366376401413415417419444448449479480481482[Coste LÃ­nea])</f>
        <v>17815.865048340002</v>
      </c>
    </row>
    <row r="706" spans="2:13" s="40" customFormat="1" x14ac:dyDescent="0.25"/>
    <row r="708" spans="2:13" s="40" customFormat="1" x14ac:dyDescent="0.25">
      <c r="B708" s="1" t="s">
        <v>339</v>
      </c>
      <c r="C708" s="2"/>
      <c r="D708" s="2"/>
      <c r="E708" s="3"/>
      <c r="F708" s="3"/>
      <c r="G708" s="3"/>
      <c r="H708" s="3"/>
      <c r="J708" s="399" t="s">
        <v>0</v>
      </c>
      <c r="K708" s="399"/>
    </row>
    <row r="709" spans="2:13" s="40" customFormat="1" x14ac:dyDescent="0.25">
      <c r="B709" s="16" t="s">
        <v>857</v>
      </c>
      <c r="C709" s="17" t="s">
        <v>895</v>
      </c>
      <c r="D709" s="17" t="s">
        <v>892</v>
      </c>
      <c r="E709" s="17" t="s">
        <v>893</v>
      </c>
      <c r="F709" s="17" t="s">
        <v>894</v>
      </c>
      <c r="G709" s="76" t="s">
        <v>901</v>
      </c>
      <c r="H709" s="76" t="s">
        <v>902</v>
      </c>
      <c r="J709" s="8" t="s">
        <v>6</v>
      </c>
      <c r="K709" s="9">
        <f>SUM(Tabla1103453454455456479116117118120740126148156186254256287328340342343349364366376401413415417419444448449479480481482500[Coste LÃ­nea])</f>
        <v>10000.0005</v>
      </c>
      <c r="M709" s="406" t="s">
        <v>1383</v>
      </c>
    </row>
    <row r="710" spans="2:13" s="40" customFormat="1" x14ac:dyDescent="0.25">
      <c r="B710" s="10" t="s">
        <v>56</v>
      </c>
      <c r="C710" s="11" t="s">
        <v>67</v>
      </c>
      <c r="D710" s="12">
        <v>2000</v>
      </c>
      <c r="E710" s="12">
        <v>30</v>
      </c>
      <c r="F710" s="12">
        <v>2857.143</v>
      </c>
      <c r="G710" s="337">
        <f>+VLOOKUP(Tabla1103453454455456479116117118120740126148156186254256287328340342343349364366376401413415417419444448449479480481482500[[#This Row],[ArtÃ­culo]],Tabla34[#All],3,0)</f>
        <v>3.5</v>
      </c>
      <c r="H710" s="338">
        <f>+Tabla1103453454455456479116117118120740126148156186254256287328340342343349364366376401413415417419444448449479480481482500[[#This Row],[Coste Componente]]*Tabla1103453454455456479116117118120740126148156186254256287328340342343349364366376401413415417419444448449479480481482500[[#This Row],[Unidades]]</f>
        <v>10000.0005</v>
      </c>
      <c r="J710" s="8" t="s">
        <v>12</v>
      </c>
      <c r="K710" s="15">
        <f>+K709*5%</f>
        <v>500.00002500000005</v>
      </c>
      <c r="M710" s="384"/>
    </row>
    <row r="711" spans="2:13" s="40" customFormat="1" x14ac:dyDescent="0.25">
      <c r="B711" s="16"/>
      <c r="C711" s="17"/>
      <c r="D711" s="17"/>
      <c r="E711" s="17"/>
      <c r="F711" s="17"/>
      <c r="G711" s="18"/>
      <c r="H711" s="18">
        <f>SUBTOTAL(109,Tabla1103453454455456479116117118120740126148156186254256287328340342343349364366376401413415417419444448449479480481482500[Coste LÃ­nea])</f>
        <v>10000.0005</v>
      </c>
      <c r="J711" s="8" t="s">
        <v>13</v>
      </c>
      <c r="K711" s="15">
        <f>+K709+K710</f>
        <v>10500.000524999999</v>
      </c>
    </row>
    <row r="712" spans="2:13" s="40" customFormat="1" x14ac:dyDescent="0.25">
      <c r="J712" s="20" t="s">
        <v>1313</v>
      </c>
      <c r="K712" s="328">
        <v>8</v>
      </c>
    </row>
    <row r="713" spans="2:13" s="40" customFormat="1" x14ac:dyDescent="0.25">
      <c r="J713" s="8" t="s">
        <v>15</v>
      </c>
      <c r="K713" s="15">
        <f>+K711/K712</f>
        <v>1312.5000656249999</v>
      </c>
    </row>
    <row r="714" spans="2:13" s="40" customFormat="1" x14ac:dyDescent="0.25"/>
    <row r="715" spans="2:13" s="40" customFormat="1" x14ac:dyDescent="0.25">
      <c r="B715" s="1" t="s">
        <v>128</v>
      </c>
      <c r="C715" s="2"/>
      <c r="D715" s="2"/>
      <c r="E715" s="3"/>
      <c r="F715" s="3"/>
      <c r="G715" s="3"/>
      <c r="H715" s="3"/>
      <c r="J715" s="399" t="s">
        <v>0</v>
      </c>
      <c r="K715" s="399"/>
    </row>
    <row r="716" spans="2:13" s="40" customFormat="1" x14ac:dyDescent="0.25">
      <c r="B716" s="16" t="s">
        <v>857</v>
      </c>
      <c r="C716" s="17" t="s">
        <v>895</v>
      </c>
      <c r="D716" s="17" t="s">
        <v>892</v>
      </c>
      <c r="E716" s="17" t="s">
        <v>893</v>
      </c>
      <c r="F716" s="17" t="s">
        <v>894</v>
      </c>
      <c r="G716" s="76" t="s">
        <v>901</v>
      </c>
      <c r="H716" s="76" t="s">
        <v>902</v>
      </c>
      <c r="J716" s="8" t="s">
        <v>6</v>
      </c>
      <c r="K716" s="9">
        <f>SUM(Tabla1103453454455456479116117118120740126148156186254256287328340342343349364366376401413415417419444448449479480481482500501[Coste LÃ­nea])</f>
        <v>17420.583334999999</v>
      </c>
      <c r="M716" s="406" t="s">
        <v>1383</v>
      </c>
    </row>
    <row r="717" spans="2:13" s="40" customFormat="1" x14ac:dyDescent="0.25">
      <c r="B717" s="10" t="s">
        <v>654</v>
      </c>
      <c r="C717" s="11" t="s">
        <v>67</v>
      </c>
      <c r="D717" s="12">
        <v>1000</v>
      </c>
      <c r="E717" s="12">
        <v>0</v>
      </c>
      <c r="F717" s="12">
        <v>1000</v>
      </c>
      <c r="G717" s="337">
        <f>+VLOOKUP(Tabla1103453454455456479116117118120740126148156186254256287328340342343349364366376401413415417419444448449479480481482500501[[#This Row],[ArtÃ­culo]],Tabla34[#All],3,0)</f>
        <v>14.979749999999999</v>
      </c>
      <c r="H717" s="338">
        <f>+Tabla1103453454455456479116117118120740126148156186254256287328340342343349364366376401413415417419444448449479480481482500501[[#This Row],[Coste Componente]]*Tabla1103453454455456479116117118120740126148156186254256287328340342343349364366376401413415417419444448449479480481482500501[[#This Row],[Unidades]]</f>
        <v>14979.75</v>
      </c>
      <c r="J717" s="8" t="s">
        <v>12</v>
      </c>
      <c r="K717" s="15">
        <f>+K716*5%</f>
        <v>871.02916675000006</v>
      </c>
      <c r="M717" s="384"/>
    </row>
    <row r="718" spans="2:13" s="40" customFormat="1" x14ac:dyDescent="0.25">
      <c r="B718" s="10" t="s">
        <v>85</v>
      </c>
      <c r="C718" s="11" t="s">
        <v>67</v>
      </c>
      <c r="D718" s="12">
        <v>500</v>
      </c>
      <c r="E718" s="12">
        <v>0</v>
      </c>
      <c r="F718" s="12">
        <v>500</v>
      </c>
      <c r="G718" s="337">
        <f>+VLOOKUP(Tabla1103453454455456479116117118120740126148156186254256287328340342343349364366376401413415417419444448449479480481482500501[[#This Row],[ArtÃ­culo]],Tabla34[#All],3,0)</f>
        <v>4.8816666700000004</v>
      </c>
      <c r="H718" s="338">
        <f>+Tabla1103453454455456479116117118120740126148156186254256287328340342343349364366376401413415417419444448449479480481482500501[[#This Row],[Coste Componente]]*Tabla1103453454455456479116117118120740126148156186254256287328340342343349364366376401413415417419444448449479480481482500501[[#This Row],[Unidades]]</f>
        <v>2440.8333350000003</v>
      </c>
      <c r="J718" s="8" t="s">
        <v>13</v>
      </c>
      <c r="K718" s="15">
        <f>+K716+K717</f>
        <v>18291.612501749998</v>
      </c>
    </row>
    <row r="719" spans="2:13" s="40" customFormat="1" x14ac:dyDescent="0.25">
      <c r="B719" s="16"/>
      <c r="C719" s="17"/>
      <c r="D719" s="17"/>
      <c r="E719" s="17"/>
      <c r="F719" s="17"/>
      <c r="G719" s="18"/>
      <c r="H719" s="18">
        <f>SUBTOTAL(109,Tabla1103453454455456479116117118120740126148156186254256287328340342343349364366376401413415417419444448449479480481482500501[Coste LÃ­nea])</f>
        <v>17420.583334999999</v>
      </c>
      <c r="J719" s="20" t="s">
        <v>1313</v>
      </c>
      <c r="K719" s="328">
        <v>1000</v>
      </c>
    </row>
    <row r="720" spans="2:13" s="40" customFormat="1" x14ac:dyDescent="0.25">
      <c r="J720" s="8" t="s">
        <v>15</v>
      </c>
      <c r="K720" s="15">
        <f>+K718/K719</f>
        <v>18.291612501749999</v>
      </c>
    </row>
    <row r="721" spans="2:13" s="40" customFormat="1" x14ac:dyDescent="0.25"/>
    <row r="723" spans="2:13" s="40" customFormat="1" x14ac:dyDescent="0.25">
      <c r="B723" s="1" t="s">
        <v>128</v>
      </c>
      <c r="C723" s="2"/>
      <c r="D723" s="2"/>
      <c r="E723" s="3"/>
      <c r="F723" s="3"/>
      <c r="G723" s="3"/>
      <c r="H723" s="3"/>
      <c r="J723" s="399" t="s">
        <v>0</v>
      </c>
      <c r="K723" s="399"/>
    </row>
    <row r="724" spans="2:13" s="40" customFormat="1" x14ac:dyDescent="0.25">
      <c r="B724" s="16" t="s">
        <v>857</v>
      </c>
      <c r="C724" s="17" t="s">
        <v>895</v>
      </c>
      <c r="D724" s="17" t="s">
        <v>892</v>
      </c>
      <c r="E724" s="17" t="s">
        <v>893</v>
      </c>
      <c r="F724" s="17" t="s">
        <v>894</v>
      </c>
      <c r="G724" s="76" t="s">
        <v>901</v>
      </c>
      <c r="H724" s="76" t="s">
        <v>902</v>
      </c>
      <c r="J724" s="8" t="s">
        <v>6</v>
      </c>
      <c r="K724" s="9">
        <f>SUM(Tabla1103453454455456479116117118120740126148156186254256287328340342343349364366376401413415417419444448449479480481482500501503[Coste LÃ­nea])</f>
        <v>17420.583334999999</v>
      </c>
      <c r="M724" s="406" t="s">
        <v>1383</v>
      </c>
    </row>
    <row r="725" spans="2:13" s="40" customFormat="1" x14ac:dyDescent="0.25">
      <c r="B725" s="10" t="s">
        <v>654</v>
      </c>
      <c r="C725" s="11" t="s">
        <v>67</v>
      </c>
      <c r="D725" s="12">
        <v>1000</v>
      </c>
      <c r="E725" s="12">
        <v>0</v>
      </c>
      <c r="F725" s="12">
        <v>1000</v>
      </c>
      <c r="G725" s="337">
        <f>+VLOOKUP(Tabla1103453454455456479116117118120740126148156186254256287328340342343349364366376401413415417419444448449479480481482500501503[[#This Row],[ArtÃ­culo]],Tabla34[#All],3,0)</f>
        <v>14.979749999999999</v>
      </c>
      <c r="H725" s="338">
        <f>+Tabla1103453454455456479116117118120740126148156186254256287328340342343349364366376401413415417419444448449479480481482500501503[[#This Row],[Coste Componente]]*Tabla1103453454455456479116117118120740126148156186254256287328340342343349364366376401413415417419444448449479480481482500501503[[#This Row],[Unidades]]</f>
        <v>14979.75</v>
      </c>
      <c r="J725" s="8" t="s">
        <v>12</v>
      </c>
      <c r="K725" s="15">
        <f>+K724*5%</f>
        <v>871.02916675000006</v>
      </c>
      <c r="M725" s="384"/>
    </row>
    <row r="726" spans="2:13" s="40" customFormat="1" x14ac:dyDescent="0.25">
      <c r="B726" s="10" t="s">
        <v>85</v>
      </c>
      <c r="C726" s="11" t="s">
        <v>67</v>
      </c>
      <c r="D726" s="12">
        <v>500</v>
      </c>
      <c r="E726" s="12">
        <v>0</v>
      </c>
      <c r="F726" s="12">
        <v>500</v>
      </c>
      <c r="G726" s="337">
        <f>+VLOOKUP(Tabla1103453454455456479116117118120740126148156186254256287328340342343349364366376401413415417419444448449479480481482500501503[[#This Row],[ArtÃ­culo]],Tabla34[#All],3,0)</f>
        <v>4.8816666700000004</v>
      </c>
      <c r="H726" s="338">
        <f>+Tabla1103453454455456479116117118120740126148156186254256287328340342343349364366376401413415417419444448449479480481482500501503[[#This Row],[Coste Componente]]*Tabla1103453454455456479116117118120740126148156186254256287328340342343349364366376401413415417419444448449479480481482500501503[[#This Row],[Unidades]]</f>
        <v>2440.8333350000003</v>
      </c>
      <c r="J726" s="8" t="s">
        <v>13</v>
      </c>
      <c r="K726" s="15">
        <f>+K724+K725</f>
        <v>18291.612501749998</v>
      </c>
    </row>
    <row r="727" spans="2:13" s="40" customFormat="1" x14ac:dyDescent="0.25">
      <c r="B727" s="16"/>
      <c r="C727" s="17"/>
      <c r="D727" s="17"/>
      <c r="E727" s="17"/>
      <c r="F727" s="17"/>
      <c r="G727" s="18"/>
      <c r="H727" s="18">
        <f>SUBTOTAL(109,Tabla1103453454455456479116117118120740126148156186254256287328340342343349364366376401413415417419444448449479480481482500501503[Coste LÃ­nea])</f>
        <v>17420.583334999999</v>
      </c>
      <c r="J727" s="20" t="s">
        <v>1313</v>
      </c>
      <c r="K727" s="328">
        <v>1000</v>
      </c>
    </row>
    <row r="728" spans="2:13" s="40" customFormat="1" x14ac:dyDescent="0.25">
      <c r="J728" s="8" t="s">
        <v>15</v>
      </c>
      <c r="K728" s="15">
        <f>+K726/K727</f>
        <v>18.291612501749999</v>
      </c>
    </row>
    <row r="729" spans="2:13" s="40" customFormat="1" x14ac:dyDescent="0.25"/>
    <row r="730" spans="2:13" s="40" customFormat="1" x14ac:dyDescent="0.25">
      <c r="B730" s="1" t="s">
        <v>146</v>
      </c>
      <c r="C730" s="2"/>
      <c r="D730" s="2"/>
      <c r="E730" s="3"/>
      <c r="F730" s="3"/>
      <c r="G730" s="3"/>
      <c r="H730" s="3"/>
      <c r="J730" s="399" t="s">
        <v>0</v>
      </c>
      <c r="K730" s="399"/>
    </row>
    <row r="731" spans="2:13" s="40" customFormat="1" x14ac:dyDescent="0.25">
      <c r="B731" s="16" t="s">
        <v>857</v>
      </c>
      <c r="C731" s="17" t="s">
        <v>895</v>
      </c>
      <c r="D731" s="17" t="s">
        <v>892</v>
      </c>
      <c r="E731" s="17" t="s">
        <v>893</v>
      </c>
      <c r="F731" s="17" t="s">
        <v>894</v>
      </c>
      <c r="G731" s="76" t="s">
        <v>901</v>
      </c>
      <c r="H731" s="76" t="s">
        <v>902</v>
      </c>
      <c r="J731" s="8" t="s">
        <v>6</v>
      </c>
      <c r="K731" s="9">
        <f>SUM(Tabla1103453454455456479116117118120740126148156186254256287328340342343349364366376401413415417419444448449479480481482500501503504[Coste LÃ­nea])</f>
        <v>89196.394892600001</v>
      </c>
      <c r="M731" s="406" t="s">
        <v>1383</v>
      </c>
    </row>
    <row r="732" spans="2:13" s="40" customFormat="1" x14ac:dyDescent="0.25">
      <c r="B732" s="10" t="s">
        <v>670</v>
      </c>
      <c r="C732" s="11" t="s">
        <v>67</v>
      </c>
      <c r="D732" s="12">
        <v>7000</v>
      </c>
      <c r="E732" s="12">
        <v>0</v>
      </c>
      <c r="F732" s="12">
        <v>7000</v>
      </c>
      <c r="G732" s="337">
        <f>+VLOOKUP(Tabla1103453454455456479116117118120740126148156186254256287328340342343349364366376401413415417419444448449479480481482500501503504[[#This Row],[ArtÃ­culo]],Tabla34[#All],3,0)</f>
        <v>10</v>
      </c>
      <c r="H732" s="338">
        <f>+Tabla1103453454455456479116117118120740126148156186254256287328340342343349364366376401413415417419444448449479480481482500501503504[[#This Row],[Coste Componente]]*Tabla1103453454455456479116117118120740126148156186254256287328340342343349364366376401413415417419444448449479480481482500501503504[[#This Row],[Unidades]]</f>
        <v>70000</v>
      </c>
      <c r="J732" s="8" t="s">
        <v>12</v>
      </c>
      <c r="K732" s="15">
        <f>+K731*5%</f>
        <v>4459.8197446300001</v>
      </c>
      <c r="M732" s="384"/>
    </row>
    <row r="733" spans="2:13" s="40" customFormat="1" x14ac:dyDescent="0.25">
      <c r="B733" s="10" t="s">
        <v>186</v>
      </c>
      <c r="C733" s="11" t="s">
        <v>67</v>
      </c>
      <c r="D733" s="12">
        <v>30</v>
      </c>
      <c r="E733" s="12">
        <v>0</v>
      </c>
      <c r="F733" s="12">
        <v>30</v>
      </c>
      <c r="G733" s="337">
        <f>+VLOOKUP(Tabla1103453454455456479116117118120740126148156186254256287328340342343349364366376401413415417419444448449479480481482500501503504[[#This Row],[ArtÃ­culo]],Tabla34[#All],3,0)</f>
        <v>233.07427392</v>
      </c>
      <c r="H733" s="338">
        <f>+Tabla1103453454455456479116117118120740126148156186254256287328340342343349364366376401413415417419444448449479480481482500501503504[[#This Row],[Coste Componente]]*Tabla1103453454455456479116117118120740126148156186254256287328340342343349364366376401413415417419444448449479480481482500501503504[[#This Row],[Unidades]]</f>
        <v>6992.2282175999999</v>
      </c>
      <c r="J733" s="8" t="s">
        <v>13</v>
      </c>
      <c r="K733" s="15">
        <f>+K731+K732</f>
        <v>93656.214637230005</v>
      </c>
      <c r="M733" s="384"/>
    </row>
    <row r="734" spans="2:13" s="40" customFormat="1" x14ac:dyDescent="0.25">
      <c r="B734" s="10" t="s">
        <v>38</v>
      </c>
      <c r="C734" s="11" t="s">
        <v>67</v>
      </c>
      <c r="D734" s="12">
        <v>17000</v>
      </c>
      <c r="E734" s="12">
        <v>0</v>
      </c>
      <c r="F734" s="12">
        <v>17000</v>
      </c>
      <c r="G734" s="337">
        <f>+VLOOKUP(Tabla1103453454455456479116117118120740126148156186254256287328340342343349364366376401413415417419444448449479480481482500501503504[[#This Row],[ArtÃ­culo]],Tabla34[#All],3,0)</f>
        <v>0</v>
      </c>
      <c r="H734" s="338">
        <f>+Tabla1103453454455456479116117118120740126148156186254256287328340342343349364366376401413415417419444448449479480481482500501503504[[#This Row],[Coste Componente]]*Tabla1103453454455456479116117118120740126148156186254256287328340342343349364366376401413415417419444448449479480481482500501503504[[#This Row],[Unidades]]</f>
        <v>0</v>
      </c>
      <c r="J734" s="20" t="s">
        <v>1313</v>
      </c>
      <c r="K734" s="328">
        <v>7440</v>
      </c>
    </row>
    <row r="735" spans="2:13" s="40" customFormat="1" x14ac:dyDescent="0.25">
      <c r="B735" s="10" t="s">
        <v>85</v>
      </c>
      <c r="C735" s="11" t="s">
        <v>67</v>
      </c>
      <c r="D735" s="12">
        <v>2500</v>
      </c>
      <c r="E735" s="12">
        <v>0</v>
      </c>
      <c r="F735" s="12">
        <v>2500</v>
      </c>
      <c r="G735" s="337">
        <f>+VLOOKUP(Tabla1103453454455456479116117118120740126148156186254256287328340342343349364366376401413415417419444448449479480481482500501503504[[#This Row],[ArtÃ­culo]],Tabla34[#All],3,0)</f>
        <v>4.8816666700000004</v>
      </c>
      <c r="H735" s="338">
        <f>+Tabla1103453454455456479116117118120740126148156186254256287328340342343349364366376401413415417419444448449479480481482500501503504[[#This Row],[Coste Componente]]*Tabla1103453454455456479116117118120740126148156186254256287328340342343349364366376401413415417419444448449479480481482500501503504[[#This Row],[Unidades]]</f>
        <v>12204.166675</v>
      </c>
      <c r="J735" s="8" t="s">
        <v>15</v>
      </c>
      <c r="K735" s="15">
        <f>+K733/K734</f>
        <v>12.588200892100808</v>
      </c>
    </row>
    <row r="736" spans="2:13" s="40" customFormat="1" x14ac:dyDescent="0.25">
      <c r="B736" s="16"/>
      <c r="C736" s="17"/>
      <c r="D736" s="17"/>
      <c r="E736" s="17"/>
      <c r="F736" s="17"/>
      <c r="G736" s="18"/>
      <c r="H736" s="18">
        <f>SUBTOTAL(109,Tabla1103453454455456479116117118120740126148156186254256287328340342343349364366376401413415417419444448449479480481482500501503504[Coste LÃ­nea])</f>
        <v>89196.394892600001</v>
      </c>
    </row>
    <row r="737" spans="2:13" s="40" customFormat="1" x14ac:dyDescent="0.25"/>
    <row r="739" spans="2:13" s="40" customFormat="1" x14ac:dyDescent="0.25">
      <c r="B739" s="1" t="s">
        <v>164</v>
      </c>
      <c r="C739" s="2"/>
      <c r="D739" s="2"/>
      <c r="E739" s="3"/>
      <c r="F739" s="3"/>
      <c r="G739" s="3"/>
      <c r="H739" s="3"/>
      <c r="J739" s="399" t="s">
        <v>0</v>
      </c>
      <c r="K739" s="399"/>
    </row>
    <row r="740" spans="2:13" s="40" customFormat="1" x14ac:dyDescent="0.25">
      <c r="B740" s="16" t="s">
        <v>857</v>
      </c>
      <c r="C740" s="17" t="s">
        <v>895</v>
      </c>
      <c r="D740" s="17" t="s">
        <v>892</v>
      </c>
      <c r="E740" s="17" t="s">
        <v>893</v>
      </c>
      <c r="F740" s="17" t="s">
        <v>894</v>
      </c>
      <c r="G740" s="76" t="s">
        <v>901</v>
      </c>
      <c r="H740" s="76" t="s">
        <v>902</v>
      </c>
      <c r="J740" s="8" t="s">
        <v>6</v>
      </c>
      <c r="K740" s="9">
        <f>SUM(Tabla1103453454455456479116117118120740126148156186254256287328340342343349364366376401413415417419444448449479480481482500501503504505[Coste LÃ­nea])</f>
        <v>6720.4166674999997</v>
      </c>
      <c r="M740" s="406" t="s">
        <v>1383</v>
      </c>
    </row>
    <row r="741" spans="2:13" s="40" customFormat="1" x14ac:dyDescent="0.25">
      <c r="B741" s="10" t="s">
        <v>673</v>
      </c>
      <c r="C741" s="11" t="s">
        <v>67</v>
      </c>
      <c r="D741" s="12">
        <v>400</v>
      </c>
      <c r="E741" s="12">
        <v>60</v>
      </c>
      <c r="F741" s="12">
        <v>1000</v>
      </c>
      <c r="G741" s="337">
        <f>+VLOOKUP(Tabla1103453454455456479116117118120740126148156186254256287328340342343349364366376401413415417419444448449479480481482500501503504505[[#This Row],[ArtÃ­culo]],Tabla34[#All],3,0)</f>
        <v>5.5</v>
      </c>
      <c r="H741" s="338">
        <f>+Tabla1103453454455456479116117118120740126148156186254256287328340342343349364366376401413415417419444448449479480481482500501503504505[[#This Row],[Coste Componente]]*Tabla1103453454455456479116117118120740126148156186254256287328340342343349364366376401413415417419444448449479480481482500501503504505[[#This Row],[Unidades]]</f>
        <v>5500</v>
      </c>
      <c r="J741" s="8" t="s">
        <v>12</v>
      </c>
      <c r="K741" s="15">
        <f>+K740*5%</f>
        <v>336.020833375</v>
      </c>
      <c r="M741" s="384"/>
    </row>
    <row r="742" spans="2:13" s="40" customFormat="1" x14ac:dyDescent="0.25">
      <c r="B742" s="10" t="s">
        <v>85</v>
      </c>
      <c r="C742" s="11" t="s">
        <v>67</v>
      </c>
      <c r="D742" s="12">
        <v>250</v>
      </c>
      <c r="E742" s="12">
        <v>0</v>
      </c>
      <c r="F742" s="12">
        <v>250</v>
      </c>
      <c r="G742" s="337">
        <f>+VLOOKUP(Tabla1103453454455456479116117118120740126148156186254256287328340342343349364366376401413415417419444448449479480481482500501503504505[[#This Row],[ArtÃ­culo]],Tabla34[#All],3,0)</f>
        <v>4.8816666700000004</v>
      </c>
      <c r="H742" s="338">
        <f>+Tabla1103453454455456479116117118120740126148156186254256287328340342343349364366376401413415417419444448449479480481482500501503504505[[#This Row],[Coste Componente]]*Tabla1103453454455456479116117118120740126148156186254256287328340342343349364366376401413415417419444448449479480481482500501503504505[[#This Row],[Unidades]]</f>
        <v>1220.4166675000001</v>
      </c>
      <c r="J742" s="8" t="s">
        <v>13</v>
      </c>
      <c r="K742" s="15">
        <f>+K740+K741</f>
        <v>7056.4375008749994</v>
      </c>
    </row>
    <row r="743" spans="2:13" s="40" customFormat="1" x14ac:dyDescent="0.25">
      <c r="B743" s="16"/>
      <c r="C743" s="17"/>
      <c r="D743" s="17"/>
      <c r="E743" s="17"/>
      <c r="F743" s="17"/>
      <c r="G743" s="18"/>
      <c r="H743" s="18">
        <f>SUBTOTAL(109,Tabla1103453454455456479116117118120740126148156186254256287328340342343349364366376401413415417419444448449479480481482500501503504505[Coste LÃ­nea])</f>
        <v>6720.4166674999997</v>
      </c>
      <c r="J743" s="20" t="s">
        <v>1313</v>
      </c>
      <c r="K743" s="328">
        <v>550</v>
      </c>
    </row>
    <row r="744" spans="2:13" s="40" customFormat="1" x14ac:dyDescent="0.25">
      <c r="J744" s="8" t="s">
        <v>15</v>
      </c>
      <c r="K744" s="15">
        <f>+K742/K743</f>
        <v>12.829886365227271</v>
      </c>
    </row>
    <row r="745" spans="2:13" s="40" customFormat="1" x14ac:dyDescent="0.25"/>
    <row r="747" spans="2:13" s="40" customFormat="1" x14ac:dyDescent="0.25">
      <c r="B747" s="1" t="s">
        <v>160</v>
      </c>
      <c r="C747" s="2"/>
      <c r="D747" s="2"/>
      <c r="E747" s="3"/>
      <c r="F747" s="3"/>
      <c r="G747" s="3"/>
      <c r="H747" s="3"/>
      <c r="J747" s="399" t="s">
        <v>0</v>
      </c>
      <c r="K747" s="399"/>
    </row>
    <row r="748" spans="2:13" s="40" customFormat="1" x14ac:dyDescent="0.25">
      <c r="B748" s="16" t="s">
        <v>857</v>
      </c>
      <c r="C748" s="17" t="s">
        <v>895</v>
      </c>
      <c r="D748" s="17" t="s">
        <v>892</v>
      </c>
      <c r="E748" s="17" t="s">
        <v>893</v>
      </c>
      <c r="F748" s="17" t="s">
        <v>894</v>
      </c>
      <c r="G748" s="76" t="s">
        <v>901</v>
      </c>
      <c r="H748" s="76" t="s">
        <v>902</v>
      </c>
      <c r="J748" s="8" t="s">
        <v>6</v>
      </c>
      <c r="K748" s="9">
        <f>SUM(Tabla1103453454455456479116117118120740126148156186254256287328340342343349364366376401413415417419444448449479480481482500501503504505506[Coste LÃ­nea])</f>
        <v>15042.398572500002</v>
      </c>
      <c r="M748" s="406" t="s">
        <v>1383</v>
      </c>
    </row>
    <row r="749" spans="2:13" s="40" customFormat="1" x14ac:dyDescent="0.25">
      <c r="B749" s="10" t="s">
        <v>207</v>
      </c>
      <c r="C749" s="11" t="s">
        <v>67</v>
      </c>
      <c r="D749" s="12">
        <v>100</v>
      </c>
      <c r="E749" s="12">
        <v>0</v>
      </c>
      <c r="F749" s="12">
        <v>100</v>
      </c>
      <c r="G749" s="337">
        <f>+VLOOKUP(Tabla1103453454455456479116117118120740126148156186254256287328340342343349364366376401413415417419444448449479480481482500501503504505506[[#This Row],[ArtÃ­culo]],Tabla34[#All],3,0)</f>
        <v>12.17853483</v>
      </c>
      <c r="H749" s="338">
        <f>+Tabla1103453454455456479116117118120740126148156186254256287328340342343349364366376401413415417419444448449479480481482500501503504505506[[#This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f>
        <v>1217.8534830000001</v>
      </c>
      <c r="J749" s="8" t="s">
        <v>12</v>
      </c>
      <c r="K749" s="15">
        <f>+K748*5%</f>
        <v>752.11992862500017</v>
      </c>
      <c r="M749" s="384"/>
    </row>
    <row r="750" spans="2:13" s="40" customFormat="1" x14ac:dyDescent="0.25">
      <c r="B750" s="10" t="s">
        <v>682</v>
      </c>
      <c r="C750" s="11" t="s">
        <v>67</v>
      </c>
      <c r="D750" s="12">
        <v>270</v>
      </c>
      <c r="E750" s="12">
        <v>0</v>
      </c>
      <c r="F750" s="12">
        <v>270</v>
      </c>
      <c r="G750" s="337">
        <f>+VLOOKUP(Tabla1103453454455456479116117118120740126148156186254256287328340342343349364366376401413415417419444448449479480481482500501503504505506[[#This Row],[ArtÃ­culo]],Tabla34[#All],3,0)</f>
        <v>39.071701390000001</v>
      </c>
      <c r="H750" s="338">
        <f>+Tabla1103453454455456479116117118120740126148156186254256287328340342343349364366376401413415417419444448449479480481482500501503504505506[[#This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f>
        <v>10549.3593753</v>
      </c>
      <c r="J750" s="8" t="s">
        <v>13</v>
      </c>
      <c r="K750" s="15">
        <f>+K748+K749</f>
        <v>15794.518501125001</v>
      </c>
    </row>
    <row r="751" spans="2:13" s="40" customFormat="1" x14ac:dyDescent="0.25">
      <c r="B751" s="10" t="s">
        <v>202</v>
      </c>
      <c r="C751" s="11" t="s">
        <v>67</v>
      </c>
      <c r="D751" s="12">
        <v>10</v>
      </c>
      <c r="E751" s="12">
        <v>0</v>
      </c>
      <c r="F751" s="12">
        <v>10</v>
      </c>
      <c r="G751" s="337">
        <f>+VLOOKUP(Tabla1103453454455456479116117118120740126148156186254256287328340342343349364366376401413415417419444448449479480481482500501503504505506[[#This Row],[ArtÃ­culo]],Tabla34[#All],3,0)</f>
        <v>15.965999999999999</v>
      </c>
      <c r="H751" s="338">
        <f>+Tabla1103453454455456479116117118120740126148156186254256287328340342343349364366376401413415417419444448449479480481482500501503504505506[[#This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f>
        <v>159.66</v>
      </c>
      <c r="J751" s="20" t="s">
        <v>1313</v>
      </c>
      <c r="K751" s="328">
        <v>470</v>
      </c>
    </row>
    <row r="752" spans="2:13" s="40" customFormat="1" x14ac:dyDescent="0.25">
      <c r="B752" s="10" t="s">
        <v>724</v>
      </c>
      <c r="C752" s="11" t="s">
        <v>67</v>
      </c>
      <c r="D752" s="12">
        <v>100</v>
      </c>
      <c r="E752" s="12">
        <v>0</v>
      </c>
      <c r="F752" s="12">
        <v>100</v>
      </c>
      <c r="G752" s="337">
        <f>+VLOOKUP(Tabla1103453454455456479116117118120740126148156186254256287328340342343349364366376401413415417419444448449479480481482500501503504505506[[#This Row],[ArtÃ­culo]],Tabla34[#All],3,0)</f>
        <v>17.88</v>
      </c>
      <c r="H752" s="338">
        <f>+Tabla1103453454455456479116117118120740126148156186254256287328340342343349364366376401413415417419444448449479480481482500501503504505506[[#This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f>
        <v>1788</v>
      </c>
      <c r="J752" s="8" t="s">
        <v>15</v>
      </c>
      <c r="K752" s="15">
        <f>+K750/K751</f>
        <v>33.605358513031916</v>
      </c>
    </row>
    <row r="753" spans="2:13" s="40" customFormat="1" x14ac:dyDescent="0.25">
      <c r="B753" s="10" t="s">
        <v>1241</v>
      </c>
      <c r="C753" s="11" t="s">
        <v>67</v>
      </c>
      <c r="D753" s="12">
        <v>30</v>
      </c>
      <c r="E753" s="12">
        <v>0</v>
      </c>
      <c r="F753" s="12">
        <v>30</v>
      </c>
      <c r="G753" s="337">
        <f>+VLOOKUP(Tabla1103453454455456479116117118120740126148156186254256287328340342343349364366376401413415417419444448449479480481482500501503504505506[[#This Row],[ArtÃ­culo]],Tabla34[#All],3,0)</f>
        <v>44.250857140000001</v>
      </c>
      <c r="H753" s="338">
        <f>+Tabla1103453454455456479116117118120740126148156186254256287328340342343349364366376401413415417419444448449479480481482500501503504505506[[#This Row],[Coste Componente]]*Tabla1103453454455456479116117118120740126148156186254256287328340342343349364366376401413415417419444448449479480481482500501503504505506[[#This Row],[Unidades]]</f>
        <v>1327.5257142</v>
      </c>
    </row>
    <row r="754" spans="2:13" s="40" customFormat="1" x14ac:dyDescent="0.25">
      <c r="B754" s="16"/>
      <c r="C754" s="17"/>
      <c r="D754" s="17"/>
      <c r="E754" s="17"/>
      <c r="F754" s="17"/>
      <c r="G754" s="18"/>
      <c r="H754" s="18">
        <f>SUBTOTAL(109,Tabla1103453454455456479116117118120740126148156186254256287328340342343349364366376401413415417419444448449479480481482500501503504505506[Coste LÃ­nea])</f>
        <v>15042.398572500002</v>
      </c>
    </row>
    <row r="755" spans="2:13" s="40" customFormat="1" x14ac:dyDescent="0.25"/>
    <row r="757" spans="2:13" s="40" customFormat="1" x14ac:dyDescent="0.25">
      <c r="B757" s="1" t="s">
        <v>334</v>
      </c>
      <c r="C757" s="2"/>
      <c r="D757" s="2"/>
      <c r="E757" s="3"/>
      <c r="F757" s="3"/>
      <c r="G757" s="3"/>
      <c r="H757" s="3"/>
      <c r="J757" s="399" t="s">
        <v>0</v>
      </c>
      <c r="K757" s="399"/>
    </row>
    <row r="758" spans="2:13" s="40" customFormat="1" x14ac:dyDescent="0.25">
      <c r="B758" s="16" t="s">
        <v>857</v>
      </c>
      <c r="C758" s="17" t="s">
        <v>895</v>
      </c>
      <c r="D758" s="17" t="s">
        <v>892</v>
      </c>
      <c r="E758" s="17" t="s">
        <v>893</v>
      </c>
      <c r="F758" s="17" t="s">
        <v>894</v>
      </c>
      <c r="G758" s="76" t="s">
        <v>901</v>
      </c>
      <c r="H758" s="76" t="s">
        <v>902</v>
      </c>
      <c r="J758" s="8" t="s">
        <v>6</v>
      </c>
      <c r="K758" s="9">
        <f>SUM(Tabla1103453454455456479116117118120740126148156186254256287328340342343349364366376401413415417419444448449479480481482500501503504505506507[Coste LÃ­nea])</f>
        <v>3637.5385500000007</v>
      </c>
      <c r="M758" s="406" t="s">
        <v>1383</v>
      </c>
    </row>
    <row r="759" spans="2:13" s="40" customFormat="1" x14ac:dyDescent="0.25">
      <c r="B759" s="10" t="s">
        <v>227</v>
      </c>
      <c r="C759" s="11" t="s">
        <v>847</v>
      </c>
      <c r="D759" s="12">
        <v>1.5</v>
      </c>
      <c r="E759" s="12">
        <v>0</v>
      </c>
      <c r="F759" s="12">
        <v>1.5</v>
      </c>
      <c r="G759" s="337">
        <f>+VLOOKUP(Tabla1103453454455456479116117118120740126148156186254256287328340342343349364366376401413415417419444448449479480481482500501503504505506507[[#This Row],[ArtÃ­culo]],Tabla34[#All],3,0)</f>
        <v>709.24</v>
      </c>
      <c r="H759" s="338">
        <f>+Tabla1103453454455456479116117118120740126148156186254256287328340342343349364366376401413415417419444448449479480481482500501503504505506507[[#This Row],[Coste Componente]]*Tabla1103453454455456479116117118120740126148156186254256287328340342343349364366376401413415417419444448449479480481482500501503504505506507[[#This Row],[Unidades]]</f>
        <v>1063.8600000000001</v>
      </c>
      <c r="J759" s="8" t="s">
        <v>12</v>
      </c>
      <c r="K759" s="15">
        <f>+K758*5%</f>
        <v>181.87692750000005</v>
      </c>
      <c r="M759" s="384"/>
    </row>
    <row r="760" spans="2:13" s="40" customFormat="1" x14ac:dyDescent="0.25">
      <c r="B760" s="10" t="s">
        <v>200</v>
      </c>
      <c r="C760" s="11" t="s">
        <v>67</v>
      </c>
      <c r="D760" s="12">
        <v>35</v>
      </c>
      <c r="E760" s="12">
        <v>0</v>
      </c>
      <c r="F760" s="12">
        <v>35</v>
      </c>
      <c r="G760" s="337">
        <f>+VLOOKUP(Tabla1103453454455456479116117118120740126148156186254256287328340342343349364366376401413415417419444448449479480481482500501503504505506507[[#This Row],[ArtÃ­culo]],Tabla34[#All],3,0)</f>
        <v>64.050030000000007</v>
      </c>
      <c r="H760" s="338">
        <f>+Tabla1103453454455456479116117118120740126148156186254256287328340342343349364366376401413415417419444448449479480481482500501503504505506507[[#This Row],[Coste Componente]]*Tabla1103453454455456479116117118120740126148156186254256287328340342343349364366376401413415417419444448449479480481482500501503504505506507[[#This Row],[Unidades]]</f>
        <v>2241.7510500000003</v>
      </c>
      <c r="J760" s="8" t="s">
        <v>13</v>
      </c>
      <c r="K760" s="15">
        <f>+K758+K759</f>
        <v>3819.4154775000006</v>
      </c>
    </row>
    <row r="761" spans="2:13" s="40" customFormat="1" x14ac:dyDescent="0.25">
      <c r="B761" s="10" t="s">
        <v>107</v>
      </c>
      <c r="C761" s="11" t="s">
        <v>67</v>
      </c>
      <c r="D761" s="12">
        <v>15</v>
      </c>
      <c r="E761" s="12">
        <v>0</v>
      </c>
      <c r="F761" s="12">
        <v>15</v>
      </c>
      <c r="G761" s="337">
        <f>+VLOOKUP(Tabla1103453454455456479116117118120740126148156186254256287328340342343349364366376401413415417419444448449479480481482500501503504505506507[[#This Row],[ArtÃ­culo]],Tabla34[#All],3,0)</f>
        <v>19.747499999999999</v>
      </c>
      <c r="H761" s="338">
        <f>+Tabla1103453454455456479116117118120740126148156186254256287328340342343349364366376401413415417419444448449479480481482500501503504505506507[[#This Row],[Coste Componente]]*Tabla1103453454455456479116117118120740126148156186254256287328340342343349364366376401413415417419444448449479480481482500501503504505506507[[#This Row],[Unidades]]</f>
        <v>296.21249999999998</v>
      </c>
      <c r="J761" s="20" t="s">
        <v>1313</v>
      </c>
      <c r="K761" s="328">
        <v>1</v>
      </c>
    </row>
    <row r="762" spans="2:13" s="40" customFormat="1" x14ac:dyDescent="0.25">
      <c r="B762" s="10" t="s">
        <v>725</v>
      </c>
      <c r="C762" s="11" t="s">
        <v>67</v>
      </c>
      <c r="D762" s="12">
        <v>10</v>
      </c>
      <c r="E762" s="12">
        <v>30</v>
      </c>
      <c r="F762" s="12">
        <v>14.286</v>
      </c>
      <c r="G762" s="337">
        <f>+VLOOKUP(Tabla1103453454455456479116117118120740126148156186254256287328340342343349364366376401413415417419444448449479480481482500501503504505506507[[#This Row],[ArtÃ­culo]],Tabla34[#All],3,0)</f>
        <v>2.5</v>
      </c>
      <c r="H762" s="338">
        <f>+Tabla1103453454455456479116117118120740126148156186254256287328340342343349364366376401413415417419444448449479480481482500501503504505506507[[#This Row],[Coste Componente]]*Tabla1103453454455456479116117118120740126148156186254256287328340342343349364366376401413415417419444448449479480481482500501503504505506507[[#This Row],[Unidades]]</f>
        <v>35.714999999999996</v>
      </c>
      <c r="J762" s="8" t="s">
        <v>15</v>
      </c>
      <c r="K762" s="15">
        <f>+K760/K761</f>
        <v>3819.4154775000006</v>
      </c>
    </row>
    <row r="763" spans="2:13" s="40" customFormat="1" x14ac:dyDescent="0.25">
      <c r="B763" s="16"/>
      <c r="C763" s="17"/>
      <c r="D763" s="17"/>
      <c r="E763" s="17"/>
      <c r="F763" s="17"/>
      <c r="G763" s="18"/>
      <c r="H763" s="18">
        <f>SUBTOTAL(109,Tabla1103453454455456479116117118120740126148156186254256287328340342343349364366376401413415417419444448449479480481482500501503504505506507[Coste LÃ­nea])</f>
        <v>3637.5385500000007</v>
      </c>
    </row>
    <row r="764" spans="2:13" s="40" customFormat="1" x14ac:dyDescent="0.25"/>
    <row r="765" spans="2:13" s="40" customFormat="1" x14ac:dyDescent="0.25">
      <c r="B765" s="1" t="s">
        <v>282</v>
      </c>
      <c r="C765" s="2"/>
      <c r="D765" s="2"/>
      <c r="E765" s="3"/>
      <c r="F765" s="3"/>
      <c r="G765" s="3"/>
      <c r="H765" s="3"/>
      <c r="J765" s="399" t="s">
        <v>0</v>
      </c>
      <c r="K765" s="399"/>
    </row>
    <row r="766" spans="2:13" s="40" customFormat="1" x14ac:dyDescent="0.25">
      <c r="B766" s="16" t="s">
        <v>857</v>
      </c>
      <c r="C766" s="17" t="s">
        <v>895</v>
      </c>
      <c r="D766" s="17" t="s">
        <v>892</v>
      </c>
      <c r="E766" s="17" t="s">
        <v>893</v>
      </c>
      <c r="F766" s="17" t="s">
        <v>894</v>
      </c>
      <c r="G766" s="76" t="s">
        <v>901</v>
      </c>
      <c r="H766" s="76" t="s">
        <v>902</v>
      </c>
      <c r="J766" s="8" t="s">
        <v>6</v>
      </c>
      <c r="K766" s="9">
        <f>SUM(Tabla1103453454455456479116117118120740126148156186254256287328340342343349364366376401413415417419444448449479480481482500501503504505506507508[Coste LÃ­nea])</f>
        <v>60238.774514999997</v>
      </c>
      <c r="M766" s="406" t="s">
        <v>1383</v>
      </c>
    </row>
    <row r="767" spans="2:13" s="40" customFormat="1" x14ac:dyDescent="0.25">
      <c r="B767" s="10" t="s">
        <v>832</v>
      </c>
      <c r="C767" s="11" t="s">
        <v>67</v>
      </c>
      <c r="D767" s="12">
        <v>6000</v>
      </c>
      <c r="E767" s="12">
        <v>0</v>
      </c>
      <c r="F767" s="12">
        <v>6000</v>
      </c>
      <c r="G767" s="337">
        <f>+VLOOKUP(Tabla1103453454455456479116117118120740126148156186254256287328340342343349364366376401413415417419444448449479480481482500501503504505506507508[[#This Row],[ArtÃ­culo]],Tabla34[#All],3,0)</f>
        <v>4.8</v>
      </c>
      <c r="H767" s="338">
        <f>+Tabla1103453454455456479116117118120740126148156186254256287328340342343349364366376401413415417419444448449479480481482500501503504505506507508[[#This Row],[Coste Componente]]*Tabla1103453454455456479116117118120740126148156186254256287328340342343349364366376401413415417419444448449479480481482500501503504505506507508[[#This Row],[Unidades]]</f>
        <v>28800</v>
      </c>
      <c r="J767" s="8" t="s">
        <v>12</v>
      </c>
      <c r="K767" s="15">
        <f>+K766*5%</f>
        <v>3011.9387257500002</v>
      </c>
      <c r="M767" s="384"/>
    </row>
    <row r="768" spans="2:13" s="40" customFormat="1" x14ac:dyDescent="0.25">
      <c r="B768" s="10" t="s">
        <v>817</v>
      </c>
      <c r="C768" s="11" t="s">
        <v>67</v>
      </c>
      <c r="D768" s="12">
        <v>3000</v>
      </c>
      <c r="E768" s="12">
        <v>0</v>
      </c>
      <c r="F768" s="12">
        <v>3000</v>
      </c>
      <c r="G768" s="337">
        <f>+VLOOKUP(Tabla1103453454455456479116117118120740126148156186254256287328340342343349364366376401413415417419444448449479480481482500501503504505506507508[[#This Row],[ArtÃ­culo]],Tabla34[#All],3,0)</f>
        <v>6</v>
      </c>
      <c r="H768" s="338">
        <f>+Tabla1103453454455456479116117118120740126148156186254256287328340342343349364366376401413415417419444448449479480481482500501503504505506507508[[#This Row],[Coste Componente]]*Tabla1103453454455456479116117118120740126148156186254256287328340342343349364366376401413415417419444448449479480481482500501503504505506507508[[#This Row],[Unidades]]</f>
        <v>18000</v>
      </c>
      <c r="J768" s="8" t="s">
        <v>13</v>
      </c>
      <c r="K768" s="15">
        <f>+K766+K767</f>
        <v>63250.713240749996</v>
      </c>
    </row>
    <row r="769" spans="2:13" s="40" customFormat="1" x14ac:dyDescent="0.25">
      <c r="B769" s="10" t="s">
        <v>85</v>
      </c>
      <c r="C769" s="11" t="s">
        <v>67</v>
      </c>
      <c r="D769" s="12">
        <v>1500</v>
      </c>
      <c r="E769" s="12">
        <v>0</v>
      </c>
      <c r="F769" s="12">
        <v>1500</v>
      </c>
      <c r="G769" s="337">
        <f>+VLOOKUP(Tabla1103453454455456479116117118120740126148156186254256287328340342343349364366376401413415417419444448449479480481482500501503504505506507508[[#This Row],[ArtÃ­culo]],Tabla34[#All],3,0)</f>
        <v>4.8816666700000004</v>
      </c>
      <c r="H769" s="338">
        <f>+Tabla1103453454455456479116117118120740126148156186254256287328340342343349364366376401413415417419444448449479480481482500501503504505506507508[[#This Row],[Coste Componente]]*Tabla1103453454455456479116117118120740126148156186254256287328340342343349364366376401413415417419444448449479480481482500501503504505506507508[[#This Row],[Unidades]]</f>
        <v>7322.5000050000008</v>
      </c>
      <c r="J769" s="20" t="s">
        <v>1313</v>
      </c>
      <c r="K769" s="328">
        <v>4320</v>
      </c>
    </row>
    <row r="770" spans="2:13" s="40" customFormat="1" x14ac:dyDescent="0.25">
      <c r="B770" s="10" t="s">
        <v>91</v>
      </c>
      <c r="C770" s="11" t="s">
        <v>67</v>
      </c>
      <c r="D770" s="12">
        <v>600</v>
      </c>
      <c r="E770" s="12">
        <v>0</v>
      </c>
      <c r="F770" s="12">
        <v>600</v>
      </c>
      <c r="G770" s="337">
        <f>+VLOOKUP(Tabla1103453454455456479116117118120740126148156186254256287328340342343349364366376401413415417419444448449479480481482500501503504505506507508[[#This Row],[ArtÃ­culo]],Tabla34[#All],3,0)</f>
        <v>10.193790849999999</v>
      </c>
      <c r="H770" s="338">
        <f>+Tabla1103453454455456479116117118120740126148156186254256287328340342343349364366376401413415417419444448449479480481482500501503504505506507508[[#This Row],[Coste Componente]]*Tabla1103453454455456479116117118120740126148156186254256287328340342343349364366376401413415417419444448449479480481482500501503504505506507508[[#This Row],[Unidades]]</f>
        <v>6116.2745099999993</v>
      </c>
      <c r="J770" s="8" t="s">
        <v>15</v>
      </c>
      <c r="K770" s="15">
        <f>+K768/K769</f>
        <v>14.641368805729165</v>
      </c>
    </row>
    <row r="771" spans="2:13" s="40" customFormat="1" x14ac:dyDescent="0.25">
      <c r="B771" s="16"/>
      <c r="C771" s="17"/>
      <c r="D771" s="17"/>
      <c r="E771" s="17"/>
      <c r="F771" s="17"/>
      <c r="G771" s="18"/>
      <c r="H771" s="18">
        <f>SUBTOTAL(109,Tabla1103453454455456479116117118120740126148156186254256287328340342343349364366376401413415417419444448449479480481482500501503504505506507508[Coste LÃ­nea])</f>
        <v>60238.774514999997</v>
      </c>
    </row>
    <row r="772" spans="2:13" s="40" customFormat="1" x14ac:dyDescent="0.25"/>
    <row r="773" spans="2:13" s="40" customFormat="1" x14ac:dyDescent="0.25">
      <c r="B773" s="1" t="s">
        <v>1242</v>
      </c>
      <c r="C773" s="2"/>
      <c r="D773" s="2"/>
      <c r="E773" s="3"/>
      <c r="F773" s="3"/>
      <c r="G773" s="3"/>
      <c r="H773" s="3"/>
      <c r="J773" s="399" t="s">
        <v>0</v>
      </c>
      <c r="K773" s="399"/>
    </row>
    <row r="774" spans="2:13" s="40" customFormat="1" x14ac:dyDescent="0.25">
      <c r="B774" s="16" t="s">
        <v>857</v>
      </c>
      <c r="C774" s="17" t="s">
        <v>895</v>
      </c>
      <c r="D774" s="17" t="s">
        <v>892</v>
      </c>
      <c r="E774" s="17" t="s">
        <v>893</v>
      </c>
      <c r="F774" s="17" t="s">
        <v>894</v>
      </c>
      <c r="G774" s="76" t="s">
        <v>901</v>
      </c>
      <c r="H774" s="76" t="s">
        <v>902</v>
      </c>
      <c r="J774" s="8" t="s">
        <v>6</v>
      </c>
      <c r="K774" s="9">
        <f>SUM(Tabla1103453454455456479116117118120740126148156186254256287328340342343349364366376401413415417419444448449479480481482500501503504505506507508509[Coste LÃ­nea])</f>
        <v>22323.089254999999</v>
      </c>
      <c r="M774" s="406" t="s">
        <v>1383</v>
      </c>
    </row>
    <row r="775" spans="2:13" s="40" customFormat="1" x14ac:dyDescent="0.25">
      <c r="B775" s="10" t="s">
        <v>674</v>
      </c>
      <c r="C775" s="11" t="s">
        <v>67</v>
      </c>
      <c r="D775" s="12">
        <v>500</v>
      </c>
      <c r="E775" s="12">
        <v>15</v>
      </c>
      <c r="F775" s="12">
        <v>588.23500000000001</v>
      </c>
      <c r="G775" s="337">
        <f>+VLOOKUP(Tabla1103453454455456479116117118120740126148156186254256287328340342343349364366376401413415417419444448449479480481482500501503504505506507508509[[#This Row],[ArtÃ­culo]],Tabla34[#All],3,0)</f>
        <v>4</v>
      </c>
      <c r="H775"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2352.94</v>
      </c>
      <c r="J775" s="8" t="s">
        <v>12</v>
      </c>
      <c r="K775" s="15">
        <f>+K774*5%</f>
        <v>1116.15446275</v>
      </c>
      <c r="M775" s="384"/>
    </row>
    <row r="776" spans="2:13" s="40" customFormat="1" x14ac:dyDescent="0.25">
      <c r="B776" s="10" t="s">
        <v>687</v>
      </c>
      <c r="C776" s="11" t="s">
        <v>67</v>
      </c>
      <c r="D776" s="12">
        <v>150</v>
      </c>
      <c r="E776" s="12">
        <v>17</v>
      </c>
      <c r="F776" s="12">
        <v>180.72300000000001</v>
      </c>
      <c r="G776" s="337">
        <f>+VLOOKUP(Tabla1103453454455456479116117118120740126148156186254256287328340342343349364366376401413415417419444448449479480481482500501503504505506507508509[[#This Row],[ArtÃ­culo]],Tabla34[#All],3,0)</f>
        <v>2.8</v>
      </c>
      <c r="H776"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506.02440000000001</v>
      </c>
      <c r="J776" s="8" t="s">
        <v>13</v>
      </c>
      <c r="K776" s="15">
        <f>+K774+K775</f>
        <v>23439.24371775</v>
      </c>
    </row>
    <row r="777" spans="2:13" s="40" customFormat="1" x14ac:dyDescent="0.25">
      <c r="B777" s="10" t="s">
        <v>817</v>
      </c>
      <c r="C777" s="11" t="s">
        <v>67</v>
      </c>
      <c r="D777" s="12">
        <v>300</v>
      </c>
      <c r="E777" s="12">
        <v>25</v>
      </c>
      <c r="F777" s="12">
        <v>400</v>
      </c>
      <c r="G777" s="337">
        <f>+VLOOKUP(Tabla1103453454455456479116117118120740126148156186254256287328340342343349364366376401413415417419444448449479480481482500501503504505506507508509[[#This Row],[ArtÃ­culo]],Tabla34[#All],3,0)</f>
        <v>6</v>
      </c>
      <c r="H777"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2400</v>
      </c>
      <c r="J777" s="20" t="s">
        <v>1313</v>
      </c>
      <c r="K777" s="328">
        <v>996</v>
      </c>
    </row>
    <row r="778" spans="2:13" s="40" customFormat="1" x14ac:dyDescent="0.25">
      <c r="B778" s="10" t="s">
        <v>89</v>
      </c>
      <c r="C778" s="11" t="s">
        <v>67</v>
      </c>
      <c r="D778" s="12">
        <v>15</v>
      </c>
      <c r="E778" s="12">
        <v>0</v>
      </c>
      <c r="F778" s="12">
        <v>15</v>
      </c>
      <c r="G778" s="337">
        <f>+VLOOKUP(Tabla1103453454455456479116117118120740126148156186254256287328340342343349364366376401413415417419444448449479480481482500501503504505506507508509[[#This Row],[ArtÃ­culo]],Tabla34[#All],3,0)</f>
        <v>2.4009999999999998</v>
      </c>
      <c r="H778"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36.015000000000001</v>
      </c>
      <c r="J778" s="8" t="s">
        <v>15</v>
      </c>
      <c r="K778" s="15">
        <f>+K776/K777</f>
        <v>23.533377226656626</v>
      </c>
    </row>
    <row r="779" spans="2:13" s="40" customFormat="1" x14ac:dyDescent="0.25">
      <c r="B779" s="10" t="s">
        <v>199</v>
      </c>
      <c r="C779" s="11" t="s">
        <v>67</v>
      </c>
      <c r="D779" s="12">
        <v>2</v>
      </c>
      <c r="E779" s="12">
        <v>0</v>
      </c>
      <c r="F779" s="12">
        <v>2</v>
      </c>
      <c r="G779" s="337">
        <f>+VLOOKUP(Tabla1103453454455456479116117118120740126148156186254256287328340342343349364366376401413415417419444448449479480481482500501503504505506507508509[[#This Row],[ArtÃ­culo]],Tabla34[#All],3,0)</f>
        <v>60.010800000000003</v>
      </c>
      <c r="H779"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120.02160000000001</v>
      </c>
    </row>
    <row r="780" spans="2:13" s="40" customFormat="1" x14ac:dyDescent="0.25">
      <c r="B780" s="10" t="s">
        <v>92</v>
      </c>
      <c r="C780" s="11" t="s">
        <v>67</v>
      </c>
      <c r="D780" s="12">
        <v>200</v>
      </c>
      <c r="E780" s="12">
        <v>0</v>
      </c>
      <c r="F780" s="12">
        <v>200</v>
      </c>
      <c r="G780" s="337">
        <f>+VLOOKUP(Tabla1103453454455456479116117118120740126148156186254256287328340342343349364366376401413415417419444448449479480481482500501503504505506507508509[[#This Row],[ArtÃ­culo]],Tabla34[#All],3,0)</f>
        <v>18.859000000000002</v>
      </c>
      <c r="H780"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3771.8</v>
      </c>
    </row>
    <row r="781" spans="2:13" s="40" customFormat="1" x14ac:dyDescent="0.25">
      <c r="B781" s="10" t="s">
        <v>619</v>
      </c>
      <c r="C781" s="11" t="s">
        <v>67</v>
      </c>
      <c r="D781" s="12">
        <v>500</v>
      </c>
      <c r="E781" s="12">
        <v>0</v>
      </c>
      <c r="F781" s="12">
        <v>500</v>
      </c>
      <c r="G781" s="337">
        <f>+VLOOKUP(Tabla1103453454455456479116117118120740126148156186254256287328340342343349364366376401413415417419444448449479480481482500501503504505506507508509[[#This Row],[ArtÃ­culo]],Tabla34[#All],3,0)</f>
        <v>26.27257651</v>
      </c>
      <c r="H781" s="338">
        <f>+Tabla1103453454455456479116117118120740126148156186254256287328340342343349364366376401413415417419444448449479480481482500501503504505506507508509[[#This Row],[Coste Componente]]*Tabla1103453454455456479116117118120740126148156186254256287328340342343349364366376401413415417419444448449479480481482500501503504505506507508509[[#This Row],[Unidades]]</f>
        <v>13136.288254999999</v>
      </c>
    </row>
    <row r="782" spans="2:13" s="40" customFormat="1" x14ac:dyDescent="0.25">
      <c r="B782" s="16"/>
      <c r="C782" s="17"/>
      <c r="D782" s="17"/>
      <c r="E782" s="17"/>
      <c r="F782" s="17"/>
      <c r="G782" s="18"/>
      <c r="H782" s="18">
        <f>SUBTOTAL(109,Tabla1103453454455456479116117118120740126148156186254256287328340342343349364366376401413415417419444448449479480481482500501503504505506507508509[Coste LÃ­nea])</f>
        <v>22323.089254999999</v>
      </c>
    </row>
    <row r="783" spans="2:13" s="40" customFormat="1" x14ac:dyDescent="0.25"/>
    <row r="785" spans="2:13" s="40" customFormat="1" x14ac:dyDescent="0.25">
      <c r="B785" s="1" t="s">
        <v>815</v>
      </c>
      <c r="C785" s="2"/>
      <c r="D785" s="2"/>
      <c r="E785" s="3"/>
      <c r="F785" s="3"/>
      <c r="G785" s="3"/>
      <c r="H785" s="3"/>
      <c r="J785" s="399" t="s">
        <v>0</v>
      </c>
      <c r="K785" s="399"/>
    </row>
    <row r="786" spans="2:13" s="40" customFormat="1" x14ac:dyDescent="0.25">
      <c r="B786" s="16" t="s">
        <v>857</v>
      </c>
      <c r="C786" s="17" t="s">
        <v>895</v>
      </c>
      <c r="D786" s="17" t="s">
        <v>892</v>
      </c>
      <c r="E786" s="17" t="s">
        <v>893</v>
      </c>
      <c r="F786" s="17" t="s">
        <v>894</v>
      </c>
      <c r="G786" s="76" t="s">
        <v>901</v>
      </c>
      <c r="H786" s="76" t="s">
        <v>902</v>
      </c>
      <c r="J786" s="8" t="s">
        <v>6</v>
      </c>
      <c r="K786" s="9">
        <f>SUM(Tabla1103453454455456479116117118120740126148156186254256287328340342343349364366376401413415417419444448449479480481482500501503504505506507508509510[Coste LÃ­nea])</f>
        <v>86231.952389999991</v>
      </c>
      <c r="M786" s="406" t="s">
        <v>1383</v>
      </c>
    </row>
    <row r="787" spans="2:13" s="40" customFormat="1" x14ac:dyDescent="0.25">
      <c r="B787" s="10" t="s">
        <v>302</v>
      </c>
      <c r="C787" s="11" t="s">
        <v>67</v>
      </c>
      <c r="D787" s="12">
        <v>500</v>
      </c>
      <c r="E787" s="12">
        <v>0</v>
      </c>
      <c r="F787" s="12">
        <v>500</v>
      </c>
      <c r="G787" s="337">
        <f>+VLOOKUP(Tabla1103453454455456479116117118120740126148156186254256287328340342343349364366376401413415417419444448449479480481482500501503504505506507508509510[[#This Row],[ArtÃ­culo]],Tabla34[#All],3,0)</f>
        <v>152.9372381</v>
      </c>
      <c r="H787" s="338">
        <f>+Tabla1103453454455456479116117118120740126148156186254256287328340342343349364366376401413415417419444448449479480481482500501503504505506507508509510[[#This Row],[Coste Componente]]*Tabla1103453454455456479116117118120740126148156186254256287328340342343349364366376401413415417419444448449479480481482500501503504505506507508509510[[#This Row],[Unidades]]</f>
        <v>76468.619049999994</v>
      </c>
      <c r="J787" s="8" t="s">
        <v>12</v>
      </c>
      <c r="K787" s="15">
        <f>+K786*5%</f>
        <v>4311.5976194999994</v>
      </c>
      <c r="M787" s="384"/>
    </row>
    <row r="788" spans="2:13" s="40" customFormat="1" x14ac:dyDescent="0.25">
      <c r="B788" s="10" t="s">
        <v>38</v>
      </c>
      <c r="C788" s="11" t="s">
        <v>67</v>
      </c>
      <c r="D788" s="12">
        <v>2000</v>
      </c>
      <c r="E788" s="12">
        <v>0</v>
      </c>
      <c r="F788" s="12">
        <v>2000</v>
      </c>
      <c r="G788" s="337">
        <f>+VLOOKUP(Tabla1103453454455456479116117118120740126148156186254256287328340342343349364366376401413415417419444448449479480481482500501503504505506507508509510[[#This Row],[ArtÃ­culo]],Tabla34[#All],3,0)</f>
        <v>0</v>
      </c>
      <c r="H788" s="338">
        <f>+Tabla1103453454455456479116117118120740126148156186254256287328340342343349364366376401413415417419444448449479480481482500501503504505506507508509510[[#This Row],[Coste Componente]]*Tabla1103453454455456479116117118120740126148156186254256287328340342343349364366376401413415417419444448449479480481482500501503504505506507508509510[[#This Row],[Unidades]]</f>
        <v>0</v>
      </c>
      <c r="J788" s="8" t="s">
        <v>13</v>
      </c>
      <c r="K788" s="15">
        <f>+K786+K787</f>
        <v>90543.550009499988</v>
      </c>
    </row>
    <row r="789" spans="2:13" s="40" customFormat="1" x14ac:dyDescent="0.25">
      <c r="B789" s="10" t="s">
        <v>85</v>
      </c>
      <c r="C789" s="11" t="s">
        <v>67</v>
      </c>
      <c r="D789" s="12">
        <v>2000</v>
      </c>
      <c r="E789" s="12">
        <v>0</v>
      </c>
      <c r="F789" s="12">
        <v>2000</v>
      </c>
      <c r="G789" s="337">
        <f>+VLOOKUP(Tabla1103453454455456479116117118120740126148156186254256287328340342343349364366376401413415417419444448449479480481482500501503504505506507508509510[[#This Row],[ArtÃ­culo]],Tabla34[#All],3,0)</f>
        <v>4.8816666700000004</v>
      </c>
      <c r="H789" s="338">
        <f>+Tabla1103453454455456479116117118120740126148156186254256287328340342343349364366376401413415417419444448449479480481482500501503504505506507508509510[[#This Row],[Coste Componente]]*Tabla1103453454455456479116117118120740126148156186254256287328340342343349364366376401413415417419444448449479480481482500501503504505506507508509510[[#This Row],[Unidades]]</f>
        <v>9763.333340000001</v>
      </c>
      <c r="J789" s="20" t="s">
        <v>1313</v>
      </c>
      <c r="K789" s="328">
        <v>2500</v>
      </c>
    </row>
    <row r="790" spans="2:13" s="40" customFormat="1" x14ac:dyDescent="0.25">
      <c r="B790" s="16"/>
      <c r="C790" s="17"/>
      <c r="D790" s="17"/>
      <c r="E790" s="17"/>
      <c r="F790" s="17"/>
      <c r="G790" s="18"/>
      <c r="H790" s="18">
        <f>SUBTOTAL(109,Tabla1103453454455456479116117118120740126148156186254256287328340342343349364366376401413415417419444448449479480481482500501503504505506507508509510[Coste LÃ­nea])</f>
        <v>86231.952389999991</v>
      </c>
      <c r="J790" s="8" t="s">
        <v>15</v>
      </c>
      <c r="K790" s="15">
        <f>+K788/K789</f>
        <v>36.217420003799994</v>
      </c>
    </row>
    <row r="791" spans="2:13" s="40" customFormat="1" x14ac:dyDescent="0.25"/>
    <row r="793" spans="2:13" s="40" customFormat="1" x14ac:dyDescent="0.25">
      <c r="B793" s="1" t="s">
        <v>157</v>
      </c>
      <c r="C793" s="2"/>
      <c r="D793" s="2"/>
      <c r="E793" s="3"/>
      <c r="F793" s="3"/>
      <c r="G793" s="3"/>
      <c r="H793" s="3"/>
      <c r="J793" s="399" t="s">
        <v>0</v>
      </c>
      <c r="K793" s="399"/>
    </row>
    <row r="794" spans="2:13" s="40" customFormat="1" x14ac:dyDescent="0.25">
      <c r="B794" s="16" t="s">
        <v>857</v>
      </c>
      <c r="C794" s="17" t="s">
        <v>895</v>
      </c>
      <c r="D794" s="17" t="s">
        <v>892</v>
      </c>
      <c r="E794" s="17" t="s">
        <v>893</v>
      </c>
      <c r="F794" s="17" t="s">
        <v>894</v>
      </c>
      <c r="G794" s="76" t="s">
        <v>901</v>
      </c>
      <c r="H794" s="76" t="s">
        <v>902</v>
      </c>
      <c r="J794" s="8" t="s">
        <v>6</v>
      </c>
      <c r="K794" s="9" t="e">
        <f>SUM(Tabla1103453454455456479116117118120740126148156186254256287328340342343349364366376401413415417419444448449479480481482500501503504505506507508509510511[Coste LÃ­nea])</f>
        <v>#N/A</v>
      </c>
      <c r="M794" s="406" t="s">
        <v>1383</v>
      </c>
    </row>
    <row r="795" spans="2:13" s="40" customFormat="1" x14ac:dyDescent="0.25">
      <c r="B795" s="10" t="s">
        <v>677</v>
      </c>
      <c r="C795" s="11" t="s">
        <v>67</v>
      </c>
      <c r="D795" s="12">
        <v>400</v>
      </c>
      <c r="E795" s="12">
        <v>30</v>
      </c>
      <c r="F795" s="12">
        <v>571.42899999999997</v>
      </c>
      <c r="G795" s="337">
        <f>+VLOOKUP(Tabla1103453454455456479116117118120740126148156186254256287328340342343349364366376401413415417419444448449479480481482500501503504505506507508509510511[[#This Row],[ArtÃ­culo]],Tabla34[#All],3,0)</f>
        <v>2.5</v>
      </c>
      <c r="H795" s="338">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1428.5725</v>
      </c>
      <c r="J795" s="8" t="s">
        <v>12</v>
      </c>
      <c r="K795" s="15" t="e">
        <f>+K794*5%</f>
        <v>#N/A</v>
      </c>
      <c r="M795" s="384"/>
    </row>
    <row r="796" spans="2:13" s="40" customFormat="1" x14ac:dyDescent="0.25">
      <c r="B796" s="10" t="s">
        <v>218</v>
      </c>
      <c r="C796" s="11" t="s">
        <v>67</v>
      </c>
      <c r="D796" s="12">
        <v>400</v>
      </c>
      <c r="E796" s="12">
        <v>0</v>
      </c>
      <c r="F796" s="12">
        <v>400</v>
      </c>
      <c r="G796" s="337">
        <f>+VLOOKUP(Tabla1103453454455456479116117118120740126148156186254256287328340342343349364366376401413415417419444448449479480481482500501503504505506507508509510511[[#This Row],[ArtÃ­culo]],Tabla34[#All],3,0)</f>
        <v>9</v>
      </c>
      <c r="H796" s="338">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3600</v>
      </c>
      <c r="J796" s="8" t="s">
        <v>13</v>
      </c>
      <c r="K796" s="15" t="e">
        <f>+K794+K795</f>
        <v>#N/A</v>
      </c>
    </row>
    <row r="797" spans="2:13" s="40" customFormat="1" x14ac:dyDescent="0.25">
      <c r="B797" s="10" t="s">
        <v>673</v>
      </c>
      <c r="C797" s="11" t="s">
        <v>67</v>
      </c>
      <c r="D797" s="12">
        <v>400</v>
      </c>
      <c r="E797" s="12">
        <v>60</v>
      </c>
      <c r="F797" s="12">
        <v>1000</v>
      </c>
      <c r="G797" s="337">
        <f>+VLOOKUP(Tabla1103453454455456479116117118120740126148156186254256287328340342343349364366376401413415417419444448449479480481482500501503504505506507508509510511[[#This Row],[ArtÃ­culo]],Tabla34[#All],3,0)</f>
        <v>5.5</v>
      </c>
      <c r="H797" s="338">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5500</v>
      </c>
      <c r="J797" s="20" t="s">
        <v>1313</v>
      </c>
      <c r="K797" s="328">
        <v>1263</v>
      </c>
    </row>
    <row r="798" spans="2:13" s="40" customFormat="1" x14ac:dyDescent="0.25">
      <c r="B798" s="10" t="s">
        <v>1064</v>
      </c>
      <c r="C798" s="11" t="s">
        <v>67</v>
      </c>
      <c r="D798" s="12">
        <v>160</v>
      </c>
      <c r="E798" s="12">
        <v>5</v>
      </c>
      <c r="F798" s="12">
        <v>168.42099999999999</v>
      </c>
      <c r="G798" s="337">
        <f>+VLOOKUP(Tabla1103453454455456479116117118120740126148156186254256287328340342343349364366376401413415417419444448449479480481482500501503504505506507508509510511[[#This Row],[ArtÃ­culo]],Tabla34[#All],3,0)</f>
        <v>12.5</v>
      </c>
      <c r="H798" s="338">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2105.2624999999998</v>
      </c>
      <c r="J798" s="8" t="s">
        <v>15</v>
      </c>
      <c r="K798" s="15" t="e">
        <f>+K796/K797</f>
        <v>#N/A</v>
      </c>
    </row>
    <row r="799" spans="2:13" s="40" customFormat="1" x14ac:dyDescent="0.25">
      <c r="B799" s="10" t="s">
        <v>85</v>
      </c>
      <c r="C799" s="11" t="s">
        <v>67</v>
      </c>
      <c r="D799" s="12">
        <v>600</v>
      </c>
      <c r="E799" s="12">
        <v>0</v>
      </c>
      <c r="F799" s="12">
        <v>600</v>
      </c>
      <c r="G799" s="337">
        <f>+VLOOKUP(Tabla1103453454455456479116117118120740126148156186254256287328340342343349364366376401413415417419444448449479480481482500501503504505506507508509510511[[#This Row],[ArtÃ­culo]],Tabla34[#All],3,0)</f>
        <v>4.8816666700000004</v>
      </c>
      <c r="H799" s="338">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2929.0000020000002</v>
      </c>
    </row>
    <row r="800" spans="2:13" s="40" customFormat="1" x14ac:dyDescent="0.25">
      <c r="B800" s="10" t="s">
        <v>1373</v>
      </c>
      <c r="C800" s="11" t="s">
        <v>67</v>
      </c>
      <c r="D800" s="12">
        <v>400</v>
      </c>
      <c r="E800" s="12">
        <v>0</v>
      </c>
      <c r="F800" s="12">
        <v>400</v>
      </c>
      <c r="G800" s="337" t="e">
        <f>+VLOOKUP(Tabla1103453454455456479116117118120740126148156186254256287328340342343349364366376401413415417419444448449479480481482500501503504505506507508509510511[[#This Row],[ArtÃ­culo]],Tabla34[#All],3,0)</f>
        <v>#N/A</v>
      </c>
      <c r="H800" s="338" t="e">
        <f>+Tabla1103453454455456479116117118120740126148156186254256287328340342343349364366376401413415417419444448449479480481482500501503504505506507508509510511[[#This Row],[Coste Componente]]*Tabla1103453454455456479116117118120740126148156186254256287328340342343349364366376401413415417419444448449479480481482500501503504505506507508509510511[[#This Row],[Unidades]]</f>
        <v>#N/A</v>
      </c>
    </row>
    <row r="801" spans="2:13" s="40" customFormat="1" x14ac:dyDescent="0.25">
      <c r="B801" s="16"/>
      <c r="C801" s="17"/>
      <c r="D801" s="17"/>
      <c r="E801" s="17"/>
      <c r="F801" s="17"/>
      <c r="G801" s="18"/>
      <c r="H801" s="18" t="e">
        <f>SUBTOTAL(109,Tabla1103453454455456479116117118120740126148156186254256287328340342343349364366376401413415417419444448449479480481482500501503504505506507508509510511[Coste LÃ­nea])</f>
        <v>#N/A</v>
      </c>
    </row>
    <row r="802" spans="2:13" s="40" customFormat="1" x14ac:dyDescent="0.25"/>
    <row r="804" spans="2:13" s="40" customFormat="1" x14ac:dyDescent="0.25">
      <c r="B804" s="19" t="s">
        <v>1243</v>
      </c>
      <c r="C804" s="2"/>
      <c r="D804" s="2"/>
      <c r="E804" s="3"/>
      <c r="F804" s="3"/>
      <c r="G804" s="3"/>
      <c r="H804" s="3"/>
      <c r="J804" s="399" t="s">
        <v>0</v>
      </c>
      <c r="K804" s="399"/>
    </row>
    <row r="805" spans="2:13" s="40" customFormat="1" x14ac:dyDescent="0.25">
      <c r="B805" s="16" t="s">
        <v>857</v>
      </c>
      <c r="C805" s="17" t="s">
        <v>895</v>
      </c>
      <c r="D805" s="17" t="s">
        <v>892</v>
      </c>
      <c r="E805" s="17" t="s">
        <v>893</v>
      </c>
      <c r="F805" s="17" t="s">
        <v>894</v>
      </c>
      <c r="G805" s="76" t="s">
        <v>901</v>
      </c>
      <c r="H805" s="76" t="s">
        <v>902</v>
      </c>
      <c r="J805" s="8" t="s">
        <v>6</v>
      </c>
      <c r="K805" s="9">
        <f>SUM(Tabla1103453454455456479116117118120740126148156186254256287328340342343349364366376401413415417419444448449479480481482500501503504505506507508509510511512[Coste LÃ­nea])</f>
        <v>19129.005534700002</v>
      </c>
      <c r="M805" s="406" t="s">
        <v>1383</v>
      </c>
    </row>
    <row r="806" spans="2:13" s="40" customFormat="1" x14ac:dyDescent="0.25">
      <c r="B806" s="10" t="s">
        <v>711</v>
      </c>
      <c r="C806" s="11" t="s">
        <v>67</v>
      </c>
      <c r="D806" s="12">
        <v>400</v>
      </c>
      <c r="E806" s="12">
        <v>10</v>
      </c>
      <c r="F806" s="12">
        <v>444.44400000000002</v>
      </c>
      <c r="G806" s="337">
        <f>+VLOOKUP(Tabla1103453454455456479116117118120740126148156186254256287328340342343349364366376401413415417419444448449479480481482500501503504505506507508509510511512[[#This Row],[ArtÃ­culo]],Tabla34[#All],3,0)</f>
        <v>12.5</v>
      </c>
      <c r="H806"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5555.55</v>
      </c>
      <c r="J806" s="8" t="s">
        <v>12</v>
      </c>
      <c r="K806" s="15">
        <f>+K805*5%</f>
        <v>956.4502767350001</v>
      </c>
      <c r="M806" s="384"/>
    </row>
    <row r="807" spans="2:13" s="40" customFormat="1" x14ac:dyDescent="0.25">
      <c r="B807" s="10" t="s">
        <v>680</v>
      </c>
      <c r="C807" s="11" t="s">
        <v>67</v>
      </c>
      <c r="D807" s="12">
        <v>400</v>
      </c>
      <c r="E807" s="12">
        <v>5</v>
      </c>
      <c r="F807" s="12">
        <v>421.053</v>
      </c>
      <c r="G807" s="337">
        <f>+VLOOKUP(Tabla1103453454455456479116117118120740126148156186254256287328340342343349364366376401413415417419444448449479480481482500501503504505506507508509510511512[[#This Row],[ArtÃ­culo]],Tabla34[#All],3,0)</f>
        <v>7.8</v>
      </c>
      <c r="H807"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3284.2134000000001</v>
      </c>
      <c r="J807" s="8" t="s">
        <v>13</v>
      </c>
      <c r="K807" s="15">
        <f>+K805+K806</f>
        <v>20085.455811435</v>
      </c>
    </row>
    <row r="808" spans="2:13" s="40" customFormat="1" x14ac:dyDescent="0.25">
      <c r="B808" s="10" t="s">
        <v>188</v>
      </c>
      <c r="C808" s="11" t="s">
        <v>67</v>
      </c>
      <c r="D808" s="12">
        <v>400</v>
      </c>
      <c r="E808" s="12">
        <v>0</v>
      </c>
      <c r="F808" s="12">
        <v>400</v>
      </c>
      <c r="G808" s="337">
        <f>+VLOOKUP(Tabla1103453454455456479116117118120740126148156186254256287328340342343349364366376401413415417419444448449479480481482500501503504505506507508509510511512[[#This Row],[ArtÃ­culo]],Tabla34[#All],3,0)</f>
        <v>21.777521010000001</v>
      </c>
      <c r="H808"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8711.0084040000002</v>
      </c>
      <c r="J808" s="20" t="s">
        <v>1313</v>
      </c>
      <c r="K808" s="328">
        <v>1310</v>
      </c>
    </row>
    <row r="809" spans="2:13" s="40" customFormat="1" x14ac:dyDescent="0.25">
      <c r="B809" s="10" t="s">
        <v>85</v>
      </c>
      <c r="C809" s="11" t="s">
        <v>67</v>
      </c>
      <c r="D809" s="12">
        <v>160</v>
      </c>
      <c r="E809" s="12">
        <v>0</v>
      </c>
      <c r="F809" s="12">
        <v>160</v>
      </c>
      <c r="G809" s="337">
        <f>+VLOOKUP(Tabla1103453454455456479116117118120740126148156186254256287328340342343349364366376401413415417419444448449479480481482500501503504505506507508509510511512[[#This Row],[ArtÃ­culo]],Tabla34[#All],3,0)</f>
        <v>4.8816666700000004</v>
      </c>
      <c r="H809"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781.0666672000001</v>
      </c>
      <c r="J809" s="8" t="s">
        <v>15</v>
      </c>
      <c r="K809" s="15">
        <f>+K807/K808</f>
        <v>15.332409016362595</v>
      </c>
    </row>
    <row r="810" spans="2:13" s="40" customFormat="1" x14ac:dyDescent="0.25">
      <c r="B810" s="10" t="s">
        <v>1064</v>
      </c>
      <c r="C810" s="11" t="s">
        <v>67</v>
      </c>
      <c r="D810" s="12">
        <v>3</v>
      </c>
      <c r="E810" s="12">
        <v>0</v>
      </c>
      <c r="F810" s="12">
        <v>3</v>
      </c>
      <c r="G810" s="337">
        <f>+VLOOKUP(Tabla1103453454455456479116117118120740126148156186254256287328340342343349364366376401413415417419444448449479480481482500501503504505506507508509510511512[[#This Row],[ArtÃ­culo]],Tabla34[#All],3,0)</f>
        <v>12.5</v>
      </c>
      <c r="H810"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37.5</v>
      </c>
    </row>
    <row r="811" spans="2:13" s="40" customFormat="1" x14ac:dyDescent="0.25">
      <c r="B811" s="10" t="s">
        <v>241</v>
      </c>
      <c r="C811" s="11" t="s">
        <v>67</v>
      </c>
      <c r="D811" s="12">
        <v>50</v>
      </c>
      <c r="E811" s="12">
        <v>0</v>
      </c>
      <c r="F811" s="12">
        <v>50</v>
      </c>
      <c r="G811" s="337">
        <f>+VLOOKUP(Tabla1103453454455456479116117118120740126148156186254256287328340342343349364366376401413415417419444448449479480481482500501503504505506507508509510511512[[#This Row],[ArtÃ­culo]],Tabla34[#All],3,0)</f>
        <v>15.193341269999999</v>
      </c>
      <c r="H811" s="338">
        <f>+Tabla1103453454455456479116117118120740126148156186254256287328340342343349364366376401413415417419444448449479480481482500501503504505506507508509510511512[[#This Row],[Coste Componente]]*Tabla1103453454455456479116117118120740126148156186254256287328340342343349364366376401413415417419444448449479480481482500501503504505506507508509510511512[[#This Row],[Unidades]]</f>
        <v>759.66706349999993</v>
      </c>
    </row>
    <row r="812" spans="2:13" s="40" customFormat="1" x14ac:dyDescent="0.25">
      <c r="B812" s="16"/>
      <c r="C812" s="17"/>
      <c r="D812" s="17"/>
      <c r="E812" s="17"/>
      <c r="F812" s="17"/>
      <c r="G812" s="18"/>
      <c r="H812" s="18">
        <f>SUBTOTAL(109,Tabla1103453454455456479116117118120740126148156186254256287328340342343349364366376401413415417419444448449479480481482500501503504505506507508509510511512[Coste LÃ­nea])</f>
        <v>19129.005534700002</v>
      </c>
    </row>
    <row r="813" spans="2:13" s="40" customFormat="1" x14ac:dyDescent="0.25"/>
    <row r="815" spans="2:13" s="40" customFormat="1" x14ac:dyDescent="0.25">
      <c r="B815" s="19" t="s">
        <v>58</v>
      </c>
      <c r="C815" s="2"/>
      <c r="D815" s="2"/>
      <c r="E815" s="3"/>
      <c r="F815" s="3"/>
      <c r="G815" s="3"/>
      <c r="H815" s="3"/>
      <c r="J815" s="399" t="s">
        <v>0</v>
      </c>
      <c r="K815" s="399"/>
    </row>
    <row r="816" spans="2:13" s="40" customFormat="1" x14ac:dyDescent="0.25">
      <c r="B816" s="16" t="s">
        <v>857</v>
      </c>
      <c r="C816" s="17" t="s">
        <v>895</v>
      </c>
      <c r="D816" s="17" t="s">
        <v>892</v>
      </c>
      <c r="E816" s="17" t="s">
        <v>893</v>
      </c>
      <c r="F816" s="17" t="s">
        <v>894</v>
      </c>
      <c r="G816" s="76" t="s">
        <v>901</v>
      </c>
      <c r="H816" s="76" t="s">
        <v>902</v>
      </c>
      <c r="J816" s="8" t="s">
        <v>6</v>
      </c>
      <c r="K816" s="9">
        <f>SUM(Tabla1103453454455456479116117118120740126148156186254256287328340342343349364366376401413415417419444448449479480481482500501503504505506507508509510511512513[Coste LÃ­nea])</f>
        <v>47925.507943999997</v>
      </c>
      <c r="M816" s="406" t="s">
        <v>1383</v>
      </c>
    </row>
    <row r="817" spans="2:13" s="40" customFormat="1" x14ac:dyDescent="0.25">
      <c r="B817" s="10" t="s">
        <v>716</v>
      </c>
      <c r="C817" s="11" t="s">
        <v>847</v>
      </c>
      <c r="D817" s="12">
        <v>30</v>
      </c>
      <c r="E817" s="12">
        <v>0</v>
      </c>
      <c r="F817" s="12">
        <v>30</v>
      </c>
      <c r="G817" s="337">
        <f>+VLOOKUP(Tabla1103453454455456479116117118120740126148156186254256287328340342343349364366376401413415417419444448449479480481482500501503504505506507508509510511512513[[#This Row],[ArtÃ­culo]],Tabla34[#All],3,0)</f>
        <v>809.99</v>
      </c>
      <c r="H817" s="338">
        <f>+Tabla1103453454455456479116117118120740126148156186254256287328340342343349364366376401413415417419444448449479480481482500501503504505506507508509510511512513[[#This Row],[Coste Componente]]*Tabla1103453454455456479116117118120740126148156186254256287328340342343349364366376401413415417419444448449479480481482500501503504505506507508509510511512513[[#This Row],[Unidades]]</f>
        <v>24299.7</v>
      </c>
      <c r="J817" s="8" t="s">
        <v>12</v>
      </c>
      <c r="K817" s="15">
        <f>+K816*5%</f>
        <v>2396.2753972</v>
      </c>
      <c r="M817" s="384"/>
    </row>
    <row r="818" spans="2:13" s="40" customFormat="1" x14ac:dyDescent="0.25">
      <c r="B818" s="10" t="s">
        <v>619</v>
      </c>
      <c r="C818" s="11" t="s">
        <v>67</v>
      </c>
      <c r="D818" s="12">
        <v>600</v>
      </c>
      <c r="E818" s="12">
        <v>0</v>
      </c>
      <c r="F818" s="12">
        <v>600</v>
      </c>
      <c r="G818" s="337">
        <f>+VLOOKUP(Tabla1103453454455456479116117118120740126148156186254256287328340342343349364366376401413415417419444448449479480481482500501503504505506507508509510511512513[[#This Row],[ArtÃ­culo]],Tabla34[#All],3,0)</f>
        <v>26.27257651</v>
      </c>
      <c r="H818" s="338">
        <f>+Tabla1103453454455456479116117118120740126148156186254256287328340342343349364366376401413415417419444448449479480481482500501503504505506507508509510511512513[[#This Row],[Coste Componente]]*Tabla1103453454455456479116117118120740126148156186254256287328340342343349364366376401413415417419444448449479480481482500501503504505506507508509510511512513[[#This Row],[Unidades]]</f>
        <v>15763.545905999999</v>
      </c>
      <c r="J818" s="8" t="s">
        <v>13</v>
      </c>
      <c r="K818" s="15">
        <f>+K816+K817</f>
        <v>50321.783341199996</v>
      </c>
    </row>
    <row r="819" spans="2:13" s="40" customFormat="1" x14ac:dyDescent="0.25">
      <c r="B819" s="10" t="s">
        <v>753</v>
      </c>
      <c r="C819" s="11" t="s">
        <v>67</v>
      </c>
      <c r="D819" s="12">
        <v>200</v>
      </c>
      <c r="E819" s="12">
        <v>0</v>
      </c>
      <c r="F819" s="12">
        <v>200</v>
      </c>
      <c r="G819" s="337">
        <f>+VLOOKUP(Tabla1103453454455456479116117118120740126148156186254256287328340342343349364366376401413415417419444448449479480481482500501503504505506507508509510511512513[[#This Row],[ArtÃ­culo]],Tabla34[#All],3,0)</f>
        <v>39.31131019</v>
      </c>
      <c r="H819" s="338">
        <f>+Tabla1103453454455456479116117118120740126148156186254256287328340342343349364366376401413415417419444448449479480481482500501503504505506507508509510511512513[[#This Row],[Coste Componente]]*Tabla1103453454455456479116117118120740126148156186254256287328340342343349364366376401413415417419444448449479480481482500501503504505506507508509510511512513[[#This Row],[Unidades]]</f>
        <v>7862.2620379999998</v>
      </c>
      <c r="J819" s="20" t="s">
        <v>1313</v>
      </c>
      <c r="K819" s="328">
        <v>830</v>
      </c>
    </row>
    <row r="820" spans="2:13" s="40" customFormat="1" x14ac:dyDescent="0.25">
      <c r="B820" s="16"/>
      <c r="C820" s="17"/>
      <c r="D820" s="17"/>
      <c r="E820" s="17"/>
      <c r="F820" s="17"/>
      <c r="G820" s="18"/>
      <c r="H820" s="18">
        <f>SUBTOTAL(109,Tabla1103453454455456479116117118120740126148156186254256287328340342343349364366376401413415417419444448449479480481482500501503504505506507508509510511512513[Coste LÃ­nea])</f>
        <v>47925.507943999997</v>
      </c>
      <c r="J820" s="8" t="s">
        <v>15</v>
      </c>
      <c r="K820" s="15">
        <f>+K818/K819</f>
        <v>60.628654627951803</v>
      </c>
    </row>
    <row r="821" spans="2:13" s="40" customFormat="1" x14ac:dyDescent="0.25"/>
    <row r="822" spans="2:13" s="40" customFormat="1" x14ac:dyDescent="0.25">
      <c r="B822" s="19" t="s">
        <v>1082</v>
      </c>
      <c r="C822" s="2"/>
      <c r="D822" s="2"/>
      <c r="E822" s="3"/>
      <c r="F822" s="3"/>
      <c r="G822" s="3"/>
      <c r="H822" s="3"/>
      <c r="J822" s="399" t="s">
        <v>0</v>
      </c>
      <c r="K822" s="399"/>
    </row>
    <row r="823" spans="2:13" s="40" customFormat="1" x14ac:dyDescent="0.25">
      <c r="B823" s="16" t="s">
        <v>857</v>
      </c>
      <c r="C823" s="17" t="s">
        <v>895</v>
      </c>
      <c r="D823" s="17" t="s">
        <v>892</v>
      </c>
      <c r="E823" s="17" t="s">
        <v>893</v>
      </c>
      <c r="F823" s="17" t="s">
        <v>894</v>
      </c>
      <c r="G823" s="76" t="s">
        <v>901</v>
      </c>
      <c r="H823" s="76" t="s">
        <v>902</v>
      </c>
      <c r="J823" s="8" t="s">
        <v>6</v>
      </c>
      <c r="K823" s="9">
        <f>SUM(Tabla1103453454455456479116117118120740126148156186254256287328340342343349364366376401413415417419444448449479480481482500501503504505506507508509510511512513514[Coste LÃ­nea])</f>
        <v>19748.454192509998</v>
      </c>
      <c r="M823" s="406" t="s">
        <v>1383</v>
      </c>
    </row>
    <row r="824" spans="2:13" s="40" customFormat="1" x14ac:dyDescent="0.25">
      <c r="B824" s="10" t="s">
        <v>1194</v>
      </c>
      <c r="C824" s="11" t="s">
        <v>847</v>
      </c>
      <c r="D824" s="12">
        <v>3</v>
      </c>
      <c r="E824" s="12">
        <v>0</v>
      </c>
      <c r="F824" s="12">
        <v>3</v>
      </c>
      <c r="G824" s="337">
        <f>+VLOOKUP(Tabla1103453454455456479116117118120740126148156186254256287328340342343349364366376401413415417419444448449479480481482500501503504505506507508509510511512513514[[#This Row],[ArtÃ­culo]],Tabla34[#All],3,0)</f>
        <v>726.66666667000004</v>
      </c>
      <c r="H824" s="338">
        <f>+Tabla1103453454455456479116117118120740126148156186254256287328340342343349364366376401413415417419444448449479480481482500501503504505506507508509510511512513514[[#This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f>
        <v>2180.0000000099999</v>
      </c>
      <c r="J824" s="8" t="s">
        <v>12</v>
      </c>
      <c r="K824" s="15">
        <f>+K823*5%</f>
        <v>987.42270962549992</v>
      </c>
      <c r="M824" s="384"/>
    </row>
    <row r="825" spans="2:13" s="40" customFormat="1" x14ac:dyDescent="0.25">
      <c r="B825" s="10" t="s">
        <v>631</v>
      </c>
      <c r="C825" s="11" t="s">
        <v>67</v>
      </c>
      <c r="D825" s="12">
        <v>400</v>
      </c>
      <c r="E825" s="12">
        <v>0</v>
      </c>
      <c r="F825" s="12">
        <v>400</v>
      </c>
      <c r="G825" s="337">
        <f>+VLOOKUP(Tabla1103453454455456479116117118120740126148156186254256287328340342343349364366376401413415417419444448449479480481482500501503504505506507508509510511512513514[[#This Row],[ArtÃ­culo]],Tabla34[#All],3,0)</f>
        <v>34.714285709999999</v>
      </c>
      <c r="H825" s="338">
        <f>+Tabla1103453454455456479116117118120740126148156186254256287328340342343349364366376401413415417419444448449479480481482500501503504505506507508509510511512513514[[#This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f>
        <v>13885.714284</v>
      </c>
      <c r="J825" s="8" t="s">
        <v>13</v>
      </c>
      <c r="K825" s="15">
        <f>+K823+K824</f>
        <v>20735.876902135496</v>
      </c>
    </row>
    <row r="826" spans="2:13" s="40" customFormat="1" x14ac:dyDescent="0.25">
      <c r="B826" s="10" t="s">
        <v>91</v>
      </c>
      <c r="C826" s="11" t="s">
        <v>67</v>
      </c>
      <c r="D826" s="12">
        <v>10</v>
      </c>
      <c r="E826" s="12">
        <v>0</v>
      </c>
      <c r="F826" s="12">
        <v>10</v>
      </c>
      <c r="G826" s="337">
        <f>+VLOOKUP(Tabla1103453454455456479116117118120740126148156186254256287328340342343349364366376401413415417419444448449479480481482500501503504505506507508509510511512513514[[#This Row],[ArtÃ­culo]],Tabla34[#All],3,0)</f>
        <v>10.193790849999999</v>
      </c>
      <c r="H826" s="338">
        <f>+Tabla1103453454455456479116117118120740126148156186254256287328340342343349364366376401413415417419444448449479480481482500501503504505506507508509510511512513514[[#This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f>
        <v>101.93790849999999</v>
      </c>
      <c r="J826" s="20" t="s">
        <v>1313</v>
      </c>
      <c r="K826" s="328">
        <v>550</v>
      </c>
    </row>
    <row r="827" spans="2:13" s="40" customFormat="1" x14ac:dyDescent="0.25">
      <c r="B827" s="10" t="s">
        <v>89</v>
      </c>
      <c r="C827" s="11" t="s">
        <v>67</v>
      </c>
      <c r="D827" s="12">
        <v>2</v>
      </c>
      <c r="E827" s="12">
        <v>0</v>
      </c>
      <c r="F827" s="12">
        <v>2</v>
      </c>
      <c r="G827" s="337">
        <f>+VLOOKUP(Tabla1103453454455456479116117118120740126148156186254256287328340342343349364366376401413415417419444448449479480481482500501503504505506507508509510511512513514[[#This Row],[ArtÃ­culo]],Tabla34[#All],3,0)</f>
        <v>2.4009999999999998</v>
      </c>
      <c r="H827" s="338">
        <f>+Tabla1103453454455456479116117118120740126148156186254256287328340342343349364366376401413415417419444448449479480481482500501503504505506507508509510511512513514[[#This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f>
        <v>4.8019999999999996</v>
      </c>
      <c r="J827" s="8" t="s">
        <v>15</v>
      </c>
      <c r="K827" s="15">
        <f>+K825/K826</f>
        <v>37.701594367519085</v>
      </c>
    </row>
    <row r="828" spans="2:13" s="40" customFormat="1" x14ac:dyDescent="0.25">
      <c r="B828" s="10" t="s">
        <v>724</v>
      </c>
      <c r="C828" s="11" t="s">
        <v>67</v>
      </c>
      <c r="D828" s="12">
        <v>200</v>
      </c>
      <c r="E828" s="12">
        <v>0</v>
      </c>
      <c r="F828" s="12">
        <v>200</v>
      </c>
      <c r="G828" s="337">
        <f>+VLOOKUP(Tabla1103453454455456479116117118120740126148156186254256287328340342343349364366376401413415417419444448449479480481482500501503504505506507508509510511512513514[[#This Row],[ArtÃ­culo]],Tabla34[#All],3,0)</f>
        <v>17.88</v>
      </c>
      <c r="H828" s="338">
        <f>+Tabla1103453454455456479116117118120740126148156186254256287328340342343349364366376401413415417419444448449479480481482500501503504505506507508509510511512513514[[#This Row],[Coste Componente]]*Tabla1103453454455456479116117118120740126148156186254256287328340342343349364366376401413415417419444448449479480481482500501503504505506507508509510511512513514[[#This Row],[Unidades]]</f>
        <v>3576</v>
      </c>
    </row>
    <row r="829" spans="2:13" s="40" customFormat="1" x14ac:dyDescent="0.25">
      <c r="B829" s="16"/>
      <c r="C829" s="17"/>
      <c r="D829" s="17"/>
      <c r="E829" s="17"/>
      <c r="F829" s="17"/>
      <c r="G829" s="18"/>
      <c r="H829" s="18">
        <f>SUBTOTAL(109,Tabla1103453454455456479116117118120740126148156186254256287328340342343349364366376401413415417419444448449479480481482500501503504505506507508509510511512513514[Coste LÃ­nea])</f>
        <v>19748.454192509998</v>
      </c>
    </row>
    <row r="830" spans="2:13" s="40" customFormat="1" x14ac:dyDescent="0.25"/>
    <row r="832" spans="2:13" s="40" customFormat="1" x14ac:dyDescent="0.25">
      <c r="B832" s="19" t="s">
        <v>121</v>
      </c>
      <c r="C832" s="2"/>
      <c r="D832" s="2"/>
      <c r="E832" s="3"/>
      <c r="F832" s="3"/>
      <c r="G832" s="3"/>
      <c r="H832" s="3"/>
      <c r="J832" s="399" t="s">
        <v>0</v>
      </c>
      <c r="K832" s="399"/>
    </row>
    <row r="833" spans="2:13" s="40" customFormat="1" x14ac:dyDescent="0.25">
      <c r="B833" s="16" t="s">
        <v>857</v>
      </c>
      <c r="C833" s="17" t="s">
        <v>895</v>
      </c>
      <c r="D833" s="17" t="s">
        <v>892</v>
      </c>
      <c r="E833" s="17" t="s">
        <v>893</v>
      </c>
      <c r="F833" s="17" t="s">
        <v>894</v>
      </c>
      <c r="G833" s="76" t="s">
        <v>901</v>
      </c>
      <c r="H833" s="76" t="s">
        <v>902</v>
      </c>
      <c r="J833" s="8" t="s">
        <v>6</v>
      </c>
      <c r="K833" s="9">
        <f>SUM(Tabla1103453454455456479116117118120740126148156186254256287328340342343349364366376401413415417419444448449479480481482500501503504505506507508509510511512513514515[Coste LÃ­nea])</f>
        <v>30473.5691267</v>
      </c>
      <c r="M833" s="406" t="s">
        <v>1383</v>
      </c>
    </row>
    <row r="834" spans="2:13" s="40" customFormat="1" x14ac:dyDescent="0.25">
      <c r="B834" s="10" t="s">
        <v>619</v>
      </c>
      <c r="C834" s="11" t="s">
        <v>67</v>
      </c>
      <c r="D834" s="12">
        <v>1000</v>
      </c>
      <c r="E834" s="12">
        <v>0</v>
      </c>
      <c r="F834" s="12">
        <v>1000</v>
      </c>
      <c r="G834" s="337">
        <f>+VLOOKUP(Tabla1103453454455456479116117118120740126148156186254256287328340342343349364366376401413415417419444448449479480481482500501503504505506507508509510511512513514515[[#This Row],[ArtÃ­culo]],Tabla34[#All],3,0)</f>
        <v>26.27257651</v>
      </c>
      <c r="H834" s="338">
        <f>+Tabla1103453454455456479116117118120740126148156186254256287328340342343349364366376401413415417419444448449479480481482500501503504505506507508509510511512513514515[[#This Row],[Coste Componente]]*Tabla1103453454455456479116117118120740126148156186254256287328340342343349364366376401413415417419444448449479480481482500501503504505506507508509510511512513514515[[#This Row],[Unidades]]</f>
        <v>26272.576509999999</v>
      </c>
      <c r="J834" s="8" t="s">
        <v>12</v>
      </c>
      <c r="K834" s="15">
        <f>+K833*5%</f>
        <v>1523.6784563350002</v>
      </c>
      <c r="M834" s="384"/>
    </row>
    <row r="835" spans="2:13" s="40" customFormat="1" x14ac:dyDescent="0.25">
      <c r="B835" s="10" t="s">
        <v>657</v>
      </c>
      <c r="C835" s="11" t="s">
        <v>67</v>
      </c>
      <c r="D835" s="12">
        <v>200</v>
      </c>
      <c r="E835" s="12">
        <v>0</v>
      </c>
      <c r="F835" s="12">
        <v>200</v>
      </c>
      <c r="G835" s="337">
        <f>+VLOOKUP(Tabla1103453454455456479116117118120740126148156186254256287328340342343349364366376401413415417419444448449479480481482500501503504505506507508509510511512513514515[[#This Row],[ArtÃ­culo]],Tabla34[#All],3,0)</f>
        <v>18</v>
      </c>
      <c r="H835" s="338">
        <f>+Tabla1103453454455456479116117118120740126148156186254256287328340342343349364366376401413415417419444448449479480481482500501503504505506507508509510511512513514515[[#This Row],[Coste Componente]]*Tabla1103453454455456479116117118120740126148156186254256287328340342343349364366376401413415417419444448449479480481482500501503504505506507508509510511512513514515[[#This Row],[Unidades]]</f>
        <v>3600</v>
      </c>
      <c r="J835" s="8" t="s">
        <v>13</v>
      </c>
      <c r="K835" s="15">
        <f>+K833+K834</f>
        <v>31997.247583035001</v>
      </c>
    </row>
    <row r="836" spans="2:13" s="40" customFormat="1" x14ac:dyDescent="0.25">
      <c r="B836" s="10" t="s">
        <v>89</v>
      </c>
      <c r="C836" s="11" t="s">
        <v>67</v>
      </c>
      <c r="D836" s="12">
        <v>12</v>
      </c>
      <c r="E836" s="12">
        <v>0</v>
      </c>
      <c r="F836" s="12">
        <v>12</v>
      </c>
      <c r="G836" s="337">
        <f>+VLOOKUP(Tabla1103453454455456479116117118120740126148156186254256287328340342343349364366376401413415417419444448449479480481482500501503504505506507508509510511512513514515[[#This Row],[ArtÃ­culo]],Tabla34[#All],3,0)</f>
        <v>2.4009999999999998</v>
      </c>
      <c r="H836" s="338">
        <f>+Tabla1103453454455456479116117118120740126148156186254256287328340342343349364366376401413415417419444448449479480481482500501503504505506507508509510511512513514515[[#This Row],[Coste Componente]]*Tabla1103453454455456479116117118120740126148156186254256287328340342343349364366376401413415417419444448449479480481482500501503504505506507508509510511512513514515[[#This Row],[Unidades]]</f>
        <v>28.811999999999998</v>
      </c>
      <c r="J836" s="20" t="s">
        <v>1313</v>
      </c>
      <c r="K836" s="328">
        <v>1200</v>
      </c>
    </row>
    <row r="837" spans="2:13" s="40" customFormat="1" x14ac:dyDescent="0.25">
      <c r="B837" s="10" t="s">
        <v>840</v>
      </c>
      <c r="C837" s="11" t="s">
        <v>67</v>
      </c>
      <c r="D837" s="12">
        <v>10</v>
      </c>
      <c r="E837" s="12">
        <v>0</v>
      </c>
      <c r="F837" s="12">
        <v>10</v>
      </c>
      <c r="G837" s="337">
        <f>+VLOOKUP(Tabla1103453454455456479116117118120740126148156186254256287328340342343349364366376401413415417419444448449479480481482500501503504505506507508509510511512513514515[[#This Row],[ArtÃ­culo]],Tabla34[#All],3,0)</f>
        <v>57.218061669999997</v>
      </c>
      <c r="H837" s="338">
        <f>+Tabla1103453454455456479116117118120740126148156186254256287328340342343349364366376401413415417419444448449479480481482500501503504505506507508509510511512513514515[[#This Row],[Coste Componente]]*Tabla1103453454455456479116117118120740126148156186254256287328340342343349364366376401413415417419444448449479480481482500501503504505506507508509510511512513514515[[#This Row],[Unidades]]</f>
        <v>572.18061669999997</v>
      </c>
      <c r="J837" s="8" t="s">
        <v>15</v>
      </c>
      <c r="K837" s="15">
        <f>+K835/K836</f>
        <v>26.664372985862499</v>
      </c>
    </row>
    <row r="838" spans="2:13" s="40" customFormat="1" x14ac:dyDescent="0.25">
      <c r="B838" s="16"/>
      <c r="C838" s="17"/>
      <c r="D838" s="17"/>
      <c r="E838" s="17"/>
      <c r="F838" s="17"/>
      <c r="G838" s="18"/>
      <c r="H838" s="18">
        <f>SUBTOTAL(109,Tabla1103453454455456479116117118120740126148156186254256287328340342343349364366376401413415417419444448449479480481482500501503504505506507508509510511512513514515[Coste LÃ­nea])</f>
        <v>30473.5691267</v>
      </c>
    </row>
    <row r="839" spans="2:13" s="40" customFormat="1" x14ac:dyDescent="0.25"/>
    <row r="841" spans="2:13" s="40" customFormat="1" x14ac:dyDescent="0.25">
      <c r="B841" s="19" t="s">
        <v>340</v>
      </c>
      <c r="C841" s="2"/>
      <c r="D841" s="2"/>
      <c r="E841" s="3"/>
      <c r="F841" s="3"/>
      <c r="G841" s="3"/>
      <c r="H841" s="3"/>
      <c r="J841" s="399" t="s">
        <v>0</v>
      </c>
      <c r="K841" s="399"/>
    </row>
    <row r="842" spans="2:13" s="40" customFormat="1" x14ac:dyDescent="0.25">
      <c r="B842" s="16" t="s">
        <v>857</v>
      </c>
      <c r="C842" s="17" t="s">
        <v>895</v>
      </c>
      <c r="D842" s="17" t="s">
        <v>892</v>
      </c>
      <c r="E842" s="17" t="s">
        <v>893</v>
      </c>
      <c r="F842" s="17" t="s">
        <v>894</v>
      </c>
      <c r="G842" s="76" t="s">
        <v>901</v>
      </c>
      <c r="H842" s="76" t="s">
        <v>902</v>
      </c>
      <c r="J842" s="8" t="s">
        <v>6</v>
      </c>
      <c r="K842" s="9">
        <f>SUM(Tabla1103453454455456479116117118120740126148156186254256287328340342343349364366376401413415417419444448449479480481482500501503504505506507508509510511512513514515516[Coste LÃ­nea])</f>
        <v>18924.0344</v>
      </c>
      <c r="M842" s="406" t="s">
        <v>1383</v>
      </c>
    </row>
    <row r="843" spans="2:13" s="40" customFormat="1" x14ac:dyDescent="0.25">
      <c r="B843" s="10" t="s">
        <v>662</v>
      </c>
      <c r="C843" s="11" t="s">
        <v>67</v>
      </c>
      <c r="D843" s="12">
        <v>500</v>
      </c>
      <c r="E843" s="12">
        <v>10</v>
      </c>
      <c r="F843" s="12">
        <v>555.55600000000004</v>
      </c>
      <c r="G843" s="337">
        <f>+VLOOKUP(Tabla1103453454455456479116117118120740126148156186254256287328340342343349364366376401413415417419444448449479480481482500501503504505506507508509510511512513514515516[[#This Row],[ArtÃ­culo]],Tabla34[#All],3,0)</f>
        <v>32</v>
      </c>
      <c r="H843"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17777.792000000001</v>
      </c>
      <c r="J843" s="8" t="s">
        <v>12</v>
      </c>
      <c r="K843" s="15">
        <f>+K842*5%</f>
        <v>946.20172000000002</v>
      </c>
      <c r="M843" s="384"/>
    </row>
    <row r="844" spans="2:13" s="40" customFormat="1" x14ac:dyDescent="0.25">
      <c r="B844" s="10" t="s">
        <v>38</v>
      </c>
      <c r="C844" s="11" t="s">
        <v>67</v>
      </c>
      <c r="D844" s="12">
        <v>1000</v>
      </c>
      <c r="E844" s="12">
        <v>0</v>
      </c>
      <c r="F844" s="12">
        <v>1000</v>
      </c>
      <c r="G844" s="337">
        <f>+VLOOKUP(Tabla1103453454455456479116117118120740126148156186254256287328340342343349364366376401413415417419444448449479480481482500501503504505506507508509510511512513514515516[[#This Row],[ArtÃ­culo]],Tabla34[#All],3,0)</f>
        <v>0</v>
      </c>
      <c r="H844"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0</v>
      </c>
      <c r="J844" s="8" t="s">
        <v>13</v>
      </c>
      <c r="K844" s="15">
        <f>+K842+K843</f>
        <v>19870.236120000001</v>
      </c>
    </row>
    <row r="845" spans="2:13" s="40" customFormat="1" x14ac:dyDescent="0.25">
      <c r="B845" s="10" t="s">
        <v>634</v>
      </c>
      <c r="C845" s="11" t="s">
        <v>67</v>
      </c>
      <c r="D845" s="12">
        <v>20</v>
      </c>
      <c r="E845" s="12">
        <v>0</v>
      </c>
      <c r="F845" s="12">
        <v>20</v>
      </c>
      <c r="G845" s="337">
        <f>+VLOOKUP(Tabla1103453454455456479116117118120740126148156186254256287328340342343349364366376401413415417419444448449479480481482500501503504505506507508509510511512513514515516[[#This Row],[ArtÃ­culo]],Tabla34[#All],3,0)</f>
        <v>8.9250000000000007</v>
      </c>
      <c r="H845"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178.5</v>
      </c>
      <c r="J845" s="20" t="s">
        <v>1313</v>
      </c>
      <c r="K845" s="328">
        <v>4</v>
      </c>
    </row>
    <row r="846" spans="2:13" s="40" customFormat="1" x14ac:dyDescent="0.25">
      <c r="B846" s="10" t="s">
        <v>687</v>
      </c>
      <c r="C846" s="11" t="s">
        <v>67</v>
      </c>
      <c r="D846" s="12">
        <v>40</v>
      </c>
      <c r="E846" s="12">
        <v>17</v>
      </c>
      <c r="F846" s="12">
        <v>48.192999999999998</v>
      </c>
      <c r="G846" s="337">
        <f>+VLOOKUP(Tabla1103453454455456479116117118120740126148156186254256287328340342343349364366376401413415417419444448449479480481482500501503504505506507508509510511512513514515516[[#This Row],[ArtÃ­culo]],Tabla34[#All],3,0)</f>
        <v>2.8</v>
      </c>
      <c r="H846"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134.94039999999998</v>
      </c>
      <c r="J846" s="8" t="s">
        <v>15</v>
      </c>
      <c r="K846" s="15">
        <f>+K844/K845</f>
        <v>4967.5590300000003</v>
      </c>
    </row>
    <row r="847" spans="2:13" s="40" customFormat="1" x14ac:dyDescent="0.25">
      <c r="B847" s="10" t="s">
        <v>710</v>
      </c>
      <c r="C847" s="11" t="s">
        <v>67</v>
      </c>
      <c r="D847" s="12">
        <v>40</v>
      </c>
      <c r="E847" s="12">
        <v>20</v>
      </c>
      <c r="F847" s="12">
        <v>50</v>
      </c>
      <c r="G847" s="337">
        <f>+VLOOKUP(Tabla1103453454455456479116117118120740126148156186254256287328340342343349364366376401413415417419444448449479480481482500501503504505506507508509510511512513514515516[[#This Row],[ArtÃ­culo]],Tabla34[#All],3,0)</f>
        <v>2.5</v>
      </c>
      <c r="H847"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125</v>
      </c>
    </row>
    <row r="848" spans="2:13" s="40" customFormat="1" x14ac:dyDescent="0.25">
      <c r="B848" s="10" t="s">
        <v>824</v>
      </c>
      <c r="C848" s="11" t="s">
        <v>67</v>
      </c>
      <c r="D848" s="12">
        <v>30</v>
      </c>
      <c r="E848" s="12">
        <v>13</v>
      </c>
      <c r="F848" s="12">
        <v>34.482999999999997</v>
      </c>
      <c r="G848" s="337">
        <f>+VLOOKUP(Tabla1103453454455456479116117118120740126148156186254256287328340342343349364366376401413415417419444448449479480481482500501503504505506507508509510511512513514515516[[#This Row],[ArtÃ­culo]],Tabla34[#All],3,0)</f>
        <v>19</v>
      </c>
      <c r="H848"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655.17699999999991</v>
      </c>
    </row>
    <row r="849" spans="2:13" s="40" customFormat="1" x14ac:dyDescent="0.25">
      <c r="B849" s="10" t="s">
        <v>976</v>
      </c>
      <c r="C849" s="11" t="s">
        <v>67</v>
      </c>
      <c r="D849" s="12">
        <v>2</v>
      </c>
      <c r="E849" s="12">
        <v>5</v>
      </c>
      <c r="F849" s="12">
        <v>2.105</v>
      </c>
      <c r="G849" s="337">
        <f>+VLOOKUP(Tabla1103453454455456479116117118120740126148156186254256287328340342343349364366376401413415417419444448449479480481482500501503504505506507508509510511512513514515516[[#This Row],[ArtÃ­culo]],Tabla34[#All],3,0)</f>
        <v>25</v>
      </c>
      <c r="H849" s="338">
        <f>+Tabla1103453454455456479116117118120740126148156186254256287328340342343349364366376401413415417419444448449479480481482500501503504505506507508509510511512513514515516[[#This Row],[Coste Componente]]*Tabla1103453454455456479116117118120740126148156186254256287328340342343349364366376401413415417419444448449479480481482500501503504505506507508509510511512513514515516[[#This Row],[Unidades]]</f>
        <v>52.625</v>
      </c>
    </row>
    <row r="850" spans="2:13" s="40" customFormat="1" x14ac:dyDescent="0.25">
      <c r="B850" s="16"/>
      <c r="C850" s="17"/>
      <c r="D850" s="17"/>
      <c r="E850" s="17"/>
      <c r="F850" s="17"/>
      <c r="G850" s="18"/>
      <c r="H850" s="18">
        <f>SUBTOTAL(109,Tabla1103453454455456479116117118120740126148156186254256287328340342343349364366376401413415417419444448449479480481482500501503504505506507508509510511512513514515516[Coste LÃ­nea])</f>
        <v>18924.0344</v>
      </c>
    </row>
    <row r="851" spans="2:13" s="40" customFormat="1" x14ac:dyDescent="0.25"/>
    <row r="852" spans="2:13" s="40" customFormat="1" x14ac:dyDescent="0.25">
      <c r="B852" s="19" t="s">
        <v>163</v>
      </c>
      <c r="C852" s="2"/>
      <c r="D852" s="2"/>
      <c r="E852" s="3"/>
      <c r="F852" s="3"/>
      <c r="G852" s="3"/>
      <c r="H852" s="3"/>
      <c r="J852" s="399" t="s">
        <v>0</v>
      </c>
      <c r="K852" s="399"/>
    </row>
    <row r="853" spans="2:13" s="40" customFormat="1" x14ac:dyDescent="0.25">
      <c r="B853" s="16" t="s">
        <v>857</v>
      </c>
      <c r="C853" s="17" t="s">
        <v>895</v>
      </c>
      <c r="D853" s="17" t="s">
        <v>892</v>
      </c>
      <c r="E853" s="17" t="s">
        <v>893</v>
      </c>
      <c r="F853" s="17" t="s">
        <v>894</v>
      </c>
      <c r="G853" s="76" t="s">
        <v>901</v>
      </c>
      <c r="H853" s="76" t="s">
        <v>902</v>
      </c>
      <c r="J853" s="8" t="s">
        <v>6</v>
      </c>
      <c r="K853" s="9">
        <f>SUM(Tabla1103453454455456479116117118120740126148156186254256287328340342343349364366376401413415417419444448449479480481482500501503504505506507508509510511512513514515516517[Coste LÃ­nea])</f>
        <v>33337.316721690004</v>
      </c>
      <c r="M853" s="406" t="s">
        <v>1383</v>
      </c>
    </row>
    <row r="854" spans="2:13" s="40" customFormat="1" x14ac:dyDescent="0.25">
      <c r="B854" s="10" t="s">
        <v>1084</v>
      </c>
      <c r="C854" s="11" t="s">
        <v>67</v>
      </c>
      <c r="D854" s="12">
        <v>400</v>
      </c>
      <c r="E854" s="12">
        <v>0</v>
      </c>
      <c r="F854" s="12">
        <v>400</v>
      </c>
      <c r="G854" s="337">
        <f>+VLOOKUP(Tabla1103453454455456479116117118120740126148156186254256287328340342343349364366376401413415417419444448449479480481482500501503504505506507508509510511512513514515516517[[#This Row],[ArtÃ­culo]],Tabla34[#All],3,0)</f>
        <v>39.333333330000002</v>
      </c>
      <c r="H854"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15733.333332</v>
      </c>
      <c r="J854" s="8" t="s">
        <v>12</v>
      </c>
      <c r="K854" s="15">
        <f>+K853*5%</f>
        <v>1666.8658360845002</v>
      </c>
      <c r="M854" s="384"/>
    </row>
    <row r="855" spans="2:13" s="40" customFormat="1" x14ac:dyDescent="0.25">
      <c r="B855" s="10" t="s">
        <v>724</v>
      </c>
      <c r="C855" s="11" t="s">
        <v>67</v>
      </c>
      <c r="D855" s="12">
        <v>500</v>
      </c>
      <c r="E855" s="12">
        <v>0</v>
      </c>
      <c r="F855" s="12">
        <v>500</v>
      </c>
      <c r="G855" s="337">
        <f>+VLOOKUP(Tabla1103453454455456479116117118120740126148156186254256287328340342343349364366376401413415417419444448449479480481482500501503504505506507508509510511512513514515516517[[#This Row],[ArtÃ­culo]],Tabla34[#All],3,0)</f>
        <v>17.88</v>
      </c>
      <c r="H855"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8940</v>
      </c>
      <c r="J855" s="8" t="s">
        <v>13</v>
      </c>
      <c r="K855" s="15">
        <f>+K853+K854</f>
        <v>35004.182557774504</v>
      </c>
    </row>
    <row r="856" spans="2:13" s="40" customFormat="1" x14ac:dyDescent="0.25">
      <c r="B856" s="10" t="s">
        <v>648</v>
      </c>
      <c r="C856" s="11" t="s">
        <v>67</v>
      </c>
      <c r="D856" s="12">
        <v>100</v>
      </c>
      <c r="E856" s="12">
        <v>0</v>
      </c>
      <c r="F856" s="12">
        <v>100</v>
      </c>
      <c r="G856" s="337">
        <f>+VLOOKUP(Tabla1103453454455456479116117118120740126148156186254256287328340342343349364366376401413415417419444448449479480481482500501503504505506507508509510511512513514515516517[[#This Row],[ArtÃ­culo]],Tabla34[#All],3,0)</f>
        <v>10.890823879999999</v>
      </c>
      <c r="H856"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1089.0823879999998</v>
      </c>
      <c r="J856" s="20" t="s">
        <v>1313</v>
      </c>
      <c r="K856" s="328">
        <v>1500</v>
      </c>
    </row>
    <row r="857" spans="2:13" s="40" customFormat="1" x14ac:dyDescent="0.25">
      <c r="B857" s="10" t="s">
        <v>89</v>
      </c>
      <c r="C857" s="11" t="s">
        <v>67</v>
      </c>
      <c r="D857" s="12">
        <v>1</v>
      </c>
      <c r="E857" s="12">
        <v>0</v>
      </c>
      <c r="F857" s="12">
        <v>1</v>
      </c>
      <c r="G857" s="337">
        <f>+VLOOKUP(Tabla1103453454455456479116117118120740126148156186254256287328340342343349364366376401413415417419444448449479480481482500501503504505506507508509510511512513514515516517[[#This Row],[ArtÃ­culo]],Tabla34[#All],3,0)</f>
        <v>2.4009999999999998</v>
      </c>
      <c r="H857"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2.4009999999999998</v>
      </c>
      <c r="J857" s="8" t="s">
        <v>15</v>
      </c>
      <c r="K857" s="15">
        <f>+K855/K856</f>
        <v>23.336121705183004</v>
      </c>
    </row>
    <row r="858" spans="2:13" s="40" customFormat="1" x14ac:dyDescent="0.25">
      <c r="B858" s="10" t="s">
        <v>1194</v>
      </c>
      <c r="C858" s="11" t="s">
        <v>847</v>
      </c>
      <c r="D858" s="12">
        <v>7</v>
      </c>
      <c r="E858" s="12">
        <v>0</v>
      </c>
      <c r="F858" s="12">
        <v>7</v>
      </c>
      <c r="G858" s="337">
        <f>+VLOOKUP(Tabla1103453454455456479116117118120740126148156186254256287328340342343349364366376401413415417419444448449479480481482500501503504505506507508509510511512513514515516517[[#This Row],[ArtÃ­culo]],Tabla34[#All],3,0)</f>
        <v>726.66666667000004</v>
      </c>
      <c r="H858"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5086.6666666900001</v>
      </c>
    </row>
    <row r="859" spans="2:13" s="40" customFormat="1" x14ac:dyDescent="0.25">
      <c r="B859" s="10" t="s">
        <v>85</v>
      </c>
      <c r="C859" s="11" t="s">
        <v>67</v>
      </c>
      <c r="D859" s="12">
        <v>500</v>
      </c>
      <c r="E859" s="12">
        <v>0</v>
      </c>
      <c r="F859" s="12">
        <v>500</v>
      </c>
      <c r="G859" s="337">
        <f>+VLOOKUP(Tabla1103453454455456479116117118120740126148156186254256287328340342343349364366376401413415417419444448449479480481482500501503504505506507508509510511512513514515516517[[#This Row],[ArtÃ­culo]],Tabla34[#All],3,0)</f>
        <v>4.8816666700000004</v>
      </c>
      <c r="H859"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2440.8333350000003</v>
      </c>
    </row>
    <row r="860" spans="2:13" s="40" customFormat="1" x14ac:dyDescent="0.25">
      <c r="B860" s="10" t="s">
        <v>835</v>
      </c>
      <c r="C860" s="11" t="s">
        <v>67</v>
      </c>
      <c r="D860" s="12">
        <v>10</v>
      </c>
      <c r="E860" s="12">
        <v>0</v>
      </c>
      <c r="F860" s="12">
        <v>10</v>
      </c>
      <c r="G860" s="337">
        <f>+VLOOKUP(Tabla1103453454455456479116117118120740126148156186254256287328340342343349364366376401413415417419444448449479480481482500501503504505506507508509510511512513514515516517[[#This Row],[ArtÃ­culo]],Tabla34[#All],3,0)</f>
        <v>4.5</v>
      </c>
      <c r="H860" s="338">
        <f>+Tabla1103453454455456479116117118120740126148156186254256287328340342343349364366376401413415417419444448449479480481482500501503504505506507508509510511512513514515516517[[#This Row],[Coste Componente]]*Tabla1103453454455456479116117118120740126148156186254256287328340342343349364366376401413415417419444448449479480481482500501503504505506507508509510511512513514515516517[[#This Row],[Unidades]]</f>
        <v>45</v>
      </c>
    </row>
    <row r="861" spans="2:13" s="40" customFormat="1" x14ac:dyDescent="0.25">
      <c r="B861" s="16"/>
      <c r="C861" s="17"/>
      <c r="D861" s="17"/>
      <c r="E861" s="17"/>
      <c r="F861" s="17"/>
      <c r="G861" s="18"/>
      <c r="H861" s="18">
        <f>SUBTOTAL(109,Tabla1103453454455456479116117118120740126148156186254256287328340342343349364366376401413415417419444448449479480481482500501503504505506507508509510511512513514515516517[Coste LÃ­nea])</f>
        <v>33337.316721690004</v>
      </c>
    </row>
    <row r="862" spans="2:13" s="40" customFormat="1" x14ac:dyDescent="0.25"/>
    <row r="864" spans="2:13" s="40" customFormat="1" x14ac:dyDescent="0.25">
      <c r="B864" s="19" t="s">
        <v>41</v>
      </c>
      <c r="C864" s="2"/>
      <c r="D864" s="2"/>
      <c r="E864" s="3"/>
      <c r="F864" s="3"/>
      <c r="G864" s="3"/>
      <c r="H864" s="3"/>
      <c r="J864" s="399" t="s">
        <v>0</v>
      </c>
      <c r="K864" s="399"/>
    </row>
    <row r="865" spans="2:13" s="40" customFormat="1" x14ac:dyDescent="0.25">
      <c r="B865" s="16" t="s">
        <v>857</v>
      </c>
      <c r="C865" s="17" t="s">
        <v>895</v>
      </c>
      <c r="D865" s="17" t="s">
        <v>892</v>
      </c>
      <c r="E865" s="17" t="s">
        <v>893</v>
      </c>
      <c r="F865" s="17" t="s">
        <v>894</v>
      </c>
      <c r="G865" s="76" t="s">
        <v>901</v>
      </c>
      <c r="H865" s="76" t="s">
        <v>902</v>
      </c>
      <c r="J865" s="8" t="s">
        <v>6</v>
      </c>
      <c r="K865" s="9">
        <f>SUM(Tabla1103453454455456479116117118120740126148156186254256287328340342343349364366376401413415417419444448449479480481482500501503504505506507508509510511512513514515516517518[Coste LÃ­nea])</f>
        <v>7868.1156205700008</v>
      </c>
      <c r="M865" s="406" t="s">
        <v>1383</v>
      </c>
    </row>
    <row r="866" spans="2:13" s="40" customFormat="1" x14ac:dyDescent="0.25">
      <c r="B866" s="10" t="s">
        <v>708</v>
      </c>
      <c r="C866" s="11" t="s">
        <v>67</v>
      </c>
      <c r="D866" s="12">
        <v>500</v>
      </c>
      <c r="E866" s="12">
        <v>10</v>
      </c>
      <c r="F866" s="12">
        <v>555.55600000000004</v>
      </c>
      <c r="G866" s="337">
        <f>+VLOOKUP(Tabla1103453454455456479116117118120740126148156186254256287328340342343349364366376401413415417419444448449479480481482500501503504505506507508509510511512513514515516517518[[#This Row],[ArtÃ­culo]],Tabla34[#All],3,0)</f>
        <v>11</v>
      </c>
      <c r="H866"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6111.116</v>
      </c>
      <c r="J866" s="8" t="s">
        <v>12</v>
      </c>
      <c r="K866" s="15">
        <f>+K865*5%</f>
        <v>393.40578102850009</v>
      </c>
      <c r="M866" s="384"/>
    </row>
    <row r="867" spans="2:13" s="40" customFormat="1" x14ac:dyDescent="0.25">
      <c r="B867" s="10" t="s">
        <v>748</v>
      </c>
      <c r="C867" s="11" t="s">
        <v>67</v>
      </c>
      <c r="D867" s="12">
        <v>2</v>
      </c>
      <c r="E867" s="12">
        <v>5</v>
      </c>
      <c r="F867" s="12">
        <v>2.105</v>
      </c>
      <c r="G867" s="337">
        <f>+VLOOKUP(Tabla1103453454455456479116117118120740126148156186254256287328340342343349364366376401413415417419444448449479480481482500501503504505506507508509510511512513514515516517518[[#This Row],[ArtÃ­culo]],Tabla34[#All],3,0)</f>
        <v>10.5</v>
      </c>
      <c r="H867"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22.102499999999999</v>
      </c>
      <c r="J867" s="8" t="s">
        <v>13</v>
      </c>
      <c r="K867" s="15">
        <f>+K865+K866</f>
        <v>8261.5214015985002</v>
      </c>
    </row>
    <row r="868" spans="2:13" s="40" customFormat="1" x14ac:dyDescent="0.25">
      <c r="B868" s="10" t="s">
        <v>824</v>
      </c>
      <c r="C868" s="11" t="s">
        <v>67</v>
      </c>
      <c r="D868" s="12">
        <v>32</v>
      </c>
      <c r="E868" s="12">
        <v>13</v>
      </c>
      <c r="F868" s="12">
        <v>36.781999999999996</v>
      </c>
      <c r="G868" s="337">
        <f>+VLOOKUP(Tabla1103453454455456479116117118120740126148156186254256287328340342343349364366376401413415417419444448449479480481482500501503504505506507508509510511512513514515516517518[[#This Row],[ArtÃ­culo]],Tabla34[#All],3,0)</f>
        <v>19</v>
      </c>
      <c r="H868"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698.85799999999995</v>
      </c>
      <c r="J868" s="20" t="s">
        <v>1313</v>
      </c>
      <c r="K868" s="328">
        <v>456</v>
      </c>
    </row>
    <row r="869" spans="2:13" s="40" customFormat="1" x14ac:dyDescent="0.25">
      <c r="B869" s="10" t="s">
        <v>89</v>
      </c>
      <c r="C869" s="11" t="s">
        <v>67</v>
      </c>
      <c r="D869" s="12">
        <v>4</v>
      </c>
      <c r="E869" s="12">
        <v>0</v>
      </c>
      <c r="F869" s="12">
        <v>4</v>
      </c>
      <c r="G869" s="337">
        <f>+VLOOKUP(Tabla1103453454455456479116117118120740126148156186254256287328340342343349364366376401413415417419444448449479480481482500501503504505506507508509510511512513514515516517518[[#This Row],[ArtÃ­culo]],Tabla34[#All],3,0)</f>
        <v>2.4009999999999998</v>
      </c>
      <c r="H869"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9.6039999999999992</v>
      </c>
      <c r="J869" s="8" t="s">
        <v>15</v>
      </c>
      <c r="K869" s="15">
        <f>+K867/K868</f>
        <v>18.117371494733554</v>
      </c>
    </row>
    <row r="870" spans="2:13" s="40" customFormat="1" x14ac:dyDescent="0.25">
      <c r="B870" s="10" t="s">
        <v>85</v>
      </c>
      <c r="C870" s="11" t="s">
        <v>67</v>
      </c>
      <c r="D870" s="12">
        <v>20</v>
      </c>
      <c r="E870" s="12">
        <v>0</v>
      </c>
      <c r="F870" s="12">
        <v>20</v>
      </c>
      <c r="G870" s="337">
        <f>+VLOOKUP(Tabla1103453454455456479116117118120740126148156186254256287328340342343349364366376401413415417419444448449479480481482500501503504505506507508509510511512513514515516517518[[#This Row],[ArtÃ­culo]],Tabla34[#All],3,0)</f>
        <v>4.8816666700000004</v>
      </c>
      <c r="H870"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97.633333400000012</v>
      </c>
    </row>
    <row r="871" spans="2:13" s="40" customFormat="1" x14ac:dyDescent="0.25">
      <c r="B871" s="10" t="s">
        <v>840</v>
      </c>
      <c r="C871" s="11" t="s">
        <v>67</v>
      </c>
      <c r="D871" s="12">
        <v>1</v>
      </c>
      <c r="E871" s="12">
        <v>0</v>
      </c>
      <c r="F871" s="12">
        <v>1</v>
      </c>
      <c r="G871" s="337">
        <f>+VLOOKUP(Tabla1103453454455456479116117118120740126148156186254256287328340342343349364366376401413415417419444448449479480481482500501503504505506507508509510511512513514515516517518[[#This Row],[ArtÃ­culo]],Tabla34[#All],3,0)</f>
        <v>57.218061669999997</v>
      </c>
      <c r="H871"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57.218061669999997</v>
      </c>
    </row>
    <row r="872" spans="2:13" s="40" customFormat="1" x14ac:dyDescent="0.25">
      <c r="B872" s="10" t="s">
        <v>91</v>
      </c>
      <c r="C872" s="11" t="s">
        <v>67</v>
      </c>
      <c r="D872" s="12">
        <v>30</v>
      </c>
      <c r="E872" s="12">
        <v>0</v>
      </c>
      <c r="F872" s="12">
        <v>30</v>
      </c>
      <c r="G872" s="337">
        <f>+VLOOKUP(Tabla1103453454455456479116117118120740126148156186254256287328340342343349364366376401413415417419444448449479480481482500501503504505506507508509510511512513514515516517518[[#This Row],[ArtÃ­culo]],Tabla34[#All],3,0)</f>
        <v>10.193790849999999</v>
      </c>
      <c r="H872"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305.81372549999998</v>
      </c>
    </row>
    <row r="873" spans="2:13" s="40" customFormat="1" x14ac:dyDescent="0.25">
      <c r="B873" s="10" t="s">
        <v>92</v>
      </c>
      <c r="C873" s="11" t="s">
        <v>67</v>
      </c>
      <c r="D873" s="12">
        <v>30</v>
      </c>
      <c r="E873" s="12">
        <v>0</v>
      </c>
      <c r="F873" s="12">
        <v>30</v>
      </c>
      <c r="G873" s="337">
        <f>+VLOOKUP(Tabla1103453454455456479116117118120740126148156186254256287328340342343349364366376401413415417419444448449479480481482500501503504505506507508509510511512513514515516517518[[#This Row],[ArtÃ­culo]],Tabla34[#All],3,0)</f>
        <v>18.859000000000002</v>
      </c>
      <c r="H873" s="338">
        <f>+Tabla1103453454455456479116117118120740126148156186254256287328340342343349364366376401413415417419444448449479480481482500501503504505506507508509510511512513514515516517518[[#This Row],[Coste Componente]]*Tabla1103453454455456479116117118120740126148156186254256287328340342343349364366376401413415417419444448449479480481482500501503504505506507508509510511512513514515516517518[[#This Row],[Unidades]]</f>
        <v>565.7700000000001</v>
      </c>
    </row>
    <row r="874" spans="2:13" s="40" customFormat="1" x14ac:dyDescent="0.25">
      <c r="B874" s="16"/>
      <c r="C874" s="17"/>
      <c r="D874" s="17"/>
      <c r="E874" s="17"/>
      <c r="F874" s="17"/>
      <c r="G874" s="18"/>
      <c r="H874" s="18">
        <f>SUBTOTAL(109,Tabla1103453454455456479116117118120740126148156186254256287328340342343349364366376401413415417419444448449479480481482500501503504505506507508509510511512513514515516517518[Coste LÃ­nea])</f>
        <v>7868.1156205700008</v>
      </c>
    </row>
    <row r="875" spans="2:13" s="40" customFormat="1" x14ac:dyDescent="0.25"/>
    <row r="877" spans="2:13" s="40" customFormat="1" x14ac:dyDescent="0.25">
      <c r="B877" s="19" t="s">
        <v>838</v>
      </c>
      <c r="C877" s="2"/>
      <c r="D877" s="2"/>
      <c r="E877" s="3"/>
      <c r="F877" s="3"/>
      <c r="G877" s="3"/>
      <c r="H877" s="3"/>
      <c r="J877" s="399" t="s">
        <v>0</v>
      </c>
      <c r="K877" s="399"/>
    </row>
    <row r="878" spans="2:13" s="40" customFormat="1" x14ac:dyDescent="0.25">
      <c r="B878" s="16" t="s">
        <v>857</v>
      </c>
      <c r="C878" s="17" t="s">
        <v>895</v>
      </c>
      <c r="D878" s="17" t="s">
        <v>892</v>
      </c>
      <c r="E878" s="17" t="s">
        <v>893</v>
      </c>
      <c r="F878" s="17" t="s">
        <v>894</v>
      </c>
      <c r="G878" s="76" t="s">
        <v>901</v>
      </c>
      <c r="H878" s="76" t="s">
        <v>902</v>
      </c>
      <c r="J878" s="8" t="s">
        <v>6</v>
      </c>
      <c r="K878" s="9">
        <f>SUM(Tabla1103453454455456479116117118120740126148156186254256287328340342343349364366376401413415417419444448449479480481482500501503504505506507508509510511512513514515516517518520[Coste LÃ­nea])</f>
        <v>334900</v>
      </c>
      <c r="M878" s="406" t="s">
        <v>1383</v>
      </c>
    </row>
    <row r="879" spans="2:13" s="40" customFormat="1" x14ac:dyDescent="0.25">
      <c r="B879" s="10" t="s">
        <v>625</v>
      </c>
      <c r="C879" s="11" t="s">
        <v>67</v>
      </c>
      <c r="D879" s="12">
        <v>10000</v>
      </c>
      <c r="E879" s="12">
        <v>0</v>
      </c>
      <c r="F879" s="12">
        <v>10000</v>
      </c>
      <c r="G879" s="337">
        <f>+VLOOKUP(Tabla1103453454455456479116117118120740126148156186254256287328340342343349364366376401413415417419444448449479480481482500501503504505506507508509510511512513514515516517518520[[#This Row],[ArtÃ­culo]],Tabla34[#All],3,0)</f>
        <v>33.49</v>
      </c>
      <c r="H879" s="338">
        <f>+Tabla1103453454455456479116117118120740126148156186254256287328340342343349364366376401413415417419444448449479480481482500501503504505506507508509510511512513514515516517518520[[#This Row],[Coste Componente]]*Tabla1103453454455456479116117118120740126148156186254256287328340342343349364366376401413415417419444448449479480481482500501503504505506507508509510511512513514515516517518520[[#This Row],[Unidades]]</f>
        <v>334900</v>
      </c>
      <c r="J879" s="8" t="s">
        <v>12</v>
      </c>
      <c r="K879" s="15">
        <f>+K878*5%</f>
        <v>16745</v>
      </c>
      <c r="M879" s="384"/>
    </row>
    <row r="880" spans="2:13" s="40" customFormat="1" x14ac:dyDescent="0.25">
      <c r="B880" s="16"/>
      <c r="C880" s="17"/>
      <c r="D880" s="17"/>
      <c r="E880" s="17"/>
      <c r="F880" s="17"/>
      <c r="G880" s="18"/>
      <c r="H880" s="18">
        <f>SUBTOTAL(109,Tabla1103453454455456479116117118120740126148156186254256287328340342343349364366376401413415417419444448449479480481482500501503504505506507508509510511512513514515516517518520[Coste LÃ­nea])</f>
        <v>334900</v>
      </c>
      <c r="J880" s="8" t="s">
        <v>13</v>
      </c>
      <c r="K880" s="15">
        <f>+K878+K879</f>
        <v>351645</v>
      </c>
    </row>
    <row r="881" spans="2:13" s="40" customFormat="1" x14ac:dyDescent="0.25">
      <c r="J881" s="20" t="s">
        <v>1313</v>
      </c>
      <c r="K881" s="328">
        <v>80.5</v>
      </c>
    </row>
    <row r="882" spans="2:13" s="40" customFormat="1" x14ac:dyDescent="0.25">
      <c r="J882" s="8" t="s">
        <v>15</v>
      </c>
      <c r="K882" s="15">
        <f>+K880/K881</f>
        <v>4368.260869565217</v>
      </c>
    </row>
    <row r="883" spans="2:13" s="40" customFormat="1" x14ac:dyDescent="0.25"/>
    <row r="885" spans="2:13" s="40" customFormat="1" x14ac:dyDescent="0.25">
      <c r="B885" s="19" t="s">
        <v>314</v>
      </c>
      <c r="C885" s="2"/>
      <c r="D885" s="2"/>
      <c r="E885" s="3"/>
      <c r="F885" s="3"/>
      <c r="G885" s="3"/>
      <c r="H885" s="3"/>
      <c r="J885" s="399" t="s">
        <v>0</v>
      </c>
      <c r="K885" s="399"/>
    </row>
    <row r="886" spans="2:13" s="40" customFormat="1" x14ac:dyDescent="0.25">
      <c r="B886" s="16" t="s">
        <v>857</v>
      </c>
      <c r="C886" s="17" t="s">
        <v>895</v>
      </c>
      <c r="D886" s="17" t="s">
        <v>892</v>
      </c>
      <c r="E886" s="17" t="s">
        <v>893</v>
      </c>
      <c r="F886" s="17" t="s">
        <v>894</v>
      </c>
      <c r="G886" s="76" t="s">
        <v>901</v>
      </c>
      <c r="H886" s="76" t="s">
        <v>902</v>
      </c>
      <c r="J886" s="8" t="s">
        <v>6</v>
      </c>
      <c r="K886" s="9">
        <f>SUM(Tabla1103453454455456479116117118120740126148156186254256287328340342343349364366376401413415417419444448449479480481482500501503504505506507508509510511512513514515516517518520521[Coste LÃ­nea])</f>
        <v>6724.2806019000009</v>
      </c>
      <c r="M886" s="406" t="s">
        <v>1383</v>
      </c>
    </row>
    <row r="887" spans="2:13" s="40" customFormat="1" x14ac:dyDescent="0.25">
      <c r="B887" s="10" t="s">
        <v>677</v>
      </c>
      <c r="C887" s="11" t="s">
        <v>67</v>
      </c>
      <c r="D887" s="12">
        <v>1200</v>
      </c>
      <c r="E887" s="12">
        <v>30</v>
      </c>
      <c r="F887" s="12">
        <v>1714.2860000000001</v>
      </c>
      <c r="G887" s="337">
        <f>+VLOOKUP(Tabla1103453454455456479116117118120740126148156186254256287328340342343349364366376401413415417419444448449479480481482500501503504505506507508509510511512513514515516517518520521[[#This Row],[ArtÃ­culo]],Tabla34[#All],3,0)</f>
        <v>2.5</v>
      </c>
      <c r="H887" s="338">
        <f>+Tabla1103453454455456479116117118120740126148156186254256287328340342343349364366376401413415417419444448449479480481482500501503504505506507508509510511512513514515516517518520521[[#This Row],[Coste Componente]]*Tabla1103453454455456479116117118120740126148156186254256287328340342343349364366376401413415417419444448449479480481482500501503504505506507508509510511512513514515516517518520521[[#This Row],[Unidades]]</f>
        <v>4285.7150000000001</v>
      </c>
      <c r="J887" s="8" t="s">
        <v>12</v>
      </c>
      <c r="K887" s="15">
        <f>+K886*5%</f>
        <v>336.21403009500006</v>
      </c>
      <c r="M887" s="384"/>
    </row>
    <row r="888" spans="2:13" s="40" customFormat="1" x14ac:dyDescent="0.25">
      <c r="B888" s="10" t="s">
        <v>835</v>
      </c>
      <c r="C888" s="11" t="s">
        <v>67</v>
      </c>
      <c r="D888" s="12">
        <v>100</v>
      </c>
      <c r="E888" s="12">
        <v>78</v>
      </c>
      <c r="F888" s="12">
        <v>454.54500000000002</v>
      </c>
      <c r="G888" s="337">
        <f>+VLOOKUP(Tabla1103453454455456479116117118120740126148156186254256287328340342343349364366376401413415417419444448449479480481482500501503504505506507508509510511512513514515516517518520521[[#This Row],[ArtÃ­culo]],Tabla34[#All],3,0)</f>
        <v>4.5</v>
      </c>
      <c r="H888" s="338">
        <f>+Tabla1103453454455456479116117118120740126148156186254256287328340342343349364366376401413415417419444448449479480481482500501503504505506507508509510511512513514515516517518520521[[#This Row],[Coste Componente]]*Tabla1103453454455456479116117118120740126148156186254256287328340342343349364366376401413415417419444448449479480481482500501503504505506507508509510511512513514515516517518520521[[#This Row],[Unidades]]</f>
        <v>2045.4525000000001</v>
      </c>
      <c r="J888" s="8" t="s">
        <v>13</v>
      </c>
      <c r="K888" s="15">
        <f>+K886+K887</f>
        <v>7060.4946319950013</v>
      </c>
    </row>
    <row r="889" spans="2:13" s="40" customFormat="1" x14ac:dyDescent="0.25">
      <c r="B889" s="10" t="s">
        <v>753</v>
      </c>
      <c r="C889" s="11" t="s">
        <v>67</v>
      </c>
      <c r="D889" s="12">
        <v>10</v>
      </c>
      <c r="E889" s="12">
        <v>0</v>
      </c>
      <c r="F889" s="12">
        <v>10</v>
      </c>
      <c r="G889" s="337">
        <f>+VLOOKUP(Tabla1103453454455456479116117118120740126148156186254256287328340342343349364366376401413415417419444448449479480481482500501503504505506507508509510511512513514515516517518520521[[#This Row],[ArtÃ­culo]],Tabla34[#All],3,0)</f>
        <v>39.31131019</v>
      </c>
      <c r="H889" s="338">
        <f>+Tabla1103453454455456479116117118120740126148156186254256287328340342343349364366376401413415417419444448449479480481482500501503504505506507508509510511512513514515516517518520521[[#This Row],[Coste Componente]]*Tabla1103453454455456479116117118120740126148156186254256287328340342343349364366376401413415417419444448449479480481482500501503504505506507508509510511512513514515516517518520521[[#This Row],[Unidades]]</f>
        <v>393.1131019</v>
      </c>
      <c r="J889" s="20" t="s">
        <v>1313</v>
      </c>
      <c r="K889" s="328">
        <v>720</v>
      </c>
    </row>
    <row r="890" spans="2:13" s="40" customFormat="1" x14ac:dyDescent="0.25">
      <c r="B890" s="16"/>
      <c r="C890" s="17"/>
      <c r="D890" s="17"/>
      <c r="E890" s="17"/>
      <c r="F890" s="17"/>
      <c r="G890" s="18"/>
      <c r="H890" s="18">
        <f>SUBTOTAL(109,Tabla1103453454455456479116117118120740126148156186254256287328340342343349364366376401413415417419444448449479480481482500501503504505506507508509510511512513514515516517518520521[Coste LÃ­nea])</f>
        <v>6724.2806019000009</v>
      </c>
      <c r="J890" s="8" t="s">
        <v>15</v>
      </c>
      <c r="K890" s="15">
        <f>+K888/K889</f>
        <v>9.8062425444375023</v>
      </c>
    </row>
    <row r="891" spans="2:13" s="40" customFormat="1" x14ac:dyDescent="0.25"/>
    <row r="893" spans="2:13" s="40" customFormat="1" x14ac:dyDescent="0.25">
      <c r="B893" s="19" t="s">
        <v>281</v>
      </c>
      <c r="C893" s="2"/>
      <c r="D893" s="2"/>
      <c r="E893" s="3"/>
      <c r="F893" s="3"/>
      <c r="G893" s="3"/>
      <c r="H893" s="3"/>
      <c r="J893" s="399" t="s">
        <v>0</v>
      </c>
      <c r="K893" s="399"/>
    </row>
    <row r="894" spans="2:13" s="40" customFormat="1" x14ac:dyDescent="0.25">
      <c r="B894" s="16" t="s">
        <v>857</v>
      </c>
      <c r="C894" s="17" t="s">
        <v>895</v>
      </c>
      <c r="D894" s="17" t="s">
        <v>892</v>
      </c>
      <c r="E894" s="17" t="s">
        <v>893</v>
      </c>
      <c r="F894" s="17" t="s">
        <v>894</v>
      </c>
      <c r="G894" s="76" t="s">
        <v>901</v>
      </c>
      <c r="H894" s="76" t="s">
        <v>902</v>
      </c>
      <c r="J894" s="8" t="s">
        <v>6</v>
      </c>
      <c r="K894" s="9">
        <f>SUM(Tabla1103453454455456479116117118120740126148156186254256287328340342343349364366376401413415417419444448449479480481482500501503504505506507508509510511512513514515516517518520521522[Coste LÃ­nea])</f>
        <v>36805.190205499995</v>
      </c>
      <c r="M894" s="406" t="s">
        <v>1383</v>
      </c>
    </row>
    <row r="895" spans="2:13" s="40" customFormat="1" x14ac:dyDescent="0.25">
      <c r="B895" s="10" t="s">
        <v>798</v>
      </c>
      <c r="C895" s="11" t="s">
        <v>67</v>
      </c>
      <c r="D895" s="12">
        <v>420</v>
      </c>
      <c r="E895" s="12">
        <v>78</v>
      </c>
      <c r="F895" s="12">
        <v>1909.0909999999999</v>
      </c>
      <c r="G895" s="337">
        <f>+VLOOKUP(Tabla1103453454455456479116117118120740126148156186254256287328340342343349364366376401413415417419444448449479480481482500501503504505506507508509510511512513514515516517518520521522[[#This Row],[ArtÃ­culo]],Tabla34[#All],3,0)</f>
        <v>4.5</v>
      </c>
      <c r="H895"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8590.9094999999998</v>
      </c>
      <c r="J895" s="8" t="s">
        <v>12</v>
      </c>
      <c r="K895" s="15">
        <f>+K894*5%</f>
        <v>1840.2595102749999</v>
      </c>
      <c r="M895" s="384"/>
    </row>
    <row r="896" spans="2:13" s="40" customFormat="1" x14ac:dyDescent="0.25">
      <c r="B896" s="10" t="s">
        <v>709</v>
      </c>
      <c r="C896" s="11" t="s">
        <v>67</v>
      </c>
      <c r="D896" s="12">
        <v>500</v>
      </c>
      <c r="E896" s="12">
        <v>70</v>
      </c>
      <c r="F896" s="12">
        <v>1666.6669999999999</v>
      </c>
      <c r="G896" s="337">
        <f>+VLOOKUP(Tabla1103453454455456479116117118120740126148156186254256287328340342343349364366376401413415417419444448449479480481482500501503504505506507508509510511512513514515516517518520521522[[#This Row],[ArtÃ­culo]],Tabla34[#All],3,0)</f>
        <v>3.2</v>
      </c>
      <c r="H896"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5333.3343999999997</v>
      </c>
      <c r="J896" s="8" t="s">
        <v>13</v>
      </c>
      <c r="K896" s="15">
        <f>+K894+K895</f>
        <v>38645.449715774994</v>
      </c>
    </row>
    <row r="897" spans="2:13" s="40" customFormat="1" x14ac:dyDescent="0.25">
      <c r="B897" s="10" t="s">
        <v>714</v>
      </c>
      <c r="C897" s="11" t="s">
        <v>67</v>
      </c>
      <c r="D897" s="12">
        <v>410</v>
      </c>
      <c r="E897" s="12">
        <v>70</v>
      </c>
      <c r="F897" s="12">
        <v>1366.6669999999999</v>
      </c>
      <c r="G897" s="337">
        <f>+VLOOKUP(Tabla1103453454455456479116117118120740126148156186254256287328340342343349364366376401413415417419444448449479480481482500501503504505506507508509510511512513514515516517518520521522[[#This Row],[ArtÃ­culo]],Tabla34[#All],3,0)</f>
        <v>5.5</v>
      </c>
      <c r="H897"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7516.6684999999998</v>
      </c>
      <c r="J897" s="20" t="s">
        <v>1313</v>
      </c>
      <c r="K897" s="328">
        <v>1300</v>
      </c>
    </row>
    <row r="898" spans="2:13" s="40" customFormat="1" x14ac:dyDescent="0.25">
      <c r="B898" s="10" t="s">
        <v>1055</v>
      </c>
      <c r="C898" s="11" t="s">
        <v>67</v>
      </c>
      <c r="D898" s="12">
        <v>60</v>
      </c>
      <c r="E898" s="12">
        <v>0</v>
      </c>
      <c r="F898" s="12">
        <v>60</v>
      </c>
      <c r="G898" s="337">
        <f>+VLOOKUP(Tabla1103453454455456479116117118120740126148156186254256287328340342343349364366376401413415417419444448449479480481482500501503504505506507508509510511512513514515516517518520521522[[#This Row],[ArtÃ­culo]],Tabla34[#All],3,0)</f>
        <v>89.67</v>
      </c>
      <c r="H898"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5380.2</v>
      </c>
      <c r="J898" s="8" t="s">
        <v>15</v>
      </c>
      <c r="K898" s="15">
        <f>+K896/K897</f>
        <v>29.727269012134609</v>
      </c>
    </row>
    <row r="899" spans="2:13" s="40" customFormat="1" x14ac:dyDescent="0.25">
      <c r="B899" s="10" t="s">
        <v>88</v>
      </c>
      <c r="C899" s="11" t="s">
        <v>67</v>
      </c>
      <c r="D899" s="12">
        <v>40</v>
      </c>
      <c r="E899" s="12">
        <v>0</v>
      </c>
      <c r="F899" s="12">
        <v>40</v>
      </c>
      <c r="G899" s="337">
        <f>+VLOOKUP(Tabla1103453454455456479116117118120740126148156186254256287328340342343349364366376401413415417419444448449479480481482500501503504505506507508509510511512513514515516517518520521522[[#This Row],[ArtÃ­culo]],Tabla34[#All],3,0)</f>
        <v>45.428217600000004</v>
      </c>
      <c r="H899"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1817.1287040000002</v>
      </c>
    </row>
    <row r="900" spans="2:13" s="40" customFormat="1" x14ac:dyDescent="0.25">
      <c r="B900" s="10" t="s">
        <v>89</v>
      </c>
      <c r="C900" s="11" t="s">
        <v>67</v>
      </c>
      <c r="D900" s="12">
        <v>30</v>
      </c>
      <c r="E900" s="12">
        <v>0</v>
      </c>
      <c r="F900" s="12">
        <v>30</v>
      </c>
      <c r="G900" s="337">
        <f>+VLOOKUP(Tabla1103453454455456479116117118120740126148156186254256287328340342343349364366376401413415417419444448449479480481482500501503504505506507508509510511512513514515516517518520521522[[#This Row],[ArtÃ­culo]],Tabla34[#All],3,0)</f>
        <v>2.4009999999999998</v>
      </c>
      <c r="H900"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72.03</v>
      </c>
    </row>
    <row r="901" spans="2:13" s="40" customFormat="1" x14ac:dyDescent="0.25">
      <c r="B901" s="10" t="s">
        <v>92</v>
      </c>
      <c r="C901" s="11" t="s">
        <v>67</v>
      </c>
      <c r="D901" s="12">
        <v>200</v>
      </c>
      <c r="E901" s="12">
        <v>0</v>
      </c>
      <c r="F901" s="12">
        <v>200</v>
      </c>
      <c r="G901" s="337">
        <f>+VLOOKUP(Tabla1103453454455456479116117118120740126148156186254256287328340342343349364366376401413415417419444448449479480481482500501503504505506507508509510511512513514515516517518520521522[[#This Row],[ArtÃ­culo]],Tabla34[#All],3,0)</f>
        <v>18.859000000000002</v>
      </c>
      <c r="H901"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3771.8</v>
      </c>
    </row>
    <row r="902" spans="2:13" s="40" customFormat="1" x14ac:dyDescent="0.25">
      <c r="B902" s="10" t="s">
        <v>91</v>
      </c>
      <c r="C902" s="11" t="s">
        <v>67</v>
      </c>
      <c r="D902" s="12">
        <v>80</v>
      </c>
      <c r="E902" s="12">
        <v>0</v>
      </c>
      <c r="F902" s="12">
        <v>80</v>
      </c>
      <c r="G902" s="337">
        <f>+VLOOKUP(Tabla1103453454455456479116117118120740126148156186254256287328340342343349364366376401413415417419444448449479480481482500501503504505506507508509510511512513514515516517518520521522[[#This Row],[ArtÃ­culo]],Tabla34[#All],3,0)</f>
        <v>10.193790849999999</v>
      </c>
      <c r="H902"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815.50326799999993</v>
      </c>
    </row>
    <row r="903" spans="2:13" s="40" customFormat="1" x14ac:dyDescent="0.25">
      <c r="B903" s="10" t="s">
        <v>86</v>
      </c>
      <c r="C903" s="11" t="s">
        <v>67</v>
      </c>
      <c r="D903" s="12">
        <v>40</v>
      </c>
      <c r="E903" s="12">
        <v>0</v>
      </c>
      <c r="F903" s="12">
        <v>40</v>
      </c>
      <c r="G903" s="337">
        <f>+VLOOKUP(Tabla1103453454455456479116117118120740126148156186254256287328340342343349364366376401413415417419444448449479480481482500501503504505506507508509510511512513514515516517518520521522[[#This Row],[ArtÃ­culo]],Tabla34[#All],3,0)</f>
        <v>37.630499999999998</v>
      </c>
      <c r="H903"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1505.2199999999998</v>
      </c>
    </row>
    <row r="904" spans="2:13" s="40" customFormat="1" x14ac:dyDescent="0.25">
      <c r="B904" s="10" t="s">
        <v>212</v>
      </c>
      <c r="C904" s="11" t="s">
        <v>67</v>
      </c>
      <c r="D904" s="12">
        <v>50</v>
      </c>
      <c r="E904" s="12">
        <v>0</v>
      </c>
      <c r="F904" s="12">
        <v>50</v>
      </c>
      <c r="G904" s="337">
        <f>+VLOOKUP(Tabla1103453454455456479116117118120740126148156186254256287328340342343349364366376401413415417419444448449479480481482500501503504505506507508509510511512513514515516517518520521522[[#This Row],[ArtÃ­culo]],Tabla34[#All],3,0)</f>
        <v>40.047916669999999</v>
      </c>
      <c r="H904" s="338">
        <f>+Tabla1103453454455456479116117118120740126148156186254256287328340342343349364366376401413415417419444448449479480481482500501503504505506507508509510511512513514515516517518520521522[[#This Row],[Coste Componente]]*Tabla1103453454455456479116117118120740126148156186254256287328340342343349364366376401413415417419444448449479480481482500501503504505506507508509510511512513514515516517518520521522[[#This Row],[Unidades]]</f>
        <v>2002.3958335</v>
      </c>
    </row>
    <row r="905" spans="2:13" s="40" customFormat="1" x14ac:dyDescent="0.25">
      <c r="B905" s="16"/>
      <c r="C905" s="17"/>
      <c r="D905" s="17"/>
      <c r="E905" s="17"/>
      <c r="F905" s="17"/>
      <c r="G905" s="18"/>
      <c r="H905" s="18">
        <f>SUBTOTAL(109,Tabla1103453454455456479116117118120740126148156186254256287328340342343349364366376401413415417419444448449479480481482500501503504505506507508509510511512513514515516517518520521522[Coste LÃ­nea])</f>
        <v>36805.190205499995</v>
      </c>
    </row>
    <row r="906" spans="2:13" s="40" customFormat="1" x14ac:dyDescent="0.25"/>
    <row r="908" spans="2:13" s="40" customFormat="1" x14ac:dyDescent="0.25">
      <c r="B908" s="19" t="s">
        <v>156</v>
      </c>
      <c r="C908" s="2"/>
      <c r="D908" s="2"/>
      <c r="E908" s="3"/>
      <c r="F908" s="3"/>
      <c r="G908" s="3"/>
      <c r="H908" s="3"/>
      <c r="J908" s="399" t="s">
        <v>0</v>
      </c>
      <c r="K908" s="399"/>
    </row>
    <row r="909" spans="2:13" s="40" customFormat="1" x14ac:dyDescent="0.25">
      <c r="B909" s="16" t="s">
        <v>857</v>
      </c>
      <c r="C909" s="17" t="s">
        <v>895</v>
      </c>
      <c r="D909" s="17" t="s">
        <v>892</v>
      </c>
      <c r="E909" s="17" t="s">
        <v>893</v>
      </c>
      <c r="F909" s="17" t="s">
        <v>894</v>
      </c>
      <c r="G909" s="76" t="s">
        <v>901</v>
      </c>
      <c r="H909" s="76" t="s">
        <v>902</v>
      </c>
      <c r="J909" s="8" t="s">
        <v>6</v>
      </c>
      <c r="K909" s="9">
        <f>SUM(Tabla1103453454455456479116117118120740126148156186254256287328340342343349364366376401413415417419444448449479480481482500501503504505506507508509510511512513514515516517518520521522523[Coste LÃ­nea])</f>
        <v>12508.24243941</v>
      </c>
      <c r="M909" s="406" t="s">
        <v>1383</v>
      </c>
    </row>
    <row r="910" spans="2:13" s="40" customFormat="1" x14ac:dyDescent="0.25">
      <c r="B910" s="10" t="s">
        <v>201</v>
      </c>
      <c r="C910" s="11" t="s">
        <v>67</v>
      </c>
      <c r="D910" s="12">
        <v>500</v>
      </c>
      <c r="E910" s="12">
        <v>0</v>
      </c>
      <c r="F910" s="12">
        <v>500</v>
      </c>
      <c r="G910" s="337">
        <f>+VLOOKUP(Tabla1103453454455456479116117118120740126148156186254256287328340342343349364366376401413415417419444448449479480481482500501503504505506507508509510511512513514515516517518520521522523[[#This Row],[ArtÃ­culo]],Tabla34[#All],3,0)</f>
        <v>23</v>
      </c>
      <c r="H910"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11500</v>
      </c>
      <c r="J910" s="8" t="s">
        <v>12</v>
      </c>
      <c r="K910" s="15">
        <f>+K909*5%</f>
        <v>625.41212197050004</v>
      </c>
      <c r="M910" s="384"/>
    </row>
    <row r="911" spans="2:13" s="40" customFormat="1" x14ac:dyDescent="0.25">
      <c r="B911" s="10" t="s">
        <v>85</v>
      </c>
      <c r="C911" s="11" t="s">
        <v>67</v>
      </c>
      <c r="D911" s="12">
        <v>25</v>
      </c>
      <c r="E911" s="12">
        <v>0</v>
      </c>
      <c r="F911" s="12">
        <v>25</v>
      </c>
      <c r="G911" s="337">
        <f>+VLOOKUP(Tabla1103453454455456479116117118120740126148156186254256287328340342343349364366376401413415417419444448449479480481482500501503504505506507508509510511512513514515516517518520521522523[[#This Row],[ArtÃ­culo]],Tabla34[#All],3,0)</f>
        <v>4.8816666700000004</v>
      </c>
      <c r="H911"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122.04166675</v>
      </c>
      <c r="J911" s="8" t="s">
        <v>13</v>
      </c>
      <c r="K911" s="15">
        <f>+K909+K910</f>
        <v>13133.654561380499</v>
      </c>
    </row>
    <row r="912" spans="2:13" s="40" customFormat="1" x14ac:dyDescent="0.25">
      <c r="B912" s="10" t="s">
        <v>1113</v>
      </c>
      <c r="C912" s="11" t="s">
        <v>67</v>
      </c>
      <c r="D912" s="12">
        <v>20</v>
      </c>
      <c r="E912" s="12">
        <v>0</v>
      </c>
      <c r="F912" s="12">
        <v>20</v>
      </c>
      <c r="G912" s="337">
        <f>+VLOOKUP(Tabla1103453454455456479116117118120740126148156186254256287328340342343349364366376401413415417419444448449479480481482500501503504505506507508509510511512513514515516517518520521522523[[#This Row],[ArtÃ­culo]],Tabla34[#All],3,0)</f>
        <v>9.9206088000000001</v>
      </c>
      <c r="H912"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198.41217599999999</v>
      </c>
      <c r="J912" s="20" t="s">
        <v>1313</v>
      </c>
      <c r="K912" s="328">
        <v>4</v>
      </c>
    </row>
    <row r="913" spans="2:13" s="40" customFormat="1" x14ac:dyDescent="0.25">
      <c r="B913" s="10" t="s">
        <v>312</v>
      </c>
      <c r="C913" s="11" t="s">
        <v>67</v>
      </c>
      <c r="D913" s="12">
        <v>16</v>
      </c>
      <c r="E913" s="12">
        <v>0</v>
      </c>
      <c r="F913" s="12">
        <v>16</v>
      </c>
      <c r="G913" s="337">
        <f>+VLOOKUP(Tabla1103453454455456479116117118120740126148156186254256287328340342343349364366376401413415417419444448449479480481482500501503504505506507508509510511512513514515516517518520521522523[[#This Row],[ArtÃ­culo]],Tabla34[#All],3,0)</f>
        <v>4.2671999999999999</v>
      </c>
      <c r="H913"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68.275199999999998</v>
      </c>
      <c r="J913" s="8" t="s">
        <v>15</v>
      </c>
      <c r="K913" s="15">
        <f>+K911/K912</f>
        <v>3283.4136403451248</v>
      </c>
    </row>
    <row r="914" spans="2:13" s="40" customFormat="1" x14ac:dyDescent="0.25">
      <c r="B914" s="10" t="s">
        <v>89</v>
      </c>
      <c r="C914" s="11" t="s">
        <v>67</v>
      </c>
      <c r="D914" s="12">
        <v>1</v>
      </c>
      <c r="E914" s="12">
        <v>0</v>
      </c>
      <c r="F914" s="12">
        <v>1</v>
      </c>
      <c r="G914" s="337">
        <f>+VLOOKUP(Tabla1103453454455456479116117118120740126148156186254256287328340342343349364366376401413415417419444448449479480481482500501503504505506507508509510511512513514515516517518520521522523[[#This Row],[ArtÃ­culo]],Tabla34[#All],3,0)</f>
        <v>2.4009999999999998</v>
      </c>
      <c r="H914"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2.4009999999999998</v>
      </c>
    </row>
    <row r="915" spans="2:13" s="40" customFormat="1" x14ac:dyDescent="0.25">
      <c r="B915" s="10" t="s">
        <v>1370</v>
      </c>
      <c r="C915" s="11" t="s">
        <v>67</v>
      </c>
      <c r="D915" s="12">
        <v>2</v>
      </c>
      <c r="E915" s="12">
        <v>0</v>
      </c>
      <c r="F915" s="12">
        <v>2</v>
      </c>
      <c r="G915" s="337">
        <f>+VLOOKUP(Tabla1103453454455456479116117118120740126148156186254256287328340342343349364366376401413415417419444448449479480481482500501503504505506507508509510511512513514515516517518520521522523[[#This Row],[ArtÃ­culo]],Tabla34[#All],3,0)</f>
        <v>4.8041983300000002</v>
      </c>
      <c r="H915"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9.6083966600000004</v>
      </c>
    </row>
    <row r="916" spans="2:13" s="40" customFormat="1" x14ac:dyDescent="0.25">
      <c r="B916" s="10" t="s">
        <v>303</v>
      </c>
      <c r="C916" s="11" t="s">
        <v>67</v>
      </c>
      <c r="D916" s="12">
        <v>50</v>
      </c>
      <c r="E916" s="12">
        <v>0</v>
      </c>
      <c r="F916" s="12">
        <v>50</v>
      </c>
      <c r="G916" s="337">
        <f>+VLOOKUP(Tabla1103453454455456479116117118120740126148156186254256287328340342343349364366376401413415417419444448449479480481482500501503504505506507508509510511512513514515516517518520521522523[[#This Row],[ArtÃ­culo]],Tabla34[#All],3,0)</f>
        <v>12.150080000000001</v>
      </c>
      <c r="H916" s="338">
        <f>+Tabla1103453454455456479116117118120740126148156186254256287328340342343349364366376401413415417419444448449479480481482500501503504505506507508509510511512513514515516517518520521522523[[#This Row],[Coste Componente]]*Tabla1103453454455456479116117118120740126148156186254256287328340342343349364366376401413415417419444448449479480481482500501503504505506507508509510511512513514515516517518520521522523[[#This Row],[Unidades]]</f>
        <v>607.50400000000002</v>
      </c>
    </row>
    <row r="917" spans="2:13" s="40" customFormat="1" x14ac:dyDescent="0.25">
      <c r="B917" s="16"/>
      <c r="C917" s="17"/>
      <c r="D917" s="17"/>
      <c r="E917" s="17"/>
      <c r="F917" s="17"/>
      <c r="G917" s="18"/>
      <c r="H917" s="18">
        <f>SUBTOTAL(109,Tabla1103453454455456479116117118120740126148156186254256287328340342343349364366376401413415417419444448449479480481482500501503504505506507508509510511512513514515516517518520521522523[Coste LÃ­nea])</f>
        <v>12508.24243941</v>
      </c>
    </row>
    <row r="918" spans="2:13" s="40" customFormat="1" x14ac:dyDescent="0.25"/>
    <row r="920" spans="2:13" s="40" customFormat="1" x14ac:dyDescent="0.25">
      <c r="B920" s="19" t="s">
        <v>42</v>
      </c>
      <c r="C920" s="2"/>
      <c r="D920" s="2"/>
      <c r="E920" s="3"/>
      <c r="F920" s="3"/>
      <c r="G920" s="3"/>
      <c r="H920" s="3"/>
      <c r="J920" s="399" t="s">
        <v>0</v>
      </c>
      <c r="K920" s="399"/>
    </row>
    <row r="921" spans="2:13" s="40" customFormat="1" x14ac:dyDescent="0.25">
      <c r="B921" s="16" t="s">
        <v>857</v>
      </c>
      <c r="C921" s="17" t="s">
        <v>895</v>
      </c>
      <c r="D921" s="17" t="s">
        <v>892</v>
      </c>
      <c r="E921" s="17" t="s">
        <v>893</v>
      </c>
      <c r="F921" s="17" t="s">
        <v>894</v>
      </c>
      <c r="G921" s="76" t="s">
        <v>901</v>
      </c>
      <c r="H921" s="76" t="s">
        <v>902</v>
      </c>
      <c r="J921" s="8" t="s">
        <v>6</v>
      </c>
      <c r="K921" s="9">
        <f>SUM(Tabla1103453454455456479116117118120740126148156186254256287328340342343349364366376401413415417419444448449479480481482500501503504505506507508509510511512513514515516517518520521522523527[Coste LÃ­nea])</f>
        <v>15238.637055020001</v>
      </c>
      <c r="M921" s="406" t="s">
        <v>1383</v>
      </c>
    </row>
    <row r="922" spans="2:13" s="40" customFormat="1" x14ac:dyDescent="0.25">
      <c r="B922" s="10" t="s">
        <v>818</v>
      </c>
      <c r="C922" s="11" t="s">
        <v>67</v>
      </c>
      <c r="D922" s="12">
        <v>500</v>
      </c>
      <c r="E922" s="12">
        <v>0</v>
      </c>
      <c r="F922" s="12">
        <v>500</v>
      </c>
      <c r="G922" s="337">
        <f>+VLOOKUP(Tabla1103453454455456479116117118120740126148156186254256287328340342343349364366376401413415417419444448449479480481482500501503504505506507508509510511512513514515516517518520521522523527[[#This Row],[ArtÃ­culo]],Tabla34[#All],3,0)</f>
        <v>8</v>
      </c>
      <c r="H922"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4000</v>
      </c>
      <c r="J922" s="8" t="s">
        <v>12</v>
      </c>
      <c r="K922" s="15">
        <f>+K921*5%</f>
        <v>761.93185275100006</v>
      </c>
      <c r="M922" s="384"/>
    </row>
    <row r="923" spans="2:13" s="40" customFormat="1" x14ac:dyDescent="0.25">
      <c r="B923" s="10" t="s">
        <v>687</v>
      </c>
      <c r="C923" s="11" t="s">
        <v>67</v>
      </c>
      <c r="D923" s="12">
        <v>350</v>
      </c>
      <c r="E923" s="12">
        <v>0</v>
      </c>
      <c r="F923" s="12">
        <v>350</v>
      </c>
      <c r="G923" s="337">
        <f>+VLOOKUP(Tabla1103453454455456479116117118120740126148156186254256287328340342343349364366376401413415417419444448449479480481482500501503504505506507508509510511512513514515516517518520521522523527[[#This Row],[ArtÃ­culo]],Tabla34[#All],3,0)</f>
        <v>2.8</v>
      </c>
      <c r="H923"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979.99999999999989</v>
      </c>
      <c r="J923" s="8" t="s">
        <v>13</v>
      </c>
      <c r="K923" s="15">
        <f>+K921+K922</f>
        <v>16000.568907771001</v>
      </c>
    </row>
    <row r="924" spans="2:13" s="40" customFormat="1" x14ac:dyDescent="0.25">
      <c r="B924" s="10" t="s">
        <v>89</v>
      </c>
      <c r="C924" s="11" t="s">
        <v>67</v>
      </c>
      <c r="D924" s="12">
        <v>18</v>
      </c>
      <c r="E924" s="12">
        <v>0</v>
      </c>
      <c r="F924" s="12">
        <v>18</v>
      </c>
      <c r="G924" s="337">
        <f>+VLOOKUP(Tabla1103453454455456479116117118120740126148156186254256287328340342343349364366376401413415417419444448449479480481482500501503504505506507508509510511512513514515516517518520521522523527[[#This Row],[ArtÃ­culo]],Tabla34[#All],3,0)</f>
        <v>2.4009999999999998</v>
      </c>
      <c r="H924"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43.217999999999996</v>
      </c>
      <c r="J924" s="20" t="s">
        <v>1313</v>
      </c>
      <c r="K924" s="328">
        <v>1175</v>
      </c>
    </row>
    <row r="925" spans="2:13" s="40" customFormat="1" x14ac:dyDescent="0.25">
      <c r="B925" s="10" t="s">
        <v>92</v>
      </c>
      <c r="C925" s="11" t="s">
        <v>67</v>
      </c>
      <c r="D925" s="12">
        <v>450</v>
      </c>
      <c r="E925" s="12">
        <v>0</v>
      </c>
      <c r="F925" s="12">
        <v>450</v>
      </c>
      <c r="G925" s="337">
        <f>+VLOOKUP(Tabla1103453454455456479116117118120740126148156186254256287328340342343349364366376401413415417419444448449479480481482500501503504505506507508509510511512513514515516517518520521522523527[[#This Row],[ArtÃ­culo]],Tabla34[#All],3,0)</f>
        <v>18.859000000000002</v>
      </c>
      <c r="H925"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8486.5500000000011</v>
      </c>
      <c r="J925" s="8" t="s">
        <v>15</v>
      </c>
      <c r="K925" s="15">
        <f>+K923/K924</f>
        <v>13.61750545342213</v>
      </c>
    </row>
    <row r="926" spans="2:13" s="40" customFormat="1" x14ac:dyDescent="0.25">
      <c r="B926" s="10" t="s">
        <v>91</v>
      </c>
      <c r="C926" s="11" t="s">
        <v>67</v>
      </c>
      <c r="D926" s="12">
        <v>100</v>
      </c>
      <c r="E926" s="12">
        <v>0</v>
      </c>
      <c r="F926" s="12">
        <v>100</v>
      </c>
      <c r="G926" s="337">
        <f>+VLOOKUP(Tabla1103453454455456479116117118120740126148156186254256287328340342343349364366376401413415417419444448449479480481482500501503504505506507508509510511512513514515516517518520521522523527[[#This Row],[ArtÃ­culo]],Tabla34[#All],3,0)</f>
        <v>10.193790849999999</v>
      </c>
      <c r="H926"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1019.3790849999999</v>
      </c>
    </row>
    <row r="927" spans="2:13" s="40" customFormat="1" x14ac:dyDescent="0.25">
      <c r="B927" s="10" t="s">
        <v>219</v>
      </c>
      <c r="C927" s="11" t="s">
        <v>67</v>
      </c>
      <c r="D927" s="12">
        <v>8</v>
      </c>
      <c r="E927" s="12">
        <v>0</v>
      </c>
      <c r="F927" s="12">
        <v>8</v>
      </c>
      <c r="G927" s="337">
        <f>+VLOOKUP(Tabla1103453454455456479116117118120740126148156186254256287328340342343349364366376401413415417419444448449479480481482500501503504505506507508509510511512513514515516517518520521522523527[[#This Row],[ArtÃ­culo]],Tabla34[#All],3,0)</f>
        <v>30.77</v>
      </c>
      <c r="H927"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246.16</v>
      </c>
    </row>
    <row r="928" spans="2:13" s="40" customFormat="1" x14ac:dyDescent="0.25">
      <c r="B928" s="10" t="s">
        <v>199</v>
      </c>
      <c r="C928" s="11" t="s">
        <v>67</v>
      </c>
      <c r="D928" s="12">
        <v>2</v>
      </c>
      <c r="E928" s="12">
        <v>0</v>
      </c>
      <c r="F928" s="12">
        <v>2</v>
      </c>
      <c r="G928" s="337">
        <f>+VLOOKUP(Tabla1103453454455456479116117118120740126148156186254256287328340342343349364366376401413415417419444448449479480481482500501503504505506507508509510511512513514515516517518520521522523527[[#This Row],[ArtÃ­culo]],Tabla34[#All],3,0)</f>
        <v>60.010800000000003</v>
      </c>
      <c r="H928"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120.02160000000001</v>
      </c>
    </row>
    <row r="929" spans="2:13" s="40" customFormat="1" x14ac:dyDescent="0.25">
      <c r="B929" s="10" t="s">
        <v>840</v>
      </c>
      <c r="C929" s="11" t="s">
        <v>67</v>
      </c>
      <c r="D929" s="12">
        <v>6</v>
      </c>
      <c r="E929" s="12">
        <v>0</v>
      </c>
      <c r="F929" s="12">
        <v>6</v>
      </c>
      <c r="G929" s="337">
        <f>+VLOOKUP(Tabla1103453454455456479116117118120740126148156186254256287328340342343349364366376401413415417419444448449479480481482500501503504505506507508509510511512513514515516517518520521522523527[[#This Row],[ArtÃ­culo]],Tabla34[#All],3,0)</f>
        <v>57.218061669999997</v>
      </c>
      <c r="H929" s="338">
        <f>+Tabla1103453454455456479116117118120740126148156186254256287328340342343349364366376401413415417419444448449479480481482500501503504505506507508509510511512513514515516517518520521522523527[[#This Row],[Coste Componente]]*Tabla1103453454455456479116117118120740126148156186254256287328340342343349364366376401413415417419444448449479480481482500501503504505506507508509510511512513514515516517518520521522523527[[#This Row],[Unidades]]</f>
        <v>343.30837001999998</v>
      </c>
    </row>
    <row r="930" spans="2:13" s="40" customFormat="1" x14ac:dyDescent="0.25">
      <c r="B930" s="16"/>
      <c r="C930" s="17"/>
      <c r="D930" s="17"/>
      <c r="E930" s="17"/>
      <c r="F930" s="17"/>
      <c r="G930" s="18"/>
      <c r="H930" s="18">
        <f>SUBTOTAL(109,Tabla1103453454455456479116117118120740126148156186254256287328340342343349364366376401413415417419444448449479480481482500501503504505506507508509510511512513514515516517518520521522523527[Coste LÃ­nea])</f>
        <v>15238.637055020001</v>
      </c>
    </row>
    <row r="931" spans="2:13" s="40" customFormat="1" x14ac:dyDescent="0.25"/>
    <row r="933" spans="2:13" s="40" customFormat="1" x14ac:dyDescent="0.25">
      <c r="B933" s="19" t="s">
        <v>1083</v>
      </c>
      <c r="C933" s="2"/>
      <c r="D933" s="2"/>
      <c r="E933" s="3"/>
      <c r="F933" s="3"/>
      <c r="G933" s="3"/>
      <c r="H933" s="3"/>
      <c r="J933" s="399" t="s">
        <v>0</v>
      </c>
      <c r="K933" s="399"/>
    </row>
    <row r="934" spans="2:13" s="40" customFormat="1" x14ac:dyDescent="0.25">
      <c r="B934" s="16" t="s">
        <v>857</v>
      </c>
      <c r="C934" s="17" t="s">
        <v>895</v>
      </c>
      <c r="D934" s="17" t="s">
        <v>892</v>
      </c>
      <c r="E934" s="17" t="s">
        <v>893</v>
      </c>
      <c r="F934" s="17" t="s">
        <v>894</v>
      </c>
      <c r="G934" s="76" t="s">
        <v>901</v>
      </c>
      <c r="H934" s="76" t="s">
        <v>902</v>
      </c>
      <c r="J934" s="8" t="s">
        <v>6</v>
      </c>
      <c r="K934" s="9">
        <f>SUM(Tabla1103453454455456479116117118120740126148156186254256287328340342343349364366376401413415417419444448449479480481482500501503504505506507508509510511512513514515516517518520521522523527528[Coste LÃ­nea])</f>
        <v>24754.11092069</v>
      </c>
      <c r="M934" s="406" t="s">
        <v>1383</v>
      </c>
    </row>
    <row r="935" spans="2:13" s="40" customFormat="1" x14ac:dyDescent="0.25">
      <c r="B935" s="10" t="s">
        <v>107</v>
      </c>
      <c r="C935" s="11" t="s">
        <v>67</v>
      </c>
      <c r="D935" s="12">
        <v>440</v>
      </c>
      <c r="E935" s="12">
        <v>0</v>
      </c>
      <c r="F935" s="12">
        <v>440</v>
      </c>
      <c r="G935" s="337">
        <f>+VLOOKUP(Tabla1103453454455456479116117118120740126148156186254256287328340342343349364366376401413415417419444448449479480481482500501503504505506507508509510511512513514515516517518520521522523527528[[#This Row],[ArtÃ­culo]],Tabla34[#All],3,0)</f>
        <v>19.747499999999999</v>
      </c>
      <c r="H935"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8688.9</v>
      </c>
      <c r="J935" s="8" t="s">
        <v>12</v>
      </c>
      <c r="K935" s="15">
        <f>+K934*5%</f>
        <v>1237.7055460345</v>
      </c>
      <c r="M935" s="384"/>
    </row>
    <row r="936" spans="2:13" s="40" customFormat="1" x14ac:dyDescent="0.25">
      <c r="B936" s="10" t="s">
        <v>1370</v>
      </c>
      <c r="C936" s="11" t="s">
        <v>67</v>
      </c>
      <c r="D936" s="12">
        <v>18</v>
      </c>
      <c r="E936" s="12">
        <v>0</v>
      </c>
      <c r="F936" s="12">
        <v>18</v>
      </c>
      <c r="G936" s="337">
        <f>+VLOOKUP(Tabla1103453454455456479116117118120740126148156186254256287328340342343349364366376401413415417419444448449479480481482500501503504505506507508509510511512513514515516517518520521522523527528[[#This Row],[ArtÃ­culo]],Tabla34[#All],3,0)</f>
        <v>4.8041983300000002</v>
      </c>
      <c r="H936"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86.47556994</v>
      </c>
      <c r="J936" s="8" t="s">
        <v>13</v>
      </c>
      <c r="K936" s="15">
        <f>+K934+K935</f>
        <v>25991.8164667245</v>
      </c>
    </row>
    <row r="937" spans="2:13" s="40" customFormat="1" x14ac:dyDescent="0.25">
      <c r="B937" s="10" t="s">
        <v>85</v>
      </c>
      <c r="C937" s="11" t="s">
        <v>67</v>
      </c>
      <c r="D937" s="12">
        <v>95</v>
      </c>
      <c r="E937" s="12">
        <v>0</v>
      </c>
      <c r="F937" s="12">
        <v>95</v>
      </c>
      <c r="G937" s="337">
        <f>+VLOOKUP(Tabla1103453454455456479116117118120740126148156186254256287328340342343349364366376401413415417419444448449479480481482500501503504505506507508509510511512513514515516517518520521522523527528[[#This Row],[ArtÃ­culo]],Tabla34[#All],3,0)</f>
        <v>4.8816666700000004</v>
      </c>
      <c r="H937"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463.75833365000005</v>
      </c>
      <c r="J937" s="20" t="s">
        <v>1313</v>
      </c>
      <c r="K937" s="328">
        <v>8</v>
      </c>
    </row>
    <row r="938" spans="2:13" s="40" customFormat="1" x14ac:dyDescent="0.25">
      <c r="B938" s="10" t="s">
        <v>819</v>
      </c>
      <c r="C938" s="11" t="s">
        <v>67</v>
      </c>
      <c r="D938" s="12">
        <v>2</v>
      </c>
      <c r="E938" s="12">
        <v>0</v>
      </c>
      <c r="F938" s="12">
        <v>2</v>
      </c>
      <c r="G938" s="337">
        <f>+VLOOKUP(Tabla1103453454455456479116117118120740126148156186254256287328340342343349364366376401413415417419444448449479480481482500501503504505506507508509510511512513514515516517518520521522523527528[[#This Row],[ArtÃ­culo]],Tabla34[#All],3,0)</f>
        <v>21.363943110000001</v>
      </c>
      <c r="H938"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42.727886220000002</v>
      </c>
      <c r="J938" s="8" t="s">
        <v>15</v>
      </c>
      <c r="K938" s="15">
        <f>+K936/K937</f>
        <v>3248.9770583405625</v>
      </c>
    </row>
    <row r="939" spans="2:13" s="40" customFormat="1" x14ac:dyDescent="0.25">
      <c r="B939" s="10" t="s">
        <v>1194</v>
      </c>
      <c r="C939" s="11" t="s">
        <v>847</v>
      </c>
      <c r="D939" s="12">
        <v>4</v>
      </c>
      <c r="E939" s="12">
        <v>0</v>
      </c>
      <c r="F939" s="12">
        <v>4</v>
      </c>
      <c r="G939" s="337">
        <f>+VLOOKUP(Tabla1103453454455456479116117118120740126148156186254256287328340342343349364366376401413415417419444448449479480481482500501503504505506507508509510511512513514515516517518520521522523527528[[#This Row],[ArtÃ­culo]],Tabla34[#All],3,0)</f>
        <v>726.66666667000004</v>
      </c>
      <c r="H939"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2906.6666666800002</v>
      </c>
    </row>
    <row r="940" spans="2:13" s="40" customFormat="1" x14ac:dyDescent="0.25">
      <c r="B940" s="10" t="s">
        <v>99</v>
      </c>
      <c r="C940" s="11" t="s">
        <v>67</v>
      </c>
      <c r="D940" s="12">
        <v>180</v>
      </c>
      <c r="E940" s="12">
        <v>0</v>
      </c>
      <c r="F940" s="12">
        <v>180</v>
      </c>
      <c r="G940" s="337">
        <f>+VLOOKUP(Tabla1103453454455456479116117118120740126148156186254256287328340342343349364366376401413415417419444448449479480481482500501503504505506507508509510511512513514515516517518520521522523527528[[#This Row],[ArtÃ­culo]],Tabla34[#All],3,0)</f>
        <v>49.977947020000002</v>
      </c>
      <c r="H940"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8996.0304636000001</v>
      </c>
    </row>
    <row r="941" spans="2:13" s="40" customFormat="1" x14ac:dyDescent="0.25">
      <c r="B941" s="10" t="s">
        <v>106</v>
      </c>
      <c r="C941" s="11" t="s">
        <v>67</v>
      </c>
      <c r="D941" s="12">
        <v>180</v>
      </c>
      <c r="E941" s="12">
        <v>0</v>
      </c>
      <c r="F941" s="12">
        <v>180</v>
      </c>
      <c r="G941" s="337">
        <f>+VLOOKUP(Tabla1103453454455456479116117118120740126148156186254256287328340342343349364366376401413415417419444448449479480481482500501503504505506507508509510511512513514515516517518520521522523527528[[#This Row],[ArtÃ­culo]],Tabla34[#All],3,0)</f>
        <v>19.804166670000001</v>
      </c>
      <c r="H941"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3564.7500006</v>
      </c>
    </row>
    <row r="942" spans="2:13" s="40" customFormat="1" x14ac:dyDescent="0.25">
      <c r="B942" s="10" t="s">
        <v>89</v>
      </c>
      <c r="C942" s="11" t="s">
        <v>67</v>
      </c>
      <c r="D942" s="12">
        <v>2</v>
      </c>
      <c r="E942" s="12">
        <v>0</v>
      </c>
      <c r="F942" s="12">
        <v>2</v>
      </c>
      <c r="G942" s="337">
        <f>+VLOOKUP(Tabla1103453454455456479116117118120740126148156186254256287328340342343349364366376401413415417419444448449479480481482500501503504505506507508509510511512513514515516517518520521522523527528[[#This Row],[ArtÃ­culo]],Tabla34[#All],3,0)</f>
        <v>2.4009999999999998</v>
      </c>
      <c r="H942" s="338">
        <f>+Tabla1103453454455456479116117118120740126148156186254256287328340342343349364366376401413415417419444448449479480481482500501503504505506507508509510511512513514515516517518520521522523527528[[#This Row],[Coste Componente]]*Tabla1103453454455456479116117118120740126148156186254256287328340342343349364366376401413415417419444448449479480481482500501503504505506507508509510511512513514515516517518520521522523527528[[#This Row],[Unidades]]</f>
        <v>4.8019999999999996</v>
      </c>
    </row>
    <row r="943" spans="2:13" s="40" customFormat="1" x14ac:dyDescent="0.25">
      <c r="B943" s="16"/>
      <c r="C943" s="17"/>
      <c r="D943" s="17"/>
      <c r="E943" s="17"/>
      <c r="F943" s="17"/>
      <c r="G943" s="18"/>
      <c r="H943" s="18">
        <f>SUBTOTAL(109,Tabla1103453454455456479116117118120740126148156186254256287328340342343349364366376401413415417419444448449479480481482500501503504505506507508509510511512513514515516517518520521522523527528[Coste LÃ­nea])</f>
        <v>24754.11092069</v>
      </c>
    </row>
    <row r="944" spans="2:13" s="40" customFormat="1" x14ac:dyDescent="0.25"/>
    <row r="945" spans="2:13" s="40" customFormat="1" x14ac:dyDescent="0.25">
      <c r="B945" s="19" t="s">
        <v>165</v>
      </c>
      <c r="C945" s="2"/>
      <c r="D945" s="2"/>
      <c r="E945" s="3"/>
      <c r="F945" s="3"/>
      <c r="G945" s="3"/>
      <c r="H945" s="3"/>
      <c r="J945" s="399" t="s">
        <v>0</v>
      </c>
      <c r="K945" s="399"/>
    </row>
    <row r="946" spans="2:13" s="40" customFormat="1" x14ac:dyDescent="0.25">
      <c r="B946" s="16" t="s">
        <v>857</v>
      </c>
      <c r="C946" s="17" t="s">
        <v>895</v>
      </c>
      <c r="D946" s="17" t="s">
        <v>892</v>
      </c>
      <c r="E946" s="17" t="s">
        <v>893</v>
      </c>
      <c r="F946" s="17" t="s">
        <v>894</v>
      </c>
      <c r="G946" s="76" t="s">
        <v>901</v>
      </c>
      <c r="H946" s="76" t="s">
        <v>902</v>
      </c>
      <c r="J946" s="8" t="s">
        <v>6</v>
      </c>
      <c r="K946" s="9">
        <f>SUM(Tabla1103453454455456479116117118120740126148156186254256287328340342343349364366376401413415417419444448449479480481482500501503504505506507508509510511512513514515516517518520521522523527528529[Coste LÃ­nea])</f>
        <v>43243.636906789994</v>
      </c>
      <c r="M946" s="406" t="s">
        <v>1383</v>
      </c>
    </row>
    <row r="947" spans="2:13" s="40" customFormat="1" x14ac:dyDescent="0.25">
      <c r="B947" s="10" t="s">
        <v>313</v>
      </c>
      <c r="C947" s="11" t="s">
        <v>67</v>
      </c>
      <c r="D947" s="12">
        <v>75</v>
      </c>
      <c r="E947" s="12">
        <v>0</v>
      </c>
      <c r="F947" s="12">
        <v>75</v>
      </c>
      <c r="G947" s="337">
        <f>+VLOOKUP(Tabla1103453454455456479116117118120740126148156186254256287328340342343349364366376401413415417419444448449479480481482500501503504505506507508509510511512513514515516517518520521522523527528529[[#This Row],[ArtÃ­culo]],Tabla34[#All],3,0)</f>
        <v>7.6838499999999996</v>
      </c>
      <c r="H947"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576.28874999999994</v>
      </c>
      <c r="J947" s="8" t="s">
        <v>12</v>
      </c>
      <c r="K947" s="15">
        <f>+K946*5%</f>
        <v>2162.1818453394999</v>
      </c>
      <c r="M947" s="384"/>
    </row>
    <row r="948" spans="2:13" s="40" customFormat="1" x14ac:dyDescent="0.25">
      <c r="B948" s="10" t="s">
        <v>1069</v>
      </c>
      <c r="C948" s="11" t="s">
        <v>67</v>
      </c>
      <c r="D948" s="12">
        <v>250</v>
      </c>
      <c r="E948" s="12">
        <v>0</v>
      </c>
      <c r="F948" s="12">
        <v>250</v>
      </c>
      <c r="G948" s="337">
        <f>+VLOOKUP(Tabla1103453454455456479116117118120740126148156186254256287328340342343349364366376401413415417419444448449479480481482500501503504505506507508509510511512513514515516517518520521522523527528529[[#This Row],[ArtÃ­culo]],Tabla34[#All],3,0)</f>
        <v>57.12</v>
      </c>
      <c r="H948"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14280</v>
      </c>
      <c r="J948" s="8" t="s">
        <v>13</v>
      </c>
      <c r="K948" s="15">
        <f>+K946+K947</f>
        <v>45405.818752129497</v>
      </c>
    </row>
    <row r="949" spans="2:13" s="40" customFormat="1" x14ac:dyDescent="0.25">
      <c r="B949" s="10" t="s">
        <v>631</v>
      </c>
      <c r="C949" s="11" t="s">
        <v>67</v>
      </c>
      <c r="D949" s="12">
        <v>150</v>
      </c>
      <c r="E949" s="12">
        <v>0</v>
      </c>
      <c r="F949" s="12">
        <v>150</v>
      </c>
      <c r="G949" s="337">
        <f>+VLOOKUP(Tabla1103453454455456479116117118120740126148156186254256287328340342343349364366376401413415417419444448449479480481482500501503504505506507508509510511512513514515516517518520521522523527528529[[#This Row],[ArtÃ­culo]],Tabla34[#All],3,0)</f>
        <v>34.714285709999999</v>
      </c>
      <c r="H949"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5207.1428564999997</v>
      </c>
      <c r="J949" s="20" t="s">
        <v>1313</v>
      </c>
      <c r="K949" s="328">
        <v>55</v>
      </c>
    </row>
    <row r="950" spans="2:13" s="40" customFormat="1" x14ac:dyDescent="0.25">
      <c r="B950" s="10" t="s">
        <v>724</v>
      </c>
      <c r="C950" s="11" t="s">
        <v>67</v>
      </c>
      <c r="D950" s="12">
        <v>1200</v>
      </c>
      <c r="E950" s="12">
        <v>0</v>
      </c>
      <c r="F950" s="12">
        <v>1200</v>
      </c>
      <c r="G950" s="337">
        <f>+VLOOKUP(Tabla1103453454455456479116117118120740126148156186254256287328340342343349364366376401413415417419444448449479480481482500501503504505506507508509510511512513514515516517518520521522523527528529[[#This Row],[ArtÃ­culo]],Tabla34[#All],3,0)</f>
        <v>17.88</v>
      </c>
      <c r="H950"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21456</v>
      </c>
      <c r="J950" s="8" t="s">
        <v>15</v>
      </c>
      <c r="K950" s="15">
        <f>+K948/K949</f>
        <v>825.56034094780898</v>
      </c>
    </row>
    <row r="951" spans="2:13" s="40" customFormat="1" x14ac:dyDescent="0.25">
      <c r="B951" s="10" t="s">
        <v>312</v>
      </c>
      <c r="C951" s="11" t="s">
        <v>67</v>
      </c>
      <c r="D951" s="12">
        <v>255</v>
      </c>
      <c r="E951" s="12">
        <v>0</v>
      </c>
      <c r="F951" s="12">
        <v>255</v>
      </c>
      <c r="G951" s="337">
        <f>+VLOOKUP(Tabla1103453454455456479116117118120740126148156186254256287328340342343349364366376401413415417419444448449479480481482500501503504505506507508509510511512513514515516517518520521522523527528529[[#This Row],[ArtÃ­culo]],Tabla34[#All],3,0)</f>
        <v>4.2671999999999999</v>
      </c>
      <c r="H951"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1088.136</v>
      </c>
    </row>
    <row r="952" spans="2:13" s="40" customFormat="1" x14ac:dyDescent="0.25">
      <c r="B952" s="10" t="s">
        <v>187</v>
      </c>
      <c r="C952" s="11" t="s">
        <v>67</v>
      </c>
      <c r="D952" s="12">
        <v>45</v>
      </c>
      <c r="E952" s="12">
        <v>0</v>
      </c>
      <c r="F952" s="12">
        <v>45</v>
      </c>
      <c r="G952" s="337">
        <f>+VLOOKUP(Tabla1103453454455456479116117118120740126148156186254256287328340342343349364366376401413415417419444448449479480481482500501503504505506507508509510511512513514515516517518520521522523527528529[[#This Row],[ArtÃ­culo]],Tabla34[#All],3,0)</f>
        <v>4.7</v>
      </c>
      <c r="H952"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211.5</v>
      </c>
    </row>
    <row r="953" spans="2:13" s="40" customFormat="1" x14ac:dyDescent="0.25">
      <c r="B953" s="10" t="s">
        <v>954</v>
      </c>
      <c r="C953" s="11" t="s">
        <v>67</v>
      </c>
      <c r="D953" s="12">
        <v>2</v>
      </c>
      <c r="E953" s="12">
        <v>0</v>
      </c>
      <c r="F953" s="12">
        <v>2</v>
      </c>
      <c r="G953" s="337">
        <f>+VLOOKUP(Tabla1103453454455456479116117118120740126148156186254256287328340342343349364366376401413415417419444448449479480481482500501503504505506507508509510511512513514515516517518520521522523527528529[[#This Row],[ArtÃ­culo]],Tabla34[#All],3,0)</f>
        <v>114.62</v>
      </c>
      <c r="H953"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229.24</v>
      </c>
    </row>
    <row r="954" spans="2:13" s="40" customFormat="1" x14ac:dyDescent="0.25">
      <c r="B954" s="10" t="s">
        <v>840</v>
      </c>
      <c r="C954" s="11" t="s">
        <v>67</v>
      </c>
      <c r="D954" s="12">
        <v>2</v>
      </c>
      <c r="E954" s="12">
        <v>0</v>
      </c>
      <c r="F954" s="12">
        <v>2</v>
      </c>
      <c r="G954" s="337">
        <f>+VLOOKUP(Tabla1103453454455456479116117118120740126148156186254256287328340342343349364366376401413415417419444448449479480481482500501503504505506507508509510511512513514515516517518520521522523527528529[[#This Row],[ArtÃ­culo]],Tabla34[#All],3,0)</f>
        <v>57.218061669999997</v>
      </c>
      <c r="H954"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114.43612333999999</v>
      </c>
    </row>
    <row r="955" spans="2:13" s="40" customFormat="1" x14ac:dyDescent="0.25">
      <c r="B955" s="10" t="s">
        <v>89</v>
      </c>
      <c r="C955" s="11" t="s">
        <v>67</v>
      </c>
      <c r="D955" s="12">
        <v>4</v>
      </c>
      <c r="E955" s="12">
        <v>0</v>
      </c>
      <c r="F955" s="12">
        <v>4</v>
      </c>
      <c r="G955" s="337">
        <f>+VLOOKUP(Tabla1103453454455456479116117118120740126148156186254256287328340342343349364366376401413415417419444448449479480481482500501503504505506507508509510511512513514515516517518520521522523527528529[[#This Row],[ArtÃ­culo]],Tabla34[#All],3,0)</f>
        <v>2.4009999999999998</v>
      </c>
      <c r="H955"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9.6039999999999992</v>
      </c>
    </row>
    <row r="956" spans="2:13" s="40" customFormat="1" x14ac:dyDescent="0.25">
      <c r="B956" s="10" t="s">
        <v>37</v>
      </c>
      <c r="C956" s="11" t="s">
        <v>67</v>
      </c>
      <c r="D956" s="12">
        <v>5</v>
      </c>
      <c r="E956" s="12">
        <v>0</v>
      </c>
      <c r="F956" s="12">
        <v>5</v>
      </c>
      <c r="G956" s="337">
        <f>+VLOOKUP(Tabla1103453454455456479116117118120740126148156186254256287328340342343349364366376401413415417419444448449479480481482500501503504505506507508509510511512513514515516517518520521522523527528529[[#This Row],[ArtÃ­culo]],Tabla34[#All],3,0)</f>
        <v>14.25783539</v>
      </c>
      <c r="H956" s="338">
        <f>+Tabla1103453454455456479116117118120740126148156186254256287328340342343349364366376401413415417419444448449479480481482500501503504505506507508509510511512513514515516517518520521522523527528529[[#This Row],[Coste Componente]]*Tabla1103453454455456479116117118120740126148156186254256287328340342343349364366376401413415417419444448449479480481482500501503504505506507508509510511512513514515516517518520521522523527528529[[#This Row],[Unidades]]</f>
        <v>71.289176949999998</v>
      </c>
    </row>
    <row r="957" spans="2:13" s="40" customFormat="1" x14ac:dyDescent="0.25">
      <c r="B957" s="16"/>
      <c r="C957" s="17"/>
      <c r="D957" s="17"/>
      <c r="E957" s="17"/>
      <c r="F957" s="17"/>
      <c r="G957" s="18"/>
      <c r="H957" s="18">
        <f>SUBTOTAL(109,Tabla1103453454455456479116117118120740126148156186254256287328340342343349364366376401413415417419444448449479480481482500501503504505506507508509510511512513514515516517518520521522523527528529[Coste LÃ­nea])</f>
        <v>43243.636906789994</v>
      </c>
    </row>
    <row r="958" spans="2:13" s="40" customFormat="1" x14ac:dyDescent="0.25"/>
    <row r="960" spans="2:13" s="40" customFormat="1" x14ac:dyDescent="0.25">
      <c r="B960" s="19" t="s">
        <v>1261</v>
      </c>
      <c r="C960" s="2"/>
      <c r="D960" s="2"/>
      <c r="E960" s="3"/>
      <c r="F960" s="3"/>
      <c r="G960" s="3"/>
      <c r="H960" s="3"/>
      <c r="J960" s="399" t="s">
        <v>0</v>
      </c>
      <c r="K960" s="399"/>
    </row>
    <row r="961" spans="2:13" s="40" customFormat="1" x14ac:dyDescent="0.25">
      <c r="B961" s="16" t="s">
        <v>857</v>
      </c>
      <c r="C961" s="17" t="s">
        <v>895</v>
      </c>
      <c r="D961" s="17" t="s">
        <v>892</v>
      </c>
      <c r="E961" s="17" t="s">
        <v>893</v>
      </c>
      <c r="F961" s="17" t="s">
        <v>894</v>
      </c>
      <c r="G961" s="76" t="s">
        <v>901</v>
      </c>
      <c r="H961" s="76" t="s">
        <v>902</v>
      </c>
      <c r="J961" s="8" t="s">
        <v>6</v>
      </c>
      <c r="K961" s="9">
        <f>SUM(Tabla1103453454455456479116117118120740126148156186254256287328340342343349364366376401413415417419444448449479480481482500501503504505506507508509510511512513514515516517518520521522523527528529530[Coste LÃ­nea])</f>
        <v>4672.0833350000003</v>
      </c>
      <c r="M961" s="406" t="s">
        <v>1383</v>
      </c>
    </row>
    <row r="962" spans="2:13" s="40" customFormat="1" x14ac:dyDescent="0.25">
      <c r="B962" s="10" t="s">
        <v>634</v>
      </c>
      <c r="C962" s="11" t="s">
        <v>67</v>
      </c>
      <c r="D962" s="12">
        <v>250</v>
      </c>
      <c r="E962" s="12">
        <v>0</v>
      </c>
      <c r="F962" s="12">
        <v>250</v>
      </c>
      <c r="G962" s="337">
        <f>+VLOOKUP(Tabla1103453454455456479116117118120740126148156186254256287328340342343349364366376401413415417419444448449479480481482500501503504505506507508509510511512513514515516517518520521522523527528529530[[#This Row],[ArtÃ­culo]],Tabla34[#All],3,0)</f>
        <v>8.9250000000000007</v>
      </c>
      <c r="H962" s="338">
        <f>+Tabla1103453454455456479116117118120740126148156186254256287328340342343349364366376401413415417419444448449479480481482500501503504505506507508509510511512513514515516517518520521522523527528529530[[#This Row],[Coste Componente]]*Tabla1103453454455456479116117118120740126148156186254256287328340342343349364366376401413415417419444448449479480481482500501503504505506507508509510511512513514515516517518520521522523527528529530[[#This Row],[Unidades]]</f>
        <v>2231.25</v>
      </c>
      <c r="J962" s="8" t="s">
        <v>12</v>
      </c>
      <c r="K962" s="15">
        <f>+K961*5%</f>
        <v>233.60416675000002</v>
      </c>
      <c r="M962" s="384"/>
    </row>
    <row r="963" spans="2:13" s="40" customFormat="1" x14ac:dyDescent="0.25">
      <c r="B963" s="10" t="s">
        <v>305</v>
      </c>
      <c r="C963" s="11" t="s">
        <v>67</v>
      </c>
      <c r="D963" s="12">
        <v>250</v>
      </c>
      <c r="E963" s="12">
        <v>0</v>
      </c>
      <c r="F963" s="12">
        <v>250</v>
      </c>
      <c r="G963" s="337">
        <f>+VLOOKUP(Tabla1103453454455456479116117118120740126148156186254256287328340342343349364366376401413415417419444448449479480481482500501503504505506507508509510511512513514515516517518520521522523527528529530[[#This Row],[ArtÃ­culo]],Tabla34[#All],3,0)</f>
        <v>0</v>
      </c>
      <c r="H963" s="338">
        <f>+Tabla1103453454455456479116117118120740126148156186254256287328340342343349364366376401413415417419444448449479480481482500501503504505506507508509510511512513514515516517518520521522523527528529530[[#This Row],[Coste Componente]]*Tabla1103453454455456479116117118120740126148156186254256287328340342343349364366376401413415417419444448449479480481482500501503504505506507508509510511512513514515516517518520521522523527528529530[[#This Row],[Unidades]]</f>
        <v>0</v>
      </c>
      <c r="J963" s="8" t="s">
        <v>13</v>
      </c>
      <c r="K963" s="15">
        <f>+K961+K962</f>
        <v>4905.6875017500006</v>
      </c>
    </row>
    <row r="964" spans="2:13" s="40" customFormat="1" x14ac:dyDescent="0.25">
      <c r="B964" s="10" t="s">
        <v>85</v>
      </c>
      <c r="C964" s="11" t="s">
        <v>67</v>
      </c>
      <c r="D964" s="12">
        <v>500</v>
      </c>
      <c r="E964" s="12">
        <v>0</v>
      </c>
      <c r="F964" s="12">
        <v>500</v>
      </c>
      <c r="G964" s="337">
        <f>+VLOOKUP(Tabla1103453454455456479116117118120740126148156186254256287328340342343349364366376401413415417419444448449479480481482500501503504505506507508509510511512513514515516517518520521522523527528529530[[#This Row],[ArtÃ­culo]],Tabla34[#All],3,0)</f>
        <v>4.8816666700000004</v>
      </c>
      <c r="H964" s="338">
        <f>+Tabla1103453454455456479116117118120740126148156186254256287328340342343349364366376401413415417419444448449479480481482500501503504505506507508509510511512513514515516517518520521522523527528529530[[#This Row],[Coste Componente]]*Tabla1103453454455456479116117118120740126148156186254256287328340342343349364366376401413415417419444448449479480481482500501503504505506507508509510511512513514515516517518520521522523527528529530[[#This Row],[Unidades]]</f>
        <v>2440.8333350000003</v>
      </c>
      <c r="J964" s="20" t="s">
        <v>1313</v>
      </c>
      <c r="K964" s="328">
        <v>500</v>
      </c>
    </row>
    <row r="965" spans="2:13" s="40" customFormat="1" x14ac:dyDescent="0.25">
      <c r="B965" s="16"/>
      <c r="C965" s="17"/>
      <c r="D965" s="17"/>
      <c r="E965" s="17"/>
      <c r="F965" s="17"/>
      <c r="G965" s="18"/>
      <c r="H965" s="18">
        <f>SUBTOTAL(109,Tabla1103453454455456479116117118120740126148156186254256287328340342343349364366376401413415417419444448449479480481482500501503504505506507508509510511512513514515516517518520521522523527528529530[Coste LÃ­nea])</f>
        <v>4672.0833350000003</v>
      </c>
      <c r="J965" s="8" t="s">
        <v>15</v>
      </c>
      <c r="K965" s="15">
        <f>+K963/K964</f>
        <v>9.811375003500002</v>
      </c>
    </row>
    <row r="966" spans="2:13" s="40" customFormat="1" x14ac:dyDescent="0.25"/>
    <row r="968" spans="2:13" s="40" customFormat="1" x14ac:dyDescent="0.25">
      <c r="B968" s="19" t="s">
        <v>1422</v>
      </c>
      <c r="C968" s="2"/>
      <c r="D968" s="2"/>
      <c r="E968" s="3"/>
      <c r="F968" s="3"/>
      <c r="G968" s="3"/>
      <c r="H968" s="3"/>
      <c r="J968" s="399" t="s">
        <v>0</v>
      </c>
      <c r="K968" s="399"/>
    </row>
    <row r="969" spans="2:13" s="40" customFormat="1" x14ac:dyDescent="0.25">
      <c r="B969" s="16" t="s">
        <v>857</v>
      </c>
      <c r="C969" s="17" t="s">
        <v>895</v>
      </c>
      <c r="D969" s="17" t="s">
        <v>892</v>
      </c>
      <c r="E969" s="17" t="s">
        <v>893</v>
      </c>
      <c r="F969" s="17" t="s">
        <v>894</v>
      </c>
      <c r="G969" s="76" t="s">
        <v>901</v>
      </c>
      <c r="H969" s="76" t="s">
        <v>902</v>
      </c>
      <c r="J969" s="8" t="s">
        <v>6</v>
      </c>
      <c r="K969" s="9">
        <f>SUM(Tabla1103453454455456479116117118120740126148156186254256287328340342343349364366376401413415417419444448449479480481482500501503504505506507508509510511512513514515516517518520521522523527528529530531[Coste LÃ­nea])</f>
        <v>2267.3238530900003</v>
      </c>
      <c r="M969" s="406" t="s">
        <v>1383</v>
      </c>
    </row>
    <row r="970" spans="2:13" s="40" customFormat="1" x14ac:dyDescent="0.25">
      <c r="B970" s="10" t="s">
        <v>798</v>
      </c>
      <c r="C970" s="11" t="s">
        <v>67</v>
      </c>
      <c r="D970" s="12">
        <v>100</v>
      </c>
      <c r="E970" s="12">
        <v>78</v>
      </c>
      <c r="F970" s="12">
        <v>454.54500000000002</v>
      </c>
      <c r="G970" s="337">
        <f>+VLOOKUP(Tabla1103453454455456479116117118120740126148156186254256287328340342343349364366376401413415417419444448449479480481482500501503504505506507508509510511512513514515516517518520521522523527528529530531[[#This Row],[ArtÃ­culo]],Tabla34[#All],3,0)</f>
        <v>4.5</v>
      </c>
      <c r="H970"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2045.4525000000001</v>
      </c>
      <c r="J970" s="8" t="s">
        <v>12</v>
      </c>
      <c r="K970" s="15">
        <f>+K969*5%</f>
        <v>113.36619265450003</v>
      </c>
      <c r="M970" s="384"/>
    </row>
    <row r="971" spans="2:13" s="40" customFormat="1" x14ac:dyDescent="0.25">
      <c r="B971" s="10" t="s">
        <v>450</v>
      </c>
      <c r="C971" s="11" t="s">
        <v>67</v>
      </c>
      <c r="D971" s="12">
        <v>1</v>
      </c>
      <c r="E971" s="12">
        <v>0</v>
      </c>
      <c r="F971" s="12">
        <v>1</v>
      </c>
      <c r="G971" s="337">
        <f>+VLOOKUP(Tabla1103453454455456479116117118120740126148156186254256287328340342343349364366376401413415417419444448449479480481482500501503504505506507508509510511512513514515516517518520521522523527528529530531[[#This Row],[ArtÃ­culo]],Tabla34[#All],3,0)</f>
        <v>13.40129132</v>
      </c>
      <c r="H971"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13.40129132</v>
      </c>
      <c r="J971" s="8" t="s">
        <v>13</v>
      </c>
      <c r="K971" s="15">
        <f>+K969+K970</f>
        <v>2380.6900457445004</v>
      </c>
    </row>
    <row r="972" spans="2:13" s="40" customFormat="1" x14ac:dyDescent="0.25">
      <c r="B972" s="10" t="s">
        <v>89</v>
      </c>
      <c r="C972" s="11" t="s">
        <v>67</v>
      </c>
      <c r="D972" s="12">
        <v>2</v>
      </c>
      <c r="E972" s="12">
        <v>0</v>
      </c>
      <c r="F972" s="12">
        <v>2</v>
      </c>
      <c r="G972" s="337">
        <f>+VLOOKUP(Tabla1103453454455456479116117118120740126148156186254256287328340342343349364366376401413415417419444448449479480481482500501503504505506507508509510511512513514515516517518520521522523527528529530531[[#This Row],[ArtÃ­culo]],Tabla34[#All],3,0)</f>
        <v>2.4009999999999998</v>
      </c>
      <c r="H972"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4.8019999999999996</v>
      </c>
      <c r="J972" s="20" t="s">
        <v>1313</v>
      </c>
      <c r="K972" s="328">
        <v>500</v>
      </c>
    </row>
    <row r="973" spans="2:13" s="40" customFormat="1" x14ac:dyDescent="0.25">
      <c r="B973" s="10" t="s">
        <v>840</v>
      </c>
      <c r="C973" s="11" t="s">
        <v>67</v>
      </c>
      <c r="D973" s="12">
        <v>1</v>
      </c>
      <c r="E973" s="12">
        <v>0</v>
      </c>
      <c r="F973" s="12">
        <v>1</v>
      </c>
      <c r="G973" s="337">
        <f>+VLOOKUP(Tabla1103453454455456479116117118120740126148156186254256287328340342343349364366376401413415417419444448449479480481482500501503504505506507508509510511512513514515516517518520521522523527528529530531[[#This Row],[ArtÃ­culo]],Tabla34[#All],3,0)</f>
        <v>57.218061669999997</v>
      </c>
      <c r="H973"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57.218061669999997</v>
      </c>
      <c r="J973" s="8" t="s">
        <v>15</v>
      </c>
      <c r="K973" s="15">
        <f>+K971/K972</f>
        <v>4.7613800914890003</v>
      </c>
    </row>
    <row r="974" spans="2:13" s="40" customFormat="1" x14ac:dyDescent="0.25">
      <c r="B974" s="10" t="s">
        <v>85</v>
      </c>
      <c r="C974" s="11" t="s">
        <v>67</v>
      </c>
      <c r="D974" s="12">
        <v>30</v>
      </c>
      <c r="E974" s="12">
        <v>0</v>
      </c>
      <c r="F974" s="12">
        <v>30</v>
      </c>
      <c r="G974" s="337">
        <f>+VLOOKUP(Tabla1103453454455456479116117118120740126148156186254256287328340342343349364366376401413415417419444448449479480481482500501503504505506507508509510511512513514515516517518520521522523527528529530531[[#This Row],[ArtÃ­culo]],Tabla34[#All],3,0)</f>
        <v>4.8816666700000004</v>
      </c>
      <c r="H974"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146.45000010000001</v>
      </c>
    </row>
    <row r="975" spans="2:13" s="40" customFormat="1" x14ac:dyDescent="0.25">
      <c r="B975" s="10" t="s">
        <v>966</v>
      </c>
      <c r="C975" s="11" t="s">
        <v>67</v>
      </c>
      <c r="D975" s="12">
        <v>30</v>
      </c>
      <c r="E975" s="12">
        <v>0</v>
      </c>
      <c r="F975" s="12">
        <v>30</v>
      </c>
      <c r="G975" s="337">
        <f>+VLOOKUP(Tabla1103453454455456479116117118120740126148156186254256287328340342343349364366376401413415417419444448449479480481482500501503504505506507508509510511512513514515516517518520521522523527528529530531[[#This Row],[ArtÃ­culo]],Tabla34[#All],3,0)</f>
        <v>0</v>
      </c>
      <c r="H975" s="338">
        <f>+Tabla1103453454455456479116117118120740126148156186254256287328340342343349364366376401413415417419444448449479480481482500501503504505506507508509510511512513514515516517518520521522523527528529530531[[#This Row],[Coste Componente]]*Tabla1103453454455456479116117118120740126148156186254256287328340342343349364366376401413415417419444448449479480481482500501503504505506507508509510511512513514515516517518520521522523527528529530531[[#This Row],[Unidades]]</f>
        <v>0</v>
      </c>
    </row>
    <row r="976" spans="2:13" s="40" customFormat="1" x14ac:dyDescent="0.25">
      <c r="B976" s="16"/>
      <c r="C976" s="17"/>
      <c r="D976" s="17"/>
      <c r="E976" s="17"/>
      <c r="F976" s="17"/>
      <c r="G976" s="18"/>
      <c r="H976" s="18">
        <f>SUBTOTAL(109,Tabla1103453454455456479116117118120740126148156186254256287328340342343349364366376401413415417419444448449479480481482500501503504505506507508509510511512513514515516517518520521522523527528529530531[Coste LÃ­nea])</f>
        <v>2267.3238530900003</v>
      </c>
    </row>
    <row r="977" s="40" customFormat="1" x14ac:dyDescent="0.25"/>
  </sheetData>
  <mergeCells count="91">
    <mergeCell ref="J7:K7"/>
    <mergeCell ref="J26:K26"/>
    <mergeCell ref="J33:K33"/>
    <mergeCell ref="J43:K43"/>
    <mergeCell ref="J53:K53"/>
    <mergeCell ref="J61:K61"/>
    <mergeCell ref="J71:K71"/>
    <mergeCell ref="J80:K80"/>
    <mergeCell ref="J97:K97"/>
    <mergeCell ref="J108:K108"/>
    <mergeCell ref="J122:K122"/>
    <mergeCell ref="J131:K131"/>
    <mergeCell ref="J144:K144"/>
    <mergeCell ref="J157:K157"/>
    <mergeCell ref="J170:K170"/>
    <mergeCell ref="J182:K182"/>
    <mergeCell ref="J194:K194"/>
    <mergeCell ref="J203:K203"/>
    <mergeCell ref="J215:K215"/>
    <mergeCell ref="J222:K222"/>
    <mergeCell ref="J234:K234"/>
    <mergeCell ref="J246:K246"/>
    <mergeCell ref="J258:K258"/>
    <mergeCell ref="J270:K270"/>
    <mergeCell ref="J286:K286"/>
    <mergeCell ref="J294:K294"/>
    <mergeCell ref="J302:K302"/>
    <mergeCell ref="J311:K311"/>
    <mergeCell ref="J326:K326"/>
    <mergeCell ref="J339:K339"/>
    <mergeCell ref="J398:K398"/>
    <mergeCell ref="J414:K414"/>
    <mergeCell ref="J431:K431"/>
    <mergeCell ref="J442:K442"/>
    <mergeCell ref="J347:K347"/>
    <mergeCell ref="J358:K358"/>
    <mergeCell ref="J373:K373"/>
    <mergeCell ref="J380:K380"/>
    <mergeCell ref="J389:K389"/>
    <mergeCell ref="J455:K455"/>
    <mergeCell ref="J466:K466"/>
    <mergeCell ref="J482:K482"/>
    <mergeCell ref="J493:K493"/>
    <mergeCell ref="J500:K500"/>
    <mergeCell ref="J507:K507"/>
    <mergeCell ref="J516:K516"/>
    <mergeCell ref="J526:K526"/>
    <mergeCell ref="J536:K536"/>
    <mergeCell ref="J546:K546"/>
    <mergeCell ref="J554:K554"/>
    <mergeCell ref="J564:K564"/>
    <mergeCell ref="J577:K577"/>
    <mergeCell ref="J584:K584"/>
    <mergeCell ref="J593:K593"/>
    <mergeCell ref="J605:K605"/>
    <mergeCell ref="J614:K614"/>
    <mergeCell ref="J621:K621"/>
    <mergeCell ref="J629:K629"/>
    <mergeCell ref="J638:K638"/>
    <mergeCell ref="J648:K648"/>
    <mergeCell ref="J660:K660"/>
    <mergeCell ref="J676:K676"/>
    <mergeCell ref="J684:K684"/>
    <mergeCell ref="J694:K694"/>
    <mergeCell ref="J708:K708"/>
    <mergeCell ref="J715:K715"/>
    <mergeCell ref="J723:K723"/>
    <mergeCell ref="J730:K730"/>
    <mergeCell ref="J739:K739"/>
    <mergeCell ref="J747:K747"/>
    <mergeCell ref="J757:K757"/>
    <mergeCell ref="J765:K765"/>
    <mergeCell ref="J773:K773"/>
    <mergeCell ref="J785:K785"/>
    <mergeCell ref="J793:K793"/>
    <mergeCell ref="J804:K804"/>
    <mergeCell ref="J815:K815"/>
    <mergeCell ref="J822:K822"/>
    <mergeCell ref="J832:K832"/>
    <mergeCell ref="J841:K841"/>
    <mergeCell ref="J852:K852"/>
    <mergeCell ref="J864:K864"/>
    <mergeCell ref="J877:K877"/>
    <mergeCell ref="J885:K885"/>
    <mergeCell ref="J960:K960"/>
    <mergeCell ref="J968:K968"/>
    <mergeCell ref="J893:K893"/>
    <mergeCell ref="J908:K908"/>
    <mergeCell ref="J920:K920"/>
    <mergeCell ref="J933:K933"/>
    <mergeCell ref="J945:K945"/>
  </mergeCells>
  <pageMargins left="0.7" right="0.7" top="0.75" bottom="0.75" header="0.3" footer="0.3"/>
  <drawing r:id="rId1"/>
  <tableParts count="22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D7B71-37AE-4D6C-9CF2-F818B6EE1356}">
  <dimension ref="B6:M62"/>
  <sheetViews>
    <sheetView showGridLines="0" topLeftCell="A49" workbookViewId="0">
      <selection activeCell="M53" sqref="M53:M54"/>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21875" bestFit="1" customWidth="1"/>
  </cols>
  <sheetData>
    <row r="6" spans="2:13" ht="15.6" x14ac:dyDescent="0.3">
      <c r="B6" s="1" t="s">
        <v>246</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SUM(Tabla1103453454455456479455868778695108117127136[Total costo])</f>
        <v>595.81166359999997</v>
      </c>
      <c r="M7" s="346"/>
    </row>
    <row r="8" spans="2:13" x14ac:dyDescent="0.3">
      <c r="B8" s="10" t="s">
        <v>887</v>
      </c>
      <c r="C8" s="11" t="s">
        <v>67</v>
      </c>
      <c r="D8" s="12">
        <v>2</v>
      </c>
      <c r="E8" s="12">
        <v>0</v>
      </c>
      <c r="F8" s="12">
        <v>2</v>
      </c>
      <c r="G8" s="13"/>
      <c r="H8" s="14">
        <f>+Tabla1103453454455456479455868778695108117127136[[#This Row],[Costo]]*Tabla1103453454455456479455868778695108117127136[[#This Row],[Columna2]]</f>
        <v>0</v>
      </c>
      <c r="I8" s="4"/>
      <c r="J8" s="8" t="s">
        <v>12</v>
      </c>
      <c r="K8" s="15">
        <f>+K7*10%</f>
        <v>59.581166359999997</v>
      </c>
    </row>
    <row r="9" spans="2:13" x14ac:dyDescent="0.3">
      <c r="B9" s="10" t="s">
        <v>134</v>
      </c>
      <c r="C9" s="11" t="s">
        <v>67</v>
      </c>
      <c r="D9" s="12">
        <v>40</v>
      </c>
      <c r="E9" s="12">
        <v>0</v>
      </c>
      <c r="F9" s="12">
        <v>40</v>
      </c>
      <c r="G9" s="13">
        <f>+VLOOKUP(Tabla1103453454455456479455868778695108117127136[[#This Row],[Ingrediente]],Tabla34[#All],3,0)</f>
        <v>5.7702915900000002</v>
      </c>
      <c r="H9" s="14">
        <f>+Tabla1103453454455456479455868778695108117127136[[#This Row],[Costo]]*Tabla1103453454455456479455868778695108117127136[[#This Row],[Columna2]]</f>
        <v>230.8116636</v>
      </c>
      <c r="I9" s="4"/>
      <c r="J9" s="8" t="s">
        <v>13</v>
      </c>
      <c r="K9" s="15">
        <f>+K7+K8</f>
        <v>655.39282995999997</v>
      </c>
    </row>
    <row r="10" spans="2:13" x14ac:dyDescent="0.3">
      <c r="B10" s="10" t="s">
        <v>183</v>
      </c>
      <c r="C10" s="11" t="s">
        <v>67</v>
      </c>
      <c r="D10" s="12">
        <v>140</v>
      </c>
      <c r="E10" s="12">
        <v>0</v>
      </c>
      <c r="F10" s="12">
        <v>140</v>
      </c>
      <c r="G10" s="13">
        <f>+VLOOKUP(Tabla1103453454455456479455868778695108117127136[[#This Row],[Ingrediente]],Tabla34[#All],3,0)</f>
        <v>1</v>
      </c>
      <c r="H10" s="14">
        <f>+Tabla1103453454455456479455868778695108117127136[[#This Row],[Costo]]*Tabla1103453454455456479455868778695108117127136[[#This Row],[Columna2]]</f>
        <v>140</v>
      </c>
      <c r="I10" s="4"/>
      <c r="J10" s="20" t="s">
        <v>14</v>
      </c>
      <c r="K10" s="21">
        <v>10000</v>
      </c>
    </row>
    <row r="11" spans="2:13" x14ac:dyDescent="0.3">
      <c r="B11" s="10" t="s">
        <v>38</v>
      </c>
      <c r="C11" s="11" t="s">
        <v>67</v>
      </c>
      <c r="D11" s="12">
        <v>200</v>
      </c>
      <c r="E11" s="12">
        <v>0</v>
      </c>
      <c r="F11" s="12">
        <v>200</v>
      </c>
      <c r="G11" s="13"/>
      <c r="H11" s="14">
        <f>+Tabla1103453454455456479455868778695108117127136[[#This Row],[Costo]]*Tabla1103453454455456479455868778695108117127136[[#This Row],[Columna2]]</f>
        <v>0</v>
      </c>
      <c r="I11" s="4"/>
      <c r="J11" s="8" t="s">
        <v>15</v>
      </c>
      <c r="K11" s="15">
        <f>+K10/1.08*0.08</f>
        <v>740.74074074074076</v>
      </c>
    </row>
    <row r="12" spans="2:13" x14ac:dyDescent="0.3">
      <c r="B12" s="10" t="s">
        <v>606</v>
      </c>
      <c r="C12" s="11" t="s">
        <v>67</v>
      </c>
      <c r="D12" s="12">
        <v>50</v>
      </c>
      <c r="E12" s="12">
        <v>0</v>
      </c>
      <c r="F12" s="12">
        <v>50</v>
      </c>
      <c r="G12" s="13">
        <f>+VLOOKUP(Tabla1103453454455456479455868778695108117127136[[#This Row],[Ingrediente]],Tabla34[#All],3,0)</f>
        <v>4.5</v>
      </c>
      <c r="H12" s="14">
        <f>+Tabla1103453454455456479455868778695108117127136[[#This Row],[Costo]]*Tabla1103453454455456479455868778695108117127136[[#This Row],[Columna2]]</f>
        <v>225</v>
      </c>
      <c r="I12" s="4"/>
      <c r="J12" s="8" t="s">
        <v>16</v>
      </c>
      <c r="K12" s="15">
        <f>+K10-K11</f>
        <v>9259.2592592592591</v>
      </c>
    </row>
    <row r="13" spans="2:13" x14ac:dyDescent="0.3">
      <c r="B13" s="16"/>
      <c r="C13" s="17"/>
      <c r="D13" s="17"/>
      <c r="E13" s="17"/>
      <c r="F13" s="17"/>
      <c r="G13" s="18"/>
      <c r="H13" s="18">
        <f>SUBTOTAL(109,Tabla1103453454455456479455868778695108117127136[Total costo])</f>
        <v>595.81166359999997</v>
      </c>
      <c r="I13" s="4"/>
      <c r="J13" s="8" t="s">
        <v>17</v>
      </c>
      <c r="K13" s="22">
        <f>+K9/K12</f>
        <v>7.0782425635680005E-2</v>
      </c>
    </row>
    <row r="14" spans="2:13" x14ac:dyDescent="0.3">
      <c r="I14" s="4"/>
      <c r="J14" s="8" t="s">
        <v>18</v>
      </c>
      <c r="K14" s="23">
        <f>+K12-K9</f>
        <v>8603.8664292992598</v>
      </c>
    </row>
    <row r="15" spans="2:13" x14ac:dyDescent="0.3">
      <c r="I15" s="4"/>
      <c r="J15" s="8" t="s">
        <v>19</v>
      </c>
      <c r="K15" s="25">
        <f>+K14/K9</f>
        <v>13.127800665479317</v>
      </c>
    </row>
    <row r="16" spans="2:13" x14ac:dyDescent="0.3">
      <c r="G16" s="4"/>
      <c r="H16" s="4"/>
      <c r="I16" s="31"/>
    </row>
    <row r="17" spans="2:13" x14ac:dyDescent="0.3">
      <c r="G17" s="4"/>
      <c r="H17" s="4"/>
      <c r="I17" s="31"/>
    </row>
    <row r="18" spans="2:13" ht="15.6" x14ac:dyDescent="0.3">
      <c r="B18" s="1" t="s">
        <v>247</v>
      </c>
      <c r="C18" s="2"/>
      <c r="D18" s="2"/>
      <c r="E18" s="3"/>
      <c r="F18" s="3"/>
      <c r="G18" s="3"/>
      <c r="H18" s="3"/>
      <c r="I18" s="4"/>
      <c r="J18" s="399" t="s">
        <v>0</v>
      </c>
      <c r="K18" s="399"/>
      <c r="M18" s="377" t="s">
        <v>1394</v>
      </c>
    </row>
    <row r="19" spans="2:13" x14ac:dyDescent="0.3">
      <c r="B19" s="5" t="s">
        <v>1</v>
      </c>
      <c r="C19" s="6" t="s">
        <v>2</v>
      </c>
      <c r="D19" s="6" t="s">
        <v>3</v>
      </c>
      <c r="E19" s="6" t="s">
        <v>920</v>
      </c>
      <c r="F19" s="6" t="s">
        <v>319</v>
      </c>
      <c r="G19" s="7" t="s">
        <v>4</v>
      </c>
      <c r="H19" s="7" t="s">
        <v>5</v>
      </c>
      <c r="I19" s="4"/>
      <c r="J19" s="8" t="s">
        <v>6</v>
      </c>
      <c r="K19" s="9">
        <f>SUM(Tabla110345345445545647936465969788796109118128137[Total costo])</f>
        <v>4251.7501564999993</v>
      </c>
      <c r="M19" s="346"/>
    </row>
    <row r="20" spans="2:13" x14ac:dyDescent="0.3">
      <c r="B20" s="10" t="s">
        <v>218</v>
      </c>
      <c r="C20" s="11" t="s">
        <v>67</v>
      </c>
      <c r="D20" s="12">
        <v>1</v>
      </c>
      <c r="E20" s="12">
        <v>0</v>
      </c>
      <c r="F20" s="12">
        <v>1</v>
      </c>
      <c r="G20" s="13">
        <f>+VLOOKUP(Tabla110345345445545647936465969788796109118128137[[#This Row],[Ingrediente]],Tabla34[#All],3,0)</f>
        <v>9</v>
      </c>
      <c r="H20" s="14">
        <f>+Tabla110345345445545647936465969788796109118128137[[#This Row],[Costo]]*Tabla110345345445545647936465969788796109118128137[[#This Row],[Columna2]]</f>
        <v>9</v>
      </c>
      <c r="I20" s="4"/>
      <c r="J20" s="8" t="s">
        <v>12</v>
      </c>
      <c r="K20" s="15">
        <f>+K19*10%</f>
        <v>425.17501564999998</v>
      </c>
    </row>
    <row r="21" spans="2:13" x14ac:dyDescent="0.3">
      <c r="B21" s="10" t="s">
        <v>637</v>
      </c>
      <c r="C21" s="11" t="s">
        <v>847</v>
      </c>
      <c r="D21" s="12">
        <v>1</v>
      </c>
      <c r="E21" s="12">
        <v>0</v>
      </c>
      <c r="F21" s="12">
        <v>1</v>
      </c>
      <c r="G21" s="13">
        <f>+VLOOKUP(Tabla110345345445545647936465969788796109118128137[[#This Row],[Ingrediente]],Tabla34[#All],3,0)</f>
        <v>3300</v>
      </c>
      <c r="H21" s="14">
        <f>+Tabla110345345445545647936465969788796109118128137[[#This Row],[Costo]]*Tabla110345345445545647936465969788796109118128137[[#This Row],[Columna2]]</f>
        <v>3300</v>
      </c>
      <c r="I21" s="4"/>
      <c r="J21" s="8" t="s">
        <v>13</v>
      </c>
      <c r="K21" s="15">
        <f>+K19+K20</f>
        <v>4676.9251721499995</v>
      </c>
    </row>
    <row r="22" spans="2:13" x14ac:dyDescent="0.3">
      <c r="B22" s="10" t="s">
        <v>816</v>
      </c>
      <c r="C22" s="11" t="s">
        <v>67</v>
      </c>
      <c r="D22" s="12">
        <v>10</v>
      </c>
      <c r="E22" s="12">
        <v>0</v>
      </c>
      <c r="F22" s="12">
        <v>10</v>
      </c>
      <c r="G22" s="13">
        <f>+VLOOKUP(Tabla110345345445545647936465969788796109118128137[[#This Row],[Ingrediente]],Tabla34[#All],3,0)</f>
        <v>45.040723980000003</v>
      </c>
      <c r="H22" s="14">
        <f>+Tabla110345345445545647936465969788796109118128137[[#This Row],[Costo]]*Tabla110345345445545647936465969788796109118128137[[#This Row],[Columna2]]</f>
        <v>450.40723980000001</v>
      </c>
      <c r="I22" s="27"/>
      <c r="J22" s="20" t="s">
        <v>14</v>
      </c>
      <c r="K22" s="21">
        <v>13000</v>
      </c>
    </row>
    <row r="23" spans="2:13" x14ac:dyDescent="0.3">
      <c r="B23" s="10" t="s">
        <v>134</v>
      </c>
      <c r="C23" s="11" t="s">
        <v>67</v>
      </c>
      <c r="D23" s="12">
        <v>10</v>
      </c>
      <c r="E23" s="12">
        <v>0</v>
      </c>
      <c r="F23" s="12">
        <v>10</v>
      </c>
      <c r="G23" s="13">
        <f>+VLOOKUP(Tabla110345345445545647936465969788796109118128137[[#This Row],[Ingrediente]],Tabla34[#All],3,0)</f>
        <v>5.7702915900000002</v>
      </c>
      <c r="H23" s="14">
        <f>+Tabla110345345445545647936465969788796109118128137[[#This Row],[Costo]]*Tabla110345345445545647936465969788796109118128137[[#This Row],[Columna2]]</f>
        <v>57.702915900000001</v>
      </c>
      <c r="J23" s="8" t="s">
        <v>15</v>
      </c>
      <c r="K23" s="15">
        <f>+K22/1.08*0.08</f>
        <v>962.96296296296293</v>
      </c>
    </row>
    <row r="24" spans="2:13" x14ac:dyDescent="0.3">
      <c r="B24" s="10" t="s">
        <v>168</v>
      </c>
      <c r="C24" s="11" t="s">
        <v>67</v>
      </c>
      <c r="D24" s="12">
        <v>40</v>
      </c>
      <c r="E24" s="12">
        <v>0</v>
      </c>
      <c r="F24" s="12">
        <v>40</v>
      </c>
      <c r="G24" s="13">
        <f>+VLOOKUP(Tabla110345345445545647936465969788796109118128137[[#This Row],[Ingrediente]],Tabla34[#All],3,0)</f>
        <v>10.86600002</v>
      </c>
      <c r="H24" s="14">
        <f>+Tabla110345345445545647936465969788796109118128137[[#This Row],[Costo]]*Tabla110345345445545647936465969788796109118128137[[#This Row],[Columna2]]</f>
        <v>434.6400008</v>
      </c>
      <c r="J24" s="8" t="s">
        <v>16</v>
      </c>
      <c r="K24" s="15">
        <f>+K22-K23</f>
        <v>12037.037037037036</v>
      </c>
    </row>
    <row r="25" spans="2:13" x14ac:dyDescent="0.3">
      <c r="B25" s="16"/>
      <c r="C25" s="17"/>
      <c r="D25" s="17"/>
      <c r="E25" s="17"/>
      <c r="F25" s="17"/>
      <c r="G25" s="18"/>
      <c r="H25" s="18">
        <f>SUBTOTAL(109,Tabla110345345445545647936465969788796109118128137[Total costo])</f>
        <v>4251.7501564999993</v>
      </c>
      <c r="I25" s="4"/>
      <c r="J25" s="8" t="s">
        <v>17</v>
      </c>
      <c r="K25" s="22">
        <f>+K21/K24</f>
        <v>0.38854455276323074</v>
      </c>
    </row>
    <row r="26" spans="2:13" x14ac:dyDescent="0.3">
      <c r="I26" s="4"/>
      <c r="J26" s="8" t="s">
        <v>18</v>
      </c>
      <c r="K26" s="23">
        <f>+K24-K21</f>
        <v>7360.111864887037</v>
      </c>
    </row>
    <row r="27" spans="2:13" x14ac:dyDescent="0.3">
      <c r="I27" s="4"/>
      <c r="J27" s="8" t="s">
        <v>19</v>
      </c>
      <c r="K27" s="25">
        <f>+K26/K21</f>
        <v>1.5737074239961737</v>
      </c>
    </row>
    <row r="28" spans="2:13" x14ac:dyDescent="0.3">
      <c r="G28" s="4"/>
      <c r="H28" s="4"/>
      <c r="I28" s="26"/>
    </row>
    <row r="29" spans="2:13" ht="15.6" x14ac:dyDescent="0.3">
      <c r="B29" s="1" t="s">
        <v>248</v>
      </c>
      <c r="C29" s="2"/>
      <c r="D29" s="2"/>
      <c r="E29" s="3"/>
      <c r="F29" s="3"/>
      <c r="G29" s="3"/>
      <c r="H29" s="3"/>
      <c r="I29" s="4"/>
      <c r="J29" s="399" t="s">
        <v>0</v>
      </c>
      <c r="K29" s="399"/>
      <c r="M29" s="377" t="s">
        <v>1394</v>
      </c>
    </row>
    <row r="30" spans="2:13" x14ac:dyDescent="0.3">
      <c r="B30" s="5" t="s">
        <v>1</v>
      </c>
      <c r="C30" s="6" t="s">
        <v>2</v>
      </c>
      <c r="D30" s="6" t="s">
        <v>3</v>
      </c>
      <c r="E30" s="6" t="s">
        <v>920</v>
      </c>
      <c r="F30" s="6" t="s">
        <v>319</v>
      </c>
      <c r="G30" s="7" t="s">
        <v>4</v>
      </c>
      <c r="H30" s="7" t="s">
        <v>5</v>
      </c>
      <c r="I30" s="4"/>
      <c r="J30" s="8" t="s">
        <v>6</v>
      </c>
      <c r="K30" s="9">
        <f>SUM(Tabla11034534544554564793637476070798897110119129138[Total costo])</f>
        <v>2136.4500001000001</v>
      </c>
      <c r="M30" s="346"/>
    </row>
    <row r="31" spans="2:13" x14ac:dyDescent="0.3">
      <c r="B31" s="10" t="s">
        <v>85</v>
      </c>
      <c r="C31" s="11" t="s">
        <v>67</v>
      </c>
      <c r="D31" s="12">
        <v>30</v>
      </c>
      <c r="E31" s="12">
        <v>0</v>
      </c>
      <c r="F31" s="12">
        <v>30</v>
      </c>
      <c r="G31" s="13">
        <f>+VLOOKUP(Tabla11034534544554564793637476070798897110119129138[[#This Row],[Ingrediente]],Tabla34[#All],3,0)</f>
        <v>4.8816666700000004</v>
      </c>
      <c r="H31" s="14">
        <f>+Tabla11034534544554564793637476070798897110119129138[[#This Row],[Costo]]*Tabla11034534544554564793637476070798897110119129138[[#This Row],[Columna2]]</f>
        <v>146.45000010000001</v>
      </c>
      <c r="I31" s="4"/>
      <c r="J31" s="8" t="s">
        <v>12</v>
      </c>
      <c r="K31" s="15">
        <f>+K30*10%</f>
        <v>213.64500001000002</v>
      </c>
    </row>
    <row r="32" spans="2:13" x14ac:dyDescent="0.3">
      <c r="B32" s="10" t="s">
        <v>656</v>
      </c>
      <c r="C32" s="11" t="s">
        <v>847</v>
      </c>
      <c r="D32" s="12">
        <v>1</v>
      </c>
      <c r="E32" s="12">
        <v>0</v>
      </c>
      <c r="F32" s="12">
        <v>1</v>
      </c>
      <c r="G32" s="13">
        <f>+VLOOKUP(Tabla11034534544554564793637476070798897110119129138[[#This Row],[Ingrediente]],Tabla34[#All],3,0)</f>
        <v>1900</v>
      </c>
      <c r="H32" s="14">
        <f>+Tabla11034534544554564793637476070798897110119129138[[#This Row],[Costo]]*Tabla11034534544554564793637476070798897110119129138[[#This Row],[Columna2]]</f>
        <v>1900</v>
      </c>
      <c r="I32" s="4"/>
      <c r="J32" s="8" t="s">
        <v>13</v>
      </c>
      <c r="K32" s="15">
        <f>+K30+K31</f>
        <v>2350.09500011</v>
      </c>
    </row>
    <row r="33" spans="2:13" x14ac:dyDescent="0.3">
      <c r="B33" s="10" t="s">
        <v>721</v>
      </c>
      <c r="C33" s="11" t="s">
        <v>67</v>
      </c>
      <c r="D33" s="12">
        <v>1</v>
      </c>
      <c r="E33" s="12">
        <v>0</v>
      </c>
      <c r="F33" s="12">
        <v>1</v>
      </c>
      <c r="G33" s="13">
        <f>+VLOOKUP(Tabla11034534544554564793637476070798897110119129138[[#This Row],[Ingrediente]],Tabla34[#All],3,0)</f>
        <v>90</v>
      </c>
      <c r="H33" s="14">
        <f>+Tabla11034534544554564793637476070798897110119129138[[#This Row],[Costo]]*Tabla11034534544554564793637476070798897110119129138[[#This Row],[Columna2]]</f>
        <v>90</v>
      </c>
      <c r="I33" s="4"/>
      <c r="J33" s="20" t="s">
        <v>14</v>
      </c>
      <c r="K33" s="21">
        <v>13000</v>
      </c>
    </row>
    <row r="34" spans="2:13" x14ac:dyDescent="0.3">
      <c r="B34" s="10" t="s">
        <v>38</v>
      </c>
      <c r="C34" s="11" t="s">
        <v>67</v>
      </c>
      <c r="D34" s="12">
        <v>200</v>
      </c>
      <c r="E34" s="12">
        <v>0</v>
      </c>
      <c r="F34" s="12">
        <v>200</v>
      </c>
      <c r="G34" s="13"/>
      <c r="H34" s="14">
        <f>+Tabla11034534544554564793637476070798897110119129138[[#This Row],[Costo]]*Tabla11034534544554564793637476070798897110119129138[[#This Row],[Columna2]]</f>
        <v>0</v>
      </c>
      <c r="I34" s="4"/>
      <c r="J34" s="8" t="s">
        <v>15</v>
      </c>
      <c r="K34" s="15">
        <f>+K33/1.08*0.08</f>
        <v>962.96296296296293</v>
      </c>
    </row>
    <row r="35" spans="2:13" x14ac:dyDescent="0.3">
      <c r="B35" s="16"/>
      <c r="C35" s="17"/>
      <c r="D35" s="17"/>
      <c r="E35" s="17"/>
      <c r="F35" s="17"/>
      <c r="G35" s="18"/>
      <c r="H35" s="18">
        <f>SUBTOTAL(109,Tabla11034534544554564793637476070798897110119129138[Total costo])</f>
        <v>2136.4500001000001</v>
      </c>
      <c r="I35" s="4"/>
      <c r="J35" s="8" t="s">
        <v>16</v>
      </c>
      <c r="K35" s="15">
        <f>+K33-K34</f>
        <v>12037.037037037036</v>
      </c>
    </row>
    <row r="36" spans="2:13" x14ac:dyDescent="0.3">
      <c r="I36" s="27"/>
      <c r="J36" s="8" t="s">
        <v>17</v>
      </c>
      <c r="K36" s="22">
        <f>+K32/K35</f>
        <v>0.1952386615476</v>
      </c>
    </row>
    <row r="37" spans="2:13" x14ac:dyDescent="0.3">
      <c r="J37" s="8" t="s">
        <v>18</v>
      </c>
      <c r="K37" s="23">
        <f>+K35-K32</f>
        <v>9686.9420369270374</v>
      </c>
    </row>
    <row r="38" spans="2:13" x14ac:dyDescent="0.3">
      <c r="J38" s="8" t="s">
        <v>19</v>
      </c>
      <c r="K38" s="25">
        <f>+K37/K32</f>
        <v>4.121936362774111</v>
      </c>
    </row>
    <row r="39" spans="2:13" x14ac:dyDescent="0.3">
      <c r="G39" s="4"/>
      <c r="H39" s="4"/>
      <c r="I39" s="31"/>
    </row>
    <row r="40" spans="2:13" ht="15.6" x14ac:dyDescent="0.3">
      <c r="B40" s="1" t="s">
        <v>249</v>
      </c>
      <c r="C40" s="2"/>
      <c r="D40" s="2"/>
      <c r="E40" s="3"/>
      <c r="F40" s="3"/>
      <c r="G40" s="3"/>
      <c r="H40" s="3"/>
      <c r="I40" s="4"/>
      <c r="J40" s="399" t="s">
        <v>0</v>
      </c>
      <c r="K40" s="399"/>
      <c r="M40" s="377" t="s">
        <v>1394</v>
      </c>
    </row>
    <row r="41" spans="2:13" x14ac:dyDescent="0.3">
      <c r="B41" s="5" t="s">
        <v>1</v>
      </c>
      <c r="C41" s="6" t="s">
        <v>2</v>
      </c>
      <c r="D41" s="6" t="s">
        <v>3</v>
      </c>
      <c r="E41" s="6" t="s">
        <v>920</v>
      </c>
      <c r="F41" s="6" t="s">
        <v>319</v>
      </c>
      <c r="G41" s="7" t="s">
        <v>4</v>
      </c>
      <c r="H41" s="7" t="s">
        <v>5</v>
      </c>
      <c r="I41" s="4"/>
      <c r="J41" s="8" t="s">
        <v>6</v>
      </c>
      <c r="K41" s="9">
        <f>SUM(Tabla11034534544554564793638486171808998111120130139[Total costo])</f>
        <v>1969.1210527300002</v>
      </c>
      <c r="M41" s="346"/>
    </row>
    <row r="42" spans="2:13" x14ac:dyDescent="0.3">
      <c r="B42" s="10" t="s">
        <v>104</v>
      </c>
      <c r="C42" s="11" t="s">
        <v>847</v>
      </c>
      <c r="D42" s="12">
        <v>1</v>
      </c>
      <c r="E42" s="12">
        <v>0</v>
      </c>
      <c r="F42" s="12">
        <v>1</v>
      </c>
      <c r="G42" s="13">
        <f>+VLOOKUP(Tabla11034534544554564793638486171808998111120130139[[#This Row],[Ingrediente]],Tabla34[#All],3,0)</f>
        <v>1800</v>
      </c>
      <c r="H42" s="14">
        <f>+Tabla11034534544554564793638486171808998111120130139[[#This Row],[Costo]]*Tabla11034534544554564793638486171808998111120130139[[#This Row],[Columna2]]</f>
        <v>1800</v>
      </c>
      <c r="I42" s="4"/>
      <c r="J42" s="8" t="s">
        <v>12</v>
      </c>
      <c r="K42" s="15">
        <f>+K41*10%</f>
        <v>196.91210527300004</v>
      </c>
    </row>
    <row r="43" spans="2:13" x14ac:dyDescent="0.3">
      <c r="B43" s="10" t="s">
        <v>85</v>
      </c>
      <c r="C43" s="11" t="s">
        <v>67</v>
      </c>
      <c r="D43" s="12">
        <v>30</v>
      </c>
      <c r="E43" s="12">
        <v>0</v>
      </c>
      <c r="F43" s="12">
        <v>30</v>
      </c>
      <c r="G43" s="13">
        <f>+VLOOKUP(Tabla11034534544554564793638486171808998111120130139[[#This Row],[Ingrediente]],Tabla34[#All],3,0)</f>
        <v>4.8816666700000004</v>
      </c>
      <c r="H43" s="14">
        <f>+Tabla11034534544554564793638486171808998111120130139[[#This Row],[Costo]]*Tabla11034534544554564793638486171808998111120130139[[#This Row],[Columna2]]</f>
        <v>146.45000010000001</v>
      </c>
      <c r="I43" s="4"/>
      <c r="J43" s="8" t="s">
        <v>13</v>
      </c>
      <c r="K43" s="15">
        <f>+K41+K42</f>
        <v>2166.0331580030002</v>
      </c>
    </row>
    <row r="44" spans="2:13" x14ac:dyDescent="0.3">
      <c r="B44" s="10" t="s">
        <v>808</v>
      </c>
      <c r="C44" s="11" t="s">
        <v>67</v>
      </c>
      <c r="D44" s="12">
        <v>1</v>
      </c>
      <c r="E44" s="12">
        <v>0</v>
      </c>
      <c r="F44" s="12">
        <v>1</v>
      </c>
      <c r="G44" s="13">
        <f>+VLOOKUP(Tabla11034534544554564793638486171808998111120130139[[#This Row],[Ingrediente]],Tabla34[#All],3,0)</f>
        <v>22.671052629999998</v>
      </c>
      <c r="H44" s="14">
        <f>+Tabla11034534544554564793638486171808998111120130139[[#This Row],[Costo]]*Tabla11034534544554564793638486171808998111120130139[[#This Row],[Columna2]]</f>
        <v>22.671052629999998</v>
      </c>
      <c r="I44" s="4"/>
      <c r="J44" s="20" t="s">
        <v>14</v>
      </c>
      <c r="K44" s="21">
        <v>13500</v>
      </c>
    </row>
    <row r="45" spans="2:13" x14ac:dyDescent="0.3">
      <c r="B45" s="10" t="s">
        <v>38</v>
      </c>
      <c r="C45" s="11" t="s">
        <v>67</v>
      </c>
      <c r="D45" s="12">
        <v>200</v>
      </c>
      <c r="E45" s="12">
        <v>0</v>
      </c>
      <c r="F45" s="12">
        <v>200</v>
      </c>
      <c r="G45" s="13"/>
      <c r="H45" s="14">
        <f>+Tabla11034534544554564793638486171808998111120130139[[#This Row],[Costo]]*Tabla11034534544554564793638486171808998111120130139[[#This Row],[Columna2]]</f>
        <v>0</v>
      </c>
      <c r="I45" s="4"/>
      <c r="J45" s="8" t="s">
        <v>15</v>
      </c>
      <c r="K45" s="15">
        <f>+K44/1.08*0.08</f>
        <v>1000</v>
      </c>
    </row>
    <row r="46" spans="2:13" x14ac:dyDescent="0.3">
      <c r="B46" s="16"/>
      <c r="C46" s="17"/>
      <c r="D46" s="17"/>
      <c r="E46" s="17"/>
      <c r="F46" s="17"/>
      <c r="G46" s="18"/>
      <c r="H46" s="18">
        <f>SUBTOTAL(109,Tabla11034534544554564793638486171808998111120130139[Total costo])</f>
        <v>1969.1210527300002</v>
      </c>
      <c r="I46" s="4"/>
      <c r="J46" s="8" t="s">
        <v>16</v>
      </c>
      <c r="K46" s="15">
        <f>+K44-K45</f>
        <v>12500</v>
      </c>
    </row>
    <row r="47" spans="2:13" x14ac:dyDescent="0.3">
      <c r="I47" s="4"/>
      <c r="J47" s="8" t="s">
        <v>17</v>
      </c>
      <c r="K47" s="22">
        <f>+K43/K46</f>
        <v>0.17328265264024001</v>
      </c>
    </row>
    <row r="48" spans="2:13" x14ac:dyDescent="0.3">
      <c r="I48" s="4"/>
      <c r="J48" s="8" t="s">
        <v>18</v>
      </c>
      <c r="K48" s="23">
        <f>+K46-K43</f>
        <v>10333.966841997</v>
      </c>
    </row>
    <row r="49" spans="2:13" x14ac:dyDescent="0.3">
      <c r="I49" s="4"/>
      <c r="J49" s="8" t="s">
        <v>19</v>
      </c>
      <c r="K49" s="25">
        <f>+K48/K43</f>
        <v>4.7709181199813777</v>
      </c>
    </row>
    <row r="50" spans="2:13" x14ac:dyDescent="0.3">
      <c r="G50" s="4"/>
      <c r="H50" s="4"/>
      <c r="I50" s="26"/>
    </row>
    <row r="51" spans="2:13" x14ac:dyDescent="0.3">
      <c r="G51" s="27"/>
      <c r="H51" s="4"/>
      <c r="I51" s="26"/>
    </row>
    <row r="52" spans="2:13" x14ac:dyDescent="0.3">
      <c r="H52" s="27"/>
      <c r="I52" s="27"/>
    </row>
    <row r="53" spans="2:13" ht="15.6" x14ac:dyDescent="0.3">
      <c r="B53" s="1" t="s">
        <v>1276</v>
      </c>
      <c r="C53" s="2"/>
      <c r="D53" s="2"/>
      <c r="E53" s="3"/>
      <c r="F53" s="3"/>
      <c r="G53" s="3"/>
      <c r="H53" s="3"/>
      <c r="I53" s="4"/>
      <c r="J53" s="399" t="s">
        <v>0</v>
      </c>
      <c r="K53" s="399"/>
      <c r="M53" s="377" t="s">
        <v>1394</v>
      </c>
    </row>
    <row r="54" spans="2:13" x14ac:dyDescent="0.3">
      <c r="B54" s="5" t="s">
        <v>1</v>
      </c>
      <c r="C54" s="6" t="s">
        <v>2</v>
      </c>
      <c r="D54" s="6" t="s">
        <v>3</v>
      </c>
      <c r="E54" s="6" t="s">
        <v>920</v>
      </c>
      <c r="F54" s="6" t="s">
        <v>319</v>
      </c>
      <c r="G54" s="7" t="s">
        <v>4</v>
      </c>
      <c r="H54" s="7" t="s">
        <v>5</v>
      </c>
      <c r="I54" s="4"/>
      <c r="J54" s="8" t="s">
        <v>6</v>
      </c>
      <c r="K54" s="9">
        <f>SUM(Tabla11034534544554564793638486171808998111120130139162[Total costo])</f>
        <v>3776.5467108900002</v>
      </c>
      <c r="M54" s="346"/>
    </row>
    <row r="55" spans="2:13" x14ac:dyDescent="0.3">
      <c r="B55" s="10" t="s">
        <v>105</v>
      </c>
      <c r="C55" s="11" t="s">
        <v>847</v>
      </c>
      <c r="D55" s="12">
        <v>1</v>
      </c>
      <c r="E55" s="12">
        <v>0</v>
      </c>
      <c r="F55" s="12">
        <v>1</v>
      </c>
      <c r="G55" s="13">
        <f>+VLOOKUP(Tabla11034534544554564793638486171808998111120130139162[[#This Row],[Ingrediente]],Tabla34[#All],3,0)</f>
        <v>2714.2857142900002</v>
      </c>
      <c r="H55" s="14">
        <f>+Tabla11034534544554564793638486171808998111120130139162[[#This Row],[Costo]]*Tabla11034534544554564793638486171808998111120130139162[[#This Row],[Columna2]]</f>
        <v>2714.2857142900002</v>
      </c>
      <c r="I55" s="4"/>
      <c r="J55" s="8" t="s">
        <v>12</v>
      </c>
      <c r="K55" s="15">
        <f>+K54*10%</f>
        <v>377.65467108900003</v>
      </c>
    </row>
    <row r="56" spans="2:13" x14ac:dyDescent="0.3">
      <c r="B56" s="10" t="s">
        <v>89</v>
      </c>
      <c r="C56" s="11" t="s">
        <v>67</v>
      </c>
      <c r="D56" s="12">
        <v>1</v>
      </c>
      <c r="E56" s="12">
        <v>0</v>
      </c>
      <c r="F56" s="12">
        <v>1</v>
      </c>
      <c r="G56" s="13">
        <f>+VLOOKUP(Tabla11034534544554564793638486171808998111120130139162[[#This Row],[Ingrediente]],Tabla34[#All],3,0)</f>
        <v>2.4009999999999998</v>
      </c>
      <c r="H56" s="14">
        <f>+Tabla11034534544554564793638486171808998111120130139162[[#This Row],[Costo]]*Tabla11034534544554564793638486171808998111120130139162[[#This Row],[Columna2]]</f>
        <v>2.4009999999999998</v>
      </c>
      <c r="I56" s="4"/>
      <c r="J56" s="8" t="s">
        <v>13</v>
      </c>
      <c r="K56" s="15">
        <f>+K54+K55</f>
        <v>4154.201381979</v>
      </c>
    </row>
    <row r="57" spans="2:13" x14ac:dyDescent="0.3">
      <c r="B57" s="10" t="s">
        <v>223</v>
      </c>
      <c r="C57" s="11" t="s">
        <v>67</v>
      </c>
      <c r="D57" s="12">
        <v>1</v>
      </c>
      <c r="E57" s="12">
        <v>0</v>
      </c>
      <c r="F57" s="12">
        <v>1</v>
      </c>
      <c r="G57" s="13">
        <f>+VLOOKUP(Tabla11034534544554564793638486171808998111120130139162[[#This Row],[Ingrediente]],Tabla34[#All],3,0)</f>
        <v>61.682499999999997</v>
      </c>
      <c r="H57" s="14">
        <f>+Tabla11034534544554564793638486171808998111120130139162[[#This Row],[Costo]]*Tabla11034534544554564793638486171808998111120130139162[[#This Row],[Columna2]]</f>
        <v>61.682499999999997</v>
      </c>
      <c r="I57" s="4"/>
      <c r="J57" s="20" t="s">
        <v>14</v>
      </c>
      <c r="K57" s="21">
        <v>13500</v>
      </c>
    </row>
    <row r="58" spans="2:13" x14ac:dyDescent="0.3">
      <c r="B58" s="10" t="s">
        <v>38</v>
      </c>
      <c r="C58" s="11" t="s">
        <v>67</v>
      </c>
      <c r="D58" s="12">
        <v>150</v>
      </c>
      <c r="E58" s="12">
        <v>0</v>
      </c>
      <c r="F58" s="12">
        <v>150</v>
      </c>
      <c r="G58" s="13"/>
      <c r="H58" s="14">
        <f>+Tabla11034534544554564793638486171808998111120130139162[[#This Row],[Costo]]*Tabla11034534544554564793638486171808998111120130139162[[#This Row],[Columna2]]</f>
        <v>0</v>
      </c>
      <c r="I58" s="4"/>
      <c r="J58" s="8" t="s">
        <v>15</v>
      </c>
      <c r="K58" s="15">
        <f>+K57/1.08*0.08</f>
        <v>1000</v>
      </c>
    </row>
    <row r="59" spans="2:13" x14ac:dyDescent="0.3">
      <c r="B59" s="10" t="s">
        <v>168</v>
      </c>
      <c r="C59" s="11" t="s">
        <v>67</v>
      </c>
      <c r="D59" s="12">
        <v>60</v>
      </c>
      <c r="E59" s="12">
        <v>0</v>
      </c>
      <c r="F59" s="12">
        <v>60</v>
      </c>
      <c r="G59" s="13">
        <f>+VLOOKUP(Tabla11034534544554564793638486171808998111120130139162[[#This Row],[Ingrediente]],Tabla34[#All],3,0)</f>
        <v>10.86600002</v>
      </c>
      <c r="H59" s="14">
        <f>+Tabla11034534544554564793638486171808998111120130139162[[#This Row],[Costo]]*Tabla11034534544554564793638486171808998111120130139162[[#This Row],[Columna2]]</f>
        <v>651.96000119999997</v>
      </c>
      <c r="I59" s="4"/>
      <c r="J59" s="8" t="s">
        <v>16</v>
      </c>
      <c r="K59" s="15">
        <f>+K57-K58</f>
        <v>12500</v>
      </c>
    </row>
    <row r="60" spans="2:13" x14ac:dyDescent="0.3">
      <c r="B60" s="10" t="s">
        <v>134</v>
      </c>
      <c r="C60" s="11" t="s">
        <v>67</v>
      </c>
      <c r="D60" s="12">
        <v>60</v>
      </c>
      <c r="E60" s="12">
        <v>0</v>
      </c>
      <c r="F60" s="12">
        <v>60</v>
      </c>
      <c r="G60" s="13">
        <f>+VLOOKUP(Tabla11034534544554564793638486171808998111120130139162[[#This Row],[Ingrediente]],Tabla34[#All],3,0)</f>
        <v>5.7702915900000002</v>
      </c>
      <c r="H60" s="14">
        <f>+Tabla11034534544554564793638486171808998111120130139162[[#This Row],[Costo]]*Tabla11034534544554564793638486171808998111120130139162[[#This Row],[Columna2]]</f>
        <v>346.21749540000002</v>
      </c>
      <c r="I60" s="4"/>
      <c r="J60" s="8" t="s">
        <v>17</v>
      </c>
      <c r="K60" s="22">
        <f>+K56/K59</f>
        <v>0.33233611055832002</v>
      </c>
    </row>
    <row r="61" spans="2:13" x14ac:dyDescent="0.3">
      <c r="B61" s="16"/>
      <c r="C61" s="17"/>
      <c r="D61" s="17"/>
      <c r="E61" s="17"/>
      <c r="F61" s="17"/>
      <c r="G61" s="18"/>
      <c r="H61" s="18">
        <f>SUBTOTAL(109,Tabla11034534544554564793638486171808998111120130139162[Total costo])</f>
        <v>3776.5467108900002</v>
      </c>
      <c r="I61" s="4"/>
      <c r="J61" s="8" t="s">
        <v>18</v>
      </c>
      <c r="K61" s="23">
        <f>+K59-K56</f>
        <v>8345.7986180209991</v>
      </c>
    </row>
    <row r="62" spans="2:13" x14ac:dyDescent="0.3">
      <c r="I62" s="4"/>
      <c r="J62" s="8" t="s">
        <v>19</v>
      </c>
      <c r="K62" s="25">
        <f>+K61/K56</f>
        <v>2.0090019357812605</v>
      </c>
    </row>
  </sheetData>
  <mergeCells count="5">
    <mergeCell ref="J6:K6"/>
    <mergeCell ref="J18:K18"/>
    <mergeCell ref="J29:K29"/>
    <mergeCell ref="J40:K40"/>
    <mergeCell ref="J53:K53"/>
  </mergeCells>
  <phoneticPr fontId="16" type="noConversion"/>
  <conditionalFormatting sqref="K13">
    <cfRule type="cellIs" dxfId="2633" priority="19" operator="lessThan">
      <formula>0.3</formula>
    </cfRule>
    <cfRule type="cellIs" dxfId="2632" priority="20" operator="greaterThan">
      <formula>0.3</formula>
    </cfRule>
  </conditionalFormatting>
  <conditionalFormatting sqref="K25">
    <cfRule type="cellIs" dxfId="2631" priority="17" operator="lessThan">
      <formula>0.3</formula>
    </cfRule>
    <cfRule type="cellIs" dxfId="2630" priority="18" operator="greaterThan">
      <formula>0.3</formula>
    </cfRule>
  </conditionalFormatting>
  <conditionalFormatting sqref="K36">
    <cfRule type="cellIs" dxfId="2629" priority="15" operator="lessThan">
      <formula>0.3</formula>
    </cfRule>
    <cfRule type="cellIs" dxfId="2628" priority="16" operator="greaterThan">
      <formula>0.3</formula>
    </cfRule>
  </conditionalFormatting>
  <conditionalFormatting sqref="K47">
    <cfRule type="cellIs" dxfId="2627" priority="13" operator="lessThan">
      <formula>0.3</formula>
    </cfRule>
    <cfRule type="cellIs" dxfId="2626" priority="14" operator="greaterThan">
      <formula>0.3</formula>
    </cfRule>
  </conditionalFormatting>
  <conditionalFormatting sqref="K60">
    <cfRule type="cellIs" dxfId="2625" priority="1" operator="lessThan">
      <formula>0.3</formula>
    </cfRule>
    <cfRule type="cellIs" dxfId="2624" priority="2" operator="greaterThan">
      <formula>0.3</formula>
    </cfRule>
  </conditionalFormatting>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1694-B59E-4BE0-BE47-44E10746713E}">
  <dimension ref="B6:M58"/>
  <sheetViews>
    <sheetView showGridLines="0" workbookViewId="0">
      <selection activeCell="M6" sqref="M6:M16"/>
    </sheetView>
  </sheetViews>
  <sheetFormatPr baseColWidth="10" defaultRowHeight="14.4" x14ac:dyDescent="0.3"/>
  <cols>
    <col min="1" max="1" width="4" customWidth="1"/>
    <col min="2" max="2" width="32" customWidth="1"/>
    <col min="4" max="8" width="9.77734375" customWidth="1"/>
    <col min="9" max="9" width="3.77734375" customWidth="1"/>
    <col min="10" max="10" width="27.21875" bestFit="1" customWidth="1"/>
    <col min="12" max="12" width="4.88671875" customWidth="1"/>
    <col min="13" max="13" width="23.77734375" customWidth="1"/>
  </cols>
  <sheetData>
    <row r="6" spans="2:13" ht="15.6" x14ac:dyDescent="0.3">
      <c r="B6" s="1" t="s">
        <v>66</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SUM(Tabla11034534544554564794558[Total costo])</f>
        <v>15030.979639340001</v>
      </c>
      <c r="M7" s="346" t="s">
        <v>1438</v>
      </c>
    </row>
    <row r="8" spans="2:13" x14ac:dyDescent="0.3">
      <c r="B8" s="10" t="s">
        <v>831</v>
      </c>
      <c r="C8" s="11" t="s">
        <v>847</v>
      </c>
      <c r="D8" s="12">
        <v>4</v>
      </c>
      <c r="E8" s="12">
        <v>0</v>
      </c>
      <c r="F8" s="12">
        <v>4</v>
      </c>
      <c r="G8" s="13">
        <f>+VLOOKUP(Tabla11034534544554564794558[[#This Row],[Ingrediente]],Tabla34[#All],3,0)</f>
        <v>1600</v>
      </c>
      <c r="H8" s="14">
        <f>+Tabla11034534544554564794558[[#This Row],[Costo]]*Tabla11034534544554564794558[[#This Row],[Columna2]]</f>
        <v>6400</v>
      </c>
      <c r="I8" s="4"/>
      <c r="J8" s="8" t="s">
        <v>12</v>
      </c>
      <c r="K8" s="15">
        <f>+K7*10%</f>
        <v>1503.0979639340003</v>
      </c>
      <c r="M8" s="346" t="s">
        <v>1439</v>
      </c>
    </row>
    <row r="9" spans="2:13" x14ac:dyDescent="0.3">
      <c r="B9" s="24" t="s">
        <v>451</v>
      </c>
      <c r="C9" s="11" t="s">
        <v>67</v>
      </c>
      <c r="D9" s="12">
        <v>30</v>
      </c>
      <c r="E9" s="12">
        <v>0</v>
      </c>
      <c r="F9" s="12">
        <v>30</v>
      </c>
      <c r="G9" s="13">
        <f>+VLOOKUP(Tabla11034534544554564794558[[#This Row],[Ingrediente]],Tabla34[#All],3,0)</f>
        <v>60.987499999999997</v>
      </c>
      <c r="H9" s="14">
        <f>+Tabla11034534544554564794558[[#This Row],[Costo]]*Tabla11034534544554564794558[[#This Row],[Columna2]]</f>
        <v>1829.625</v>
      </c>
      <c r="I9" s="4"/>
      <c r="J9" s="8" t="s">
        <v>13</v>
      </c>
      <c r="K9" s="15">
        <f>+K7+K8</f>
        <v>16534.077603274003</v>
      </c>
      <c r="M9" s="346" t="s">
        <v>1440</v>
      </c>
    </row>
    <row r="10" spans="2:13" x14ac:dyDescent="0.3">
      <c r="B10" s="10" t="s">
        <v>137</v>
      </c>
      <c r="C10" s="11" t="s">
        <v>67</v>
      </c>
      <c r="D10" s="12">
        <v>150</v>
      </c>
      <c r="E10" s="12">
        <v>0</v>
      </c>
      <c r="F10" s="12">
        <v>150</v>
      </c>
      <c r="G10" s="13">
        <f>+VLOOKUP(Tabla11034534544554564794558[[#This Row],[Ingrediente]],Tabla34[#All],3,0)</f>
        <v>16.730960419999999</v>
      </c>
      <c r="H10" s="14">
        <f>+Tabla11034534544554564794558[[#This Row],[Costo]]*Tabla11034534544554564794558[[#This Row],[Columna2]]</f>
        <v>2509.6440629999997</v>
      </c>
      <c r="I10" s="4"/>
      <c r="J10" s="20" t="s">
        <v>14</v>
      </c>
      <c r="K10" s="21">
        <v>56000</v>
      </c>
      <c r="M10" s="346"/>
    </row>
    <row r="11" spans="2:13" x14ac:dyDescent="0.3">
      <c r="B11" s="10" t="s">
        <v>145</v>
      </c>
      <c r="C11" s="11" t="s">
        <v>67</v>
      </c>
      <c r="D11" s="12">
        <v>40</v>
      </c>
      <c r="E11" s="12">
        <v>0</v>
      </c>
      <c r="F11" s="12">
        <v>40</v>
      </c>
      <c r="G11" s="13">
        <f>+VLOOKUP(Tabla11034534544554564794558[[#This Row],[Ingrediente]],Tabla34[#All],3,0)</f>
        <v>40.425119780000003</v>
      </c>
      <c r="H11" s="14">
        <f>+Tabla11034534544554564794558[[#This Row],[Costo]]*Tabla11034534544554564794558[[#This Row],[Columna2]]</f>
        <v>1617.0047912</v>
      </c>
      <c r="I11" s="4"/>
      <c r="J11" s="8" t="s">
        <v>15</v>
      </c>
      <c r="K11" s="15">
        <f>+K10/1.08*0.08</f>
        <v>4148.1481481481478</v>
      </c>
    </row>
    <row r="12" spans="2:13" x14ac:dyDescent="0.3">
      <c r="B12" s="24" t="s">
        <v>57</v>
      </c>
      <c r="C12" s="11" t="s">
        <v>67</v>
      </c>
      <c r="D12" s="12">
        <v>30</v>
      </c>
      <c r="E12" s="12">
        <v>0</v>
      </c>
      <c r="F12" s="12">
        <v>30</v>
      </c>
      <c r="G12" s="13">
        <f>+VLOOKUP(Tabla11034534544554564794558[[#This Row],[Ingrediente]],Tabla34[#All],3,0)</f>
        <v>18.782608700000001</v>
      </c>
      <c r="H12" s="14">
        <f>+Tabla11034534544554564794558[[#This Row],[Costo]]*Tabla11034534544554564794558[[#This Row],[Columna2]]</f>
        <v>563.47826099999997</v>
      </c>
      <c r="I12" s="4"/>
      <c r="J12" s="8" t="s">
        <v>16</v>
      </c>
      <c r="K12" s="15">
        <f>+K10-K11</f>
        <v>51851.851851851854</v>
      </c>
      <c r="M12" s="377" t="s">
        <v>1377</v>
      </c>
    </row>
    <row r="13" spans="2:13" x14ac:dyDescent="0.3">
      <c r="B13" s="24" t="s">
        <v>122</v>
      </c>
      <c r="C13" s="11" t="s">
        <v>67</v>
      </c>
      <c r="D13" s="12">
        <v>20</v>
      </c>
      <c r="E13" s="12">
        <v>0</v>
      </c>
      <c r="F13" s="12">
        <v>20</v>
      </c>
      <c r="G13" s="13">
        <f>+VLOOKUP(Tabla11034534544554564794558[[#This Row],[Ingrediente]],Tabla34[#All],3,0)</f>
        <v>20.160619029999999</v>
      </c>
      <c r="H13" s="14">
        <f>+Tabla11034534544554564794558[[#This Row],[Costo]]*Tabla11034534544554564794558[[#This Row],[Columna2]]</f>
        <v>403.21238059999996</v>
      </c>
      <c r="I13" s="4"/>
      <c r="J13" s="8" t="s">
        <v>17</v>
      </c>
      <c r="K13" s="22">
        <f>+K9/K12</f>
        <v>0.31887149663457004</v>
      </c>
      <c r="M13" s="346" t="s">
        <v>1441</v>
      </c>
    </row>
    <row r="14" spans="2:13" x14ac:dyDescent="0.3">
      <c r="B14" s="10" t="s">
        <v>136</v>
      </c>
      <c r="C14" s="11" t="s">
        <v>67</v>
      </c>
      <c r="D14" s="12">
        <v>15</v>
      </c>
      <c r="E14" s="12">
        <v>0</v>
      </c>
      <c r="F14" s="12">
        <v>15</v>
      </c>
      <c r="G14" s="13">
        <f>+VLOOKUP(Tabla11034534544554564794558[[#This Row],[Ingrediente]],Tabla34[#All],3,0)</f>
        <v>26.416184560000001</v>
      </c>
      <c r="H14" s="14">
        <f>+Tabla11034534544554564794558[[#This Row],[Costo]]*Tabla11034534544554564794558[[#This Row],[Columna2]]</f>
        <v>396.24276840000005</v>
      </c>
      <c r="I14" s="4"/>
      <c r="J14" s="8" t="s">
        <v>18</v>
      </c>
      <c r="K14" s="23">
        <f>+K12-K9</f>
        <v>35317.774248577851</v>
      </c>
      <c r="M14" s="346" t="s">
        <v>1442</v>
      </c>
    </row>
    <row r="15" spans="2:13" x14ac:dyDescent="0.3">
      <c r="B15" s="10" t="s">
        <v>106</v>
      </c>
      <c r="C15" s="11" t="s">
        <v>67</v>
      </c>
      <c r="D15" s="12">
        <v>20</v>
      </c>
      <c r="E15" s="12">
        <v>0</v>
      </c>
      <c r="F15" s="12">
        <v>20</v>
      </c>
      <c r="G15" s="13">
        <f>+VLOOKUP(Tabla11034534544554564794558[[#This Row],[Ingrediente]],Tabla34[#All],3,0)</f>
        <v>19.804166670000001</v>
      </c>
      <c r="H15" s="14">
        <f>+Tabla11034534544554564794558[[#This Row],[Costo]]*Tabla11034534544554564794558[[#This Row],[Columna2]]</f>
        <v>396.08333340000001</v>
      </c>
      <c r="I15" s="4"/>
      <c r="J15" s="8" t="s">
        <v>19</v>
      </c>
      <c r="K15" s="25">
        <f>+K14/K9</f>
        <v>2.1360595429638232</v>
      </c>
      <c r="M15" s="346" t="s">
        <v>1443</v>
      </c>
    </row>
    <row r="16" spans="2:13" x14ac:dyDescent="0.3">
      <c r="B16" s="10" t="s">
        <v>833</v>
      </c>
      <c r="C16" s="11" t="s">
        <v>67</v>
      </c>
      <c r="D16" s="12">
        <v>1</v>
      </c>
      <c r="E16" s="12">
        <v>0</v>
      </c>
      <c r="F16" s="12">
        <v>1</v>
      </c>
      <c r="G16" s="13">
        <f>+VLOOKUP(Tabla11034534544554564794558[[#This Row],[Ingrediente]],Tabla34[#All],3,0)</f>
        <v>307.5</v>
      </c>
      <c r="H16" s="14">
        <f>+Tabla11034534544554564794558[[#This Row],[Costo]]*Tabla11034534544554564794558[[#This Row],[Columna2]]</f>
        <v>307.5</v>
      </c>
      <c r="I16" s="4"/>
      <c r="J16" s="4"/>
      <c r="K16" s="31"/>
      <c r="M16" s="346" t="s">
        <v>1444</v>
      </c>
    </row>
    <row r="17" spans="2:13" x14ac:dyDescent="0.3">
      <c r="B17" s="10" t="s">
        <v>312</v>
      </c>
      <c r="C17" s="11" t="s">
        <v>67</v>
      </c>
      <c r="D17" s="12">
        <v>60</v>
      </c>
      <c r="E17" s="12">
        <v>0</v>
      </c>
      <c r="F17" s="12">
        <v>60</v>
      </c>
      <c r="G17" s="13">
        <f>+VLOOKUP(Tabla11034534544554564794558[[#This Row],[Ingrediente]],Tabla34[#All],3,0)</f>
        <v>4.2671999999999999</v>
      </c>
      <c r="H17" s="14">
        <f>+Tabla11034534544554564794558[[#This Row],[Costo]]*Tabla11034534544554564794558[[#This Row],[Columna2]]</f>
        <v>256.03199999999998</v>
      </c>
      <c r="I17" s="4"/>
      <c r="J17" s="4"/>
      <c r="K17" s="31"/>
    </row>
    <row r="18" spans="2:13" x14ac:dyDescent="0.3">
      <c r="B18" s="10" t="s">
        <v>86</v>
      </c>
      <c r="C18" s="11" t="s">
        <v>67</v>
      </c>
      <c r="D18" s="12">
        <v>5</v>
      </c>
      <c r="E18" s="12">
        <v>0</v>
      </c>
      <c r="F18" s="12">
        <v>5</v>
      </c>
      <c r="G18" s="13">
        <f>+VLOOKUP(Tabla11034534544554564794558[[#This Row],[Ingrediente]],Tabla34[#All],3,0)</f>
        <v>37.630499999999998</v>
      </c>
      <c r="H18" s="14">
        <f>+Tabla11034534544554564794558[[#This Row],[Costo]]*Tabla11034534544554564794558[[#This Row],[Columna2]]</f>
        <v>188.15249999999997</v>
      </c>
      <c r="I18" s="4"/>
      <c r="J18" s="4"/>
      <c r="K18" s="31"/>
    </row>
    <row r="19" spans="2:13" x14ac:dyDescent="0.3">
      <c r="B19" s="24" t="s">
        <v>241</v>
      </c>
      <c r="C19" s="11" t="s">
        <v>67</v>
      </c>
      <c r="D19" s="12">
        <v>5</v>
      </c>
      <c r="E19" s="12">
        <v>0</v>
      </c>
      <c r="F19" s="12">
        <v>5</v>
      </c>
      <c r="G19" s="13">
        <f>+VLOOKUP(Tabla11034534544554564794558[[#This Row],[Ingrediente]],Tabla34[#All],3,0)</f>
        <v>15.193341269999999</v>
      </c>
      <c r="H19" s="14">
        <f>+Tabla11034534544554564794558[[#This Row],[Costo]]*Tabla11034534544554564794558[[#This Row],[Columna2]]</f>
        <v>75.966706349999995</v>
      </c>
      <c r="I19" s="4"/>
      <c r="J19" s="4"/>
      <c r="K19" s="31"/>
    </row>
    <row r="20" spans="2:13" x14ac:dyDescent="0.3">
      <c r="B20" s="10" t="s">
        <v>1091</v>
      </c>
      <c r="C20" s="11" t="s">
        <v>67</v>
      </c>
      <c r="D20" s="12">
        <v>1</v>
      </c>
      <c r="E20" s="12">
        <v>0</v>
      </c>
      <c r="F20" s="12">
        <v>1</v>
      </c>
      <c r="G20" s="13">
        <f>+VLOOKUP(Tabla11034534544554564794558[[#This Row],[Ingrediente]],Tabla34[#All],3,0)</f>
        <v>73.78</v>
      </c>
      <c r="H20" s="14">
        <f>+Tabla11034534544554564794558[[#This Row],[Costo]]*Tabla11034534544554564794558[[#This Row],[Columna2]]</f>
        <v>73.78</v>
      </c>
      <c r="I20" s="4"/>
      <c r="J20" s="4"/>
      <c r="K20" s="26"/>
    </row>
    <row r="21" spans="2:13" x14ac:dyDescent="0.3">
      <c r="B21" s="24" t="s">
        <v>37</v>
      </c>
      <c r="C21" s="11" t="s">
        <v>67</v>
      </c>
      <c r="D21" s="12">
        <v>1</v>
      </c>
      <c r="E21" s="12">
        <v>0</v>
      </c>
      <c r="F21" s="12">
        <v>1</v>
      </c>
      <c r="G21" s="13">
        <f>+VLOOKUP(Tabla11034534544554564794558[[#This Row],[Ingrediente]],Tabla34[#All],3,0)</f>
        <v>14.25783539</v>
      </c>
      <c r="H21" s="14">
        <f>+Tabla11034534544554564794558[[#This Row],[Costo]]*Tabla11034534544554564794558[[#This Row],[Columna2]]</f>
        <v>14.25783539</v>
      </c>
      <c r="I21" s="4"/>
      <c r="J21" s="4"/>
      <c r="K21" s="26"/>
    </row>
    <row r="22" spans="2:13" x14ac:dyDescent="0.3">
      <c r="B22" s="16"/>
      <c r="C22" s="17"/>
      <c r="D22" s="17"/>
      <c r="E22" s="17"/>
      <c r="F22" s="17"/>
      <c r="G22" s="18"/>
      <c r="H22" s="18">
        <f>SUBTOTAL(109,Tabla11034534544554564794558[Total costo])</f>
        <v>15030.979639340001</v>
      </c>
    </row>
    <row r="24" spans="2:13" ht="15.6" x14ac:dyDescent="0.3">
      <c r="B24" s="1" t="s">
        <v>320</v>
      </c>
      <c r="C24" s="2"/>
      <c r="D24" s="2"/>
      <c r="E24" s="3"/>
      <c r="F24" s="3"/>
      <c r="G24" s="3"/>
      <c r="H24" s="3"/>
      <c r="I24" s="4"/>
      <c r="J24" s="399" t="s">
        <v>0</v>
      </c>
      <c r="K24" s="399"/>
      <c r="M24" s="377" t="s">
        <v>1394</v>
      </c>
    </row>
    <row r="25" spans="2:13" x14ac:dyDescent="0.3">
      <c r="B25" s="5" t="s">
        <v>1</v>
      </c>
      <c r="C25" s="6" t="s">
        <v>2</v>
      </c>
      <c r="D25" s="6" t="s">
        <v>3</v>
      </c>
      <c r="E25" s="6" t="s">
        <v>920</v>
      </c>
      <c r="F25" s="6" t="s">
        <v>319</v>
      </c>
      <c r="G25" s="7" t="s">
        <v>4</v>
      </c>
      <c r="H25" s="7" t="s">
        <v>5</v>
      </c>
      <c r="I25" s="4"/>
      <c r="J25" s="8" t="s">
        <v>6</v>
      </c>
      <c r="K25" s="9">
        <f>SUM(Tabla1103453454455456479364659[Total costo])</f>
        <v>12302.780966499999</v>
      </c>
      <c r="M25" s="346" t="s">
        <v>1445</v>
      </c>
    </row>
    <row r="26" spans="2:13" x14ac:dyDescent="0.3">
      <c r="B26" s="10" t="s">
        <v>831</v>
      </c>
      <c r="C26" s="11" t="s">
        <v>847</v>
      </c>
      <c r="D26" s="12">
        <v>4</v>
      </c>
      <c r="E26" s="12">
        <v>0</v>
      </c>
      <c r="F26" s="12">
        <v>4</v>
      </c>
      <c r="G26" s="13">
        <f>+VLOOKUP(Tabla1103453454455456479364659[[#This Row],[Ingrediente]],Tabla34[#All],3,0)</f>
        <v>1600</v>
      </c>
      <c r="H26" s="14">
        <f>+Tabla1103453454455456479364659[[#This Row],[Costo]]*Tabla1103453454455456479364659[[#This Row],[Columna2]]</f>
        <v>6400</v>
      </c>
      <c r="I26" s="4"/>
      <c r="J26" s="8" t="s">
        <v>12</v>
      </c>
      <c r="K26" s="15">
        <f>+K25*10%</f>
        <v>1230.27809665</v>
      </c>
      <c r="M26" s="346" t="s">
        <v>1446</v>
      </c>
    </row>
    <row r="27" spans="2:13" x14ac:dyDescent="0.3">
      <c r="B27" s="10" t="s">
        <v>137</v>
      </c>
      <c r="C27" s="11" t="s">
        <v>67</v>
      </c>
      <c r="D27" s="12">
        <v>150</v>
      </c>
      <c r="E27" s="12">
        <v>0</v>
      </c>
      <c r="F27" s="12">
        <v>150</v>
      </c>
      <c r="G27" s="13">
        <f>+VLOOKUP(Tabla1103453454455456479364659[[#This Row],[Ingrediente]],Tabla34[#All],3,0)</f>
        <v>16.730960419999999</v>
      </c>
      <c r="H27" s="14">
        <f>+Tabla1103453454455456479364659[[#This Row],[Costo]]*Tabla1103453454455456479364659[[#This Row],[Columna2]]</f>
        <v>2509.6440629999997</v>
      </c>
      <c r="I27" s="4"/>
      <c r="J27" s="8" t="s">
        <v>13</v>
      </c>
      <c r="K27" s="15">
        <f>+K25+K26</f>
        <v>13533.059063149998</v>
      </c>
    </row>
    <row r="28" spans="2:13" x14ac:dyDescent="0.3">
      <c r="B28" s="10" t="s">
        <v>682</v>
      </c>
      <c r="C28" s="11" t="s">
        <v>67</v>
      </c>
      <c r="D28" s="12">
        <v>30</v>
      </c>
      <c r="E28" s="12">
        <v>0</v>
      </c>
      <c r="F28" s="12">
        <v>30</v>
      </c>
      <c r="G28" s="13">
        <f>+VLOOKUP(Tabla1103453454455456479364659[[#This Row],[Ingrediente]],Tabla34[#All],3,0)</f>
        <v>39.071701390000001</v>
      </c>
      <c r="H28" s="14">
        <f>+Tabla1103453454455456479364659[[#This Row],[Costo]]*Tabla1103453454455456479364659[[#This Row],[Columna2]]</f>
        <v>1172.1510417</v>
      </c>
      <c r="I28" s="4"/>
      <c r="J28" s="20" t="s">
        <v>14</v>
      </c>
      <c r="K28" s="21">
        <v>56000</v>
      </c>
      <c r="M28" s="377" t="s">
        <v>1377</v>
      </c>
    </row>
    <row r="29" spans="2:13" x14ac:dyDescent="0.3">
      <c r="B29" s="10" t="s">
        <v>106</v>
      </c>
      <c r="C29" s="11" t="s">
        <v>67</v>
      </c>
      <c r="D29" s="12">
        <v>60</v>
      </c>
      <c r="E29" s="12">
        <v>0</v>
      </c>
      <c r="F29" s="12">
        <v>60</v>
      </c>
      <c r="G29" s="13">
        <f>+VLOOKUP(Tabla1103453454455456479364659[[#This Row],[Ingrediente]],Tabla34[#All],3,0)</f>
        <v>19.804166670000001</v>
      </c>
      <c r="H29" s="14">
        <f>+Tabla1103453454455456479364659[[#This Row],[Costo]]*Tabla1103453454455456479364659[[#This Row],[Columna2]]</f>
        <v>1188.2500002000002</v>
      </c>
      <c r="I29" s="4"/>
      <c r="J29" s="8" t="s">
        <v>15</v>
      </c>
      <c r="K29" s="15">
        <f>+K28/1.08*0.08</f>
        <v>4148.1481481481478</v>
      </c>
      <c r="M29" s="346" t="s">
        <v>1447</v>
      </c>
    </row>
    <row r="30" spans="2:13" x14ac:dyDescent="0.3">
      <c r="B30" s="10" t="s">
        <v>451</v>
      </c>
      <c r="C30" s="11" t="s">
        <v>67</v>
      </c>
      <c r="D30" s="12">
        <v>5</v>
      </c>
      <c r="E30" s="12">
        <v>0</v>
      </c>
      <c r="F30" s="12">
        <v>5</v>
      </c>
      <c r="G30" s="13">
        <f>+VLOOKUP(Tabla1103453454455456479364659[[#This Row],[Ingrediente]],Tabla34[#All],3,0)</f>
        <v>60.987499999999997</v>
      </c>
      <c r="H30" s="14">
        <f>+Tabla1103453454455456479364659[[#This Row],[Costo]]*Tabla1103453454455456479364659[[#This Row],[Columna2]]</f>
        <v>304.9375</v>
      </c>
      <c r="I30" s="4"/>
      <c r="J30" s="8" t="s">
        <v>16</v>
      </c>
      <c r="K30" s="15">
        <f>+K28-K29</f>
        <v>51851.851851851854</v>
      </c>
      <c r="M30" s="346" t="s">
        <v>1448</v>
      </c>
    </row>
    <row r="31" spans="2:13" x14ac:dyDescent="0.3">
      <c r="B31" s="10" t="s">
        <v>833</v>
      </c>
      <c r="C31" s="11" t="s">
        <v>67</v>
      </c>
      <c r="D31" s="12">
        <v>1</v>
      </c>
      <c r="E31" s="12">
        <v>0</v>
      </c>
      <c r="F31" s="12">
        <v>1</v>
      </c>
      <c r="G31" s="13">
        <f>+VLOOKUP(Tabla1103453454455456479364659[[#This Row],[Ingrediente]],Tabla34[#All],3,0)</f>
        <v>307.5</v>
      </c>
      <c r="H31" s="14">
        <f>+Tabla1103453454455456479364659[[#This Row],[Costo]]*Tabla1103453454455456479364659[[#This Row],[Columna2]]</f>
        <v>307.5</v>
      </c>
      <c r="I31" s="4"/>
      <c r="J31" s="8" t="s">
        <v>17</v>
      </c>
      <c r="K31" s="22">
        <f>+K27/K30</f>
        <v>0.26099471050360712</v>
      </c>
      <c r="M31" s="346" t="s">
        <v>1449</v>
      </c>
    </row>
    <row r="32" spans="2:13" x14ac:dyDescent="0.3">
      <c r="B32" s="10" t="s">
        <v>693</v>
      </c>
      <c r="C32" s="11" t="s">
        <v>67</v>
      </c>
      <c r="D32" s="12">
        <v>5</v>
      </c>
      <c r="E32" s="12">
        <v>0</v>
      </c>
      <c r="F32" s="12">
        <v>5</v>
      </c>
      <c r="G32" s="13">
        <f>+VLOOKUP(Tabla1103453454455456479364659[[#This Row],[Ingrediente]],Tabla34[#All],3,0)</f>
        <v>44.585987320000001</v>
      </c>
      <c r="H32" s="14">
        <f>+Tabla1103453454455456479364659[[#This Row],[Costo]]*Tabla1103453454455456479364659[[#This Row],[Columna2]]</f>
        <v>222.92993660000002</v>
      </c>
      <c r="I32" s="4"/>
      <c r="J32" s="8" t="s">
        <v>18</v>
      </c>
      <c r="K32" s="23">
        <f>+K30-K27</f>
        <v>38318.79278870186</v>
      </c>
      <c r="M32" s="346" t="s">
        <v>1450</v>
      </c>
    </row>
    <row r="33" spans="2:13" x14ac:dyDescent="0.3">
      <c r="B33" s="24" t="s">
        <v>745</v>
      </c>
      <c r="C33" s="11" t="s">
        <v>67</v>
      </c>
      <c r="D33" s="12">
        <v>5.0000001000000003</v>
      </c>
      <c r="E33" s="12">
        <v>5</v>
      </c>
      <c r="F33" s="12">
        <v>5.2631579999999998</v>
      </c>
      <c r="G33" s="13">
        <f>+VLOOKUP(Tabla1103453454455456479364659[[#This Row],[Ingrediente]],Tabla34[#All],3,0)</f>
        <v>37.5</v>
      </c>
      <c r="H33" s="14">
        <f>+Tabla1103453454455456479364659[[#This Row],[Costo]]*Tabla1103453454455456479364659[[#This Row],[Columna2]]</f>
        <v>197.368425</v>
      </c>
      <c r="I33" s="4"/>
      <c r="J33" s="8" t="s">
        <v>19</v>
      </c>
      <c r="K33" s="25">
        <f>+K32/K27</f>
        <v>2.8314952746376809</v>
      </c>
    </row>
    <row r="34" spans="2:13" x14ac:dyDescent="0.3">
      <c r="B34" s="10" t="s">
        <v>787</v>
      </c>
      <c r="C34" s="11" t="s">
        <v>67</v>
      </c>
      <c r="D34" s="12">
        <v>5</v>
      </c>
      <c r="E34" s="12">
        <v>0</v>
      </c>
      <c r="F34" s="12">
        <v>5</v>
      </c>
      <c r="G34" s="13">
        <f>+VLOOKUP(Tabla1103453454455456479364659[[#This Row],[Ingrediente]],Tabla34[#All],3,0)</f>
        <v>0</v>
      </c>
      <c r="H34" s="14">
        <f>+Tabla1103453454455456479364659[[#This Row],[Costo]]*Tabla1103453454455456479364659[[#This Row],[Columna2]]</f>
        <v>0</v>
      </c>
      <c r="I34" s="4"/>
      <c r="J34" s="4"/>
      <c r="K34" s="26"/>
    </row>
    <row r="35" spans="2:13" x14ac:dyDescent="0.3">
      <c r="B35" s="16"/>
      <c r="C35" s="17"/>
      <c r="D35" s="17"/>
      <c r="E35" s="17"/>
      <c r="F35" s="17"/>
      <c r="G35" s="18"/>
      <c r="H35" s="18">
        <f>SUBTOTAL(109,Tabla1103453454455456479364659[Total costo])</f>
        <v>12302.780966499999</v>
      </c>
      <c r="I35" s="27"/>
      <c r="J35" s="27"/>
      <c r="K35" s="27"/>
    </row>
    <row r="38" spans="2:13" ht="15.6" x14ac:dyDescent="0.3">
      <c r="B38" s="1" t="s">
        <v>1284</v>
      </c>
      <c r="C38" s="2"/>
      <c r="D38" s="2"/>
      <c r="E38" s="3"/>
      <c r="F38" s="3"/>
      <c r="G38" s="3"/>
      <c r="H38" s="3"/>
      <c r="I38" s="4"/>
      <c r="J38" s="399" t="s">
        <v>0</v>
      </c>
      <c r="K38" s="399"/>
      <c r="M38" s="377" t="s">
        <v>1394</v>
      </c>
    </row>
    <row r="39" spans="2:13" x14ac:dyDescent="0.3">
      <c r="B39" s="5" t="s">
        <v>1</v>
      </c>
      <c r="C39" s="6" t="s">
        <v>2</v>
      </c>
      <c r="D39" s="6" t="s">
        <v>3</v>
      </c>
      <c r="E39" s="6" t="s">
        <v>920</v>
      </c>
      <c r="F39" s="6" t="s">
        <v>319</v>
      </c>
      <c r="G39" s="7" t="s">
        <v>4</v>
      </c>
      <c r="H39" s="7" t="s">
        <v>5</v>
      </c>
      <c r="I39" s="4"/>
      <c r="J39" s="8" t="s">
        <v>6</v>
      </c>
      <c r="K39" s="9">
        <f>SUM(Tabla110345345445545647936374760[Total costo])</f>
        <v>13086.054672759998</v>
      </c>
      <c r="M39" s="346"/>
    </row>
    <row r="40" spans="2:13" x14ac:dyDescent="0.3">
      <c r="B40" s="10" t="s">
        <v>831</v>
      </c>
      <c r="C40" s="11" t="s">
        <v>847</v>
      </c>
      <c r="D40" s="12">
        <v>4</v>
      </c>
      <c r="E40" s="12">
        <v>0</v>
      </c>
      <c r="F40" s="12">
        <v>4</v>
      </c>
      <c r="G40" s="13">
        <f>+VLOOKUP(Tabla110345345445545647936374760[[#This Row],[Ingrediente]],Tabla34[#All],3,0)</f>
        <v>1600</v>
      </c>
      <c r="H40" s="14">
        <f>+Tabla110345345445545647936374760[[#This Row],[Costo]]*Tabla110345345445545647936374760[[#This Row],[Columna2]]</f>
        <v>6400</v>
      </c>
      <c r="I40" s="4"/>
      <c r="J40" s="8" t="s">
        <v>12</v>
      </c>
      <c r="K40" s="15">
        <f>+K39*10%</f>
        <v>1308.6054672759999</v>
      </c>
      <c r="M40" s="346"/>
    </row>
    <row r="41" spans="2:13" x14ac:dyDescent="0.3">
      <c r="B41" s="24" t="s">
        <v>624</v>
      </c>
      <c r="C41" s="11" t="s">
        <v>67</v>
      </c>
      <c r="D41" s="12">
        <v>60</v>
      </c>
      <c r="E41" s="12">
        <v>0</v>
      </c>
      <c r="F41" s="12">
        <v>60</v>
      </c>
      <c r="G41" s="13">
        <f>+VLOOKUP(Tabla110345345445545647936374760[[#This Row],[Ingrediente]],Tabla34[#All],3,0)</f>
        <v>32.29</v>
      </c>
      <c r="H41" s="14">
        <f>+Tabla110345345445545647936374760[[#This Row],[Costo]]*Tabla110345345445545647936374760[[#This Row],[Columna2]]</f>
        <v>1937.3999999999999</v>
      </c>
      <c r="I41" s="4"/>
      <c r="J41" s="8" t="s">
        <v>13</v>
      </c>
      <c r="K41" s="15">
        <f>+K39+K40</f>
        <v>14394.660140035998</v>
      </c>
      <c r="M41" s="346"/>
    </row>
    <row r="42" spans="2:13" x14ac:dyDescent="0.3">
      <c r="B42" s="10" t="s">
        <v>339</v>
      </c>
      <c r="C42" s="11" t="s">
        <v>847</v>
      </c>
      <c r="D42" s="12">
        <v>1</v>
      </c>
      <c r="E42" s="12">
        <v>0</v>
      </c>
      <c r="F42" s="12">
        <v>1</v>
      </c>
      <c r="G42" s="13">
        <f>+VLOOKUP(Tabla110345345445545647936374760[[#This Row],[Ingrediente]],Tabla34[#All],3,0)</f>
        <v>848.48484846999997</v>
      </c>
      <c r="H42" s="14">
        <f>+Tabla110345345445545647936374760[[#This Row],[Costo]]*Tabla110345345445545647936374760[[#This Row],[Columna2]]</f>
        <v>848.48484846999997</v>
      </c>
      <c r="I42" s="4"/>
      <c r="J42" s="20" t="s">
        <v>14</v>
      </c>
      <c r="K42" s="21">
        <v>59000</v>
      </c>
      <c r="M42" s="346"/>
    </row>
    <row r="43" spans="2:13" x14ac:dyDescent="0.3">
      <c r="B43" s="10" t="s">
        <v>683</v>
      </c>
      <c r="C43" s="11" t="s">
        <v>67</v>
      </c>
      <c r="D43" s="12">
        <v>50</v>
      </c>
      <c r="E43" s="12">
        <v>25</v>
      </c>
      <c r="F43" s="12">
        <v>66.667000000000002</v>
      </c>
      <c r="G43" s="13">
        <f>+VLOOKUP(Tabla110345345445545647936374760[[#This Row],[Ingrediente]],Tabla34[#All],3,0)</f>
        <v>8.5</v>
      </c>
      <c r="H43" s="14">
        <f>+Tabla110345345445545647936374760[[#This Row],[Costo]]*Tabla110345345445545647936374760[[#This Row],[Columna2]]</f>
        <v>566.66949999999997</v>
      </c>
      <c r="I43" s="4"/>
      <c r="J43" s="8" t="s">
        <v>15</v>
      </c>
      <c r="K43" s="15">
        <f>+K42/1.08*0.08</f>
        <v>4370.3703703703704</v>
      </c>
    </row>
    <row r="44" spans="2:13" x14ac:dyDescent="0.3">
      <c r="B44" s="10" t="s">
        <v>106</v>
      </c>
      <c r="C44" s="11" t="s">
        <v>67</v>
      </c>
      <c r="D44" s="12">
        <v>30</v>
      </c>
      <c r="E44" s="12">
        <v>0</v>
      </c>
      <c r="F44" s="12">
        <v>30</v>
      </c>
      <c r="G44" s="13">
        <f>+VLOOKUP(Tabla110345345445545647936374760[[#This Row],[Ingrediente]],Tabla34[#All],3,0)</f>
        <v>19.804166670000001</v>
      </c>
      <c r="H44" s="14">
        <f>+Tabla110345345445545647936374760[[#This Row],[Costo]]*Tabla110345345445545647936374760[[#This Row],[Columna2]]</f>
        <v>594.12500010000008</v>
      </c>
      <c r="I44" s="4"/>
      <c r="J44" s="8" t="s">
        <v>16</v>
      </c>
      <c r="K44" s="15">
        <f>+K42-K43</f>
        <v>54629.629629629628</v>
      </c>
      <c r="M44" s="377" t="s">
        <v>1377</v>
      </c>
    </row>
    <row r="45" spans="2:13" x14ac:dyDescent="0.3">
      <c r="B45" s="10" t="s">
        <v>229</v>
      </c>
      <c r="C45" s="11" t="s">
        <v>67</v>
      </c>
      <c r="D45" s="12">
        <v>20</v>
      </c>
      <c r="E45" s="12">
        <v>0</v>
      </c>
      <c r="F45" s="12">
        <v>20</v>
      </c>
      <c r="G45" s="13">
        <f>+VLOOKUP(Tabla110345345445545647936374760[[#This Row],[Ingrediente]],Tabla34[#All],3,0)</f>
        <v>24.714500000000001</v>
      </c>
      <c r="H45" s="14">
        <f>+Tabla110345345445545647936374760[[#This Row],[Costo]]*Tabla110345345445545647936374760[[#This Row],[Columna2]]</f>
        <v>494.29</v>
      </c>
      <c r="I45" s="4"/>
      <c r="J45" s="8" t="s">
        <v>17</v>
      </c>
      <c r="K45" s="22">
        <f>+K41/K44</f>
        <v>0.26349547374981147</v>
      </c>
      <c r="M45" s="346"/>
    </row>
    <row r="46" spans="2:13" x14ac:dyDescent="0.3">
      <c r="B46" s="24" t="s">
        <v>760</v>
      </c>
      <c r="C46" s="11" t="s">
        <v>67</v>
      </c>
      <c r="D46" s="12">
        <v>5</v>
      </c>
      <c r="E46" s="12">
        <v>0</v>
      </c>
      <c r="F46" s="12">
        <v>5</v>
      </c>
      <c r="G46" s="13">
        <f>+VLOOKUP(Tabla110345345445545647936374760[[#This Row],[Ingrediente]],Tabla34[#All],3,0)</f>
        <v>71.281041669999993</v>
      </c>
      <c r="H46" s="14">
        <f>+Tabla110345345445545647936374760[[#This Row],[Costo]]*Tabla110345345445545647936374760[[#This Row],[Columna2]]</f>
        <v>356.40520834999995</v>
      </c>
      <c r="I46" s="4"/>
      <c r="J46" s="8" t="s">
        <v>18</v>
      </c>
      <c r="K46" s="23">
        <f>+K44-K41</f>
        <v>40234.969489593626</v>
      </c>
      <c r="M46" s="346"/>
    </row>
    <row r="47" spans="2:13" x14ac:dyDescent="0.3">
      <c r="B47" s="10" t="s">
        <v>833</v>
      </c>
      <c r="C47" s="11" t="s">
        <v>67</v>
      </c>
      <c r="D47" s="12">
        <v>1</v>
      </c>
      <c r="E47" s="12">
        <v>0</v>
      </c>
      <c r="F47" s="12">
        <v>1</v>
      </c>
      <c r="G47" s="13">
        <f>+VLOOKUP(Tabla110345345445545647936374760[[#This Row],[Ingrediente]],Tabla34[#All],3,0)</f>
        <v>307.5</v>
      </c>
      <c r="H47" s="14">
        <f>+Tabla110345345445545647936374760[[#This Row],[Costo]]*Tabla110345345445545647936374760[[#This Row],[Columna2]]</f>
        <v>307.5</v>
      </c>
      <c r="I47" s="4"/>
      <c r="J47" s="8" t="s">
        <v>19</v>
      </c>
      <c r="K47" s="25">
        <f>+K46/K41</f>
        <v>2.7951316042320267</v>
      </c>
      <c r="M47" s="346"/>
    </row>
    <row r="48" spans="2:13" x14ac:dyDescent="0.3">
      <c r="B48" s="24" t="s">
        <v>451</v>
      </c>
      <c r="C48" s="11" t="s">
        <v>67</v>
      </c>
      <c r="D48" s="12">
        <v>5</v>
      </c>
      <c r="E48" s="12">
        <v>0</v>
      </c>
      <c r="F48" s="12">
        <v>5</v>
      </c>
      <c r="G48" s="13">
        <f>+VLOOKUP(Tabla110345345445545647936374760[[#This Row],[Ingrediente]],Tabla34[#All],3,0)</f>
        <v>60.987499999999997</v>
      </c>
      <c r="H48" s="14">
        <f>+Tabla110345345445545647936374760[[#This Row],[Costo]]*Tabla110345345445545647936374760[[#This Row],[Columna2]]</f>
        <v>304.9375</v>
      </c>
      <c r="I48" s="4"/>
      <c r="J48" s="4"/>
      <c r="K48" s="31"/>
      <c r="M48" s="346"/>
    </row>
    <row r="49" spans="2:11" x14ac:dyDescent="0.3">
      <c r="B49" s="10" t="s">
        <v>136</v>
      </c>
      <c r="C49" s="11" t="s">
        <v>67</v>
      </c>
      <c r="D49" s="12">
        <v>10</v>
      </c>
      <c r="E49" s="12">
        <v>0</v>
      </c>
      <c r="F49" s="12">
        <v>10</v>
      </c>
      <c r="G49" s="13">
        <f>+VLOOKUP(Tabla110345345445545647936374760[[#This Row],[Ingrediente]],Tabla34[#All],3,0)</f>
        <v>26.416184560000001</v>
      </c>
      <c r="H49" s="14">
        <f>+Tabla110345345445545647936374760[[#This Row],[Costo]]*Tabla110345345445545647936374760[[#This Row],[Columna2]]</f>
        <v>264.16184559999999</v>
      </c>
      <c r="I49" s="4"/>
      <c r="J49" s="4"/>
      <c r="K49" s="31"/>
    </row>
    <row r="50" spans="2:11" x14ac:dyDescent="0.3">
      <c r="B50" s="10" t="s">
        <v>36</v>
      </c>
      <c r="C50" s="11" t="s">
        <v>67</v>
      </c>
      <c r="D50" s="12">
        <v>20</v>
      </c>
      <c r="E50" s="12">
        <v>0</v>
      </c>
      <c r="F50" s="12">
        <v>20</v>
      </c>
      <c r="G50" s="13">
        <f>+VLOOKUP(Tabla110345345445545647936374760[[#This Row],[Ingrediente]],Tabla34[#All],3,0)</f>
        <v>11.13732628</v>
      </c>
      <c r="H50" s="14">
        <f>+Tabla110345345445545647936374760[[#This Row],[Costo]]*Tabla110345345445545647936374760[[#This Row],[Columna2]]</f>
        <v>222.74652559999998</v>
      </c>
      <c r="I50" s="27"/>
      <c r="J50" s="27"/>
      <c r="K50" s="27"/>
    </row>
    <row r="51" spans="2:11" x14ac:dyDescent="0.3">
      <c r="B51" s="10" t="s">
        <v>57</v>
      </c>
      <c r="C51" s="11" t="s">
        <v>67</v>
      </c>
      <c r="D51" s="12">
        <v>10</v>
      </c>
      <c r="E51" s="12">
        <v>0</v>
      </c>
      <c r="F51" s="12">
        <v>10</v>
      </c>
      <c r="G51" s="13">
        <f>+VLOOKUP(Tabla110345345445545647936374760[[#This Row],[Ingrediente]],Tabla34[#All],3,0)</f>
        <v>18.782608700000001</v>
      </c>
      <c r="H51" s="14">
        <f>+Tabla110345345445545647936374760[[#This Row],[Costo]]*Tabla110345345445545647936374760[[#This Row],[Columna2]]</f>
        <v>187.826087</v>
      </c>
    </row>
    <row r="52" spans="2:11" x14ac:dyDescent="0.3">
      <c r="B52" s="10" t="s">
        <v>308</v>
      </c>
      <c r="C52" s="11" t="s">
        <v>67</v>
      </c>
      <c r="D52" s="12">
        <v>15</v>
      </c>
      <c r="E52" s="12">
        <v>0</v>
      </c>
      <c r="F52" s="12">
        <v>15</v>
      </c>
      <c r="G52" s="13">
        <f>+VLOOKUP(Tabla110345345445545647936374760[[#This Row],[Ingrediente]],Tabla34[#All],3,0)</f>
        <v>24.115200000000002</v>
      </c>
      <c r="H52" s="14">
        <f>+Tabla110345345445545647936374760[[#This Row],[Costo]]*Tabla110345345445545647936374760[[#This Row],[Columna2]]</f>
        <v>361.72800000000001</v>
      </c>
    </row>
    <row r="53" spans="2:11" x14ac:dyDescent="0.3">
      <c r="B53" s="10" t="s">
        <v>118</v>
      </c>
      <c r="C53" s="11" t="s">
        <v>67</v>
      </c>
      <c r="D53" s="12">
        <v>5</v>
      </c>
      <c r="E53" s="12">
        <v>0</v>
      </c>
      <c r="F53" s="12">
        <v>5</v>
      </c>
      <c r="G53" s="13">
        <f>+VLOOKUP(Tabla110345345445545647936374760[[#This Row],[Ingrediente]],Tabla34[#All],3,0)</f>
        <v>30.25466445</v>
      </c>
      <c r="H53" s="14">
        <f>+Tabla110345345445545647936374760[[#This Row],[Costo]]*Tabla110345345445545647936374760[[#This Row],[Columna2]]</f>
        <v>151.27332225000001</v>
      </c>
    </row>
    <row r="54" spans="2:11" x14ac:dyDescent="0.3">
      <c r="B54" s="10" t="s">
        <v>312</v>
      </c>
      <c r="C54" s="11" t="s">
        <v>67</v>
      </c>
      <c r="D54" s="12">
        <v>10</v>
      </c>
      <c r="E54" s="12">
        <v>0</v>
      </c>
      <c r="F54" s="12">
        <v>10</v>
      </c>
      <c r="G54" s="13">
        <f>+VLOOKUP(Tabla110345345445545647936374760[[#This Row],[Ingrediente]],Tabla34[#All],3,0)</f>
        <v>4.2671999999999999</v>
      </c>
      <c r="H54" s="14">
        <f>+Tabla110345345445545647936374760[[#This Row],[Costo]]*Tabla110345345445545647936374760[[#This Row],[Columna2]]</f>
        <v>42.671999999999997</v>
      </c>
    </row>
    <row r="55" spans="2:11" x14ac:dyDescent="0.3">
      <c r="B55" s="10" t="s">
        <v>634</v>
      </c>
      <c r="C55" s="11" t="s">
        <v>67</v>
      </c>
      <c r="D55" s="12">
        <v>3</v>
      </c>
      <c r="E55" s="12">
        <v>0</v>
      </c>
      <c r="F55" s="12">
        <v>3</v>
      </c>
      <c r="G55" s="13">
        <f>+VLOOKUP(Tabla110345345445545647936374760[[#This Row],[Ingrediente]],Tabla34[#All],3,0)</f>
        <v>8.9250000000000007</v>
      </c>
      <c r="H55" s="14">
        <f>+Tabla110345345445545647936374760[[#This Row],[Costo]]*Tabla110345345445545647936374760[[#This Row],[Columna2]]</f>
        <v>26.775000000000002</v>
      </c>
    </row>
    <row r="56" spans="2:11" x14ac:dyDescent="0.3">
      <c r="B56" s="10" t="s">
        <v>37</v>
      </c>
      <c r="C56" s="11" t="s">
        <v>67</v>
      </c>
      <c r="D56" s="12">
        <v>1</v>
      </c>
      <c r="E56" s="12">
        <v>0</v>
      </c>
      <c r="F56" s="12">
        <v>1</v>
      </c>
      <c r="G56" s="13">
        <f>+VLOOKUP(Tabla110345345445545647936374760[[#This Row],[Ingrediente]],Tabla34[#All],3,0)</f>
        <v>14.25783539</v>
      </c>
      <c r="H56" s="14">
        <f>+Tabla110345345445545647936374760[[#This Row],[Costo]]*Tabla110345345445545647936374760[[#This Row],[Columna2]]</f>
        <v>14.25783539</v>
      </c>
    </row>
    <row r="57" spans="2:11" x14ac:dyDescent="0.3">
      <c r="B57" s="10" t="s">
        <v>89</v>
      </c>
      <c r="C57" s="11" t="s">
        <v>67</v>
      </c>
      <c r="D57" s="12">
        <v>2</v>
      </c>
      <c r="E57" s="12">
        <v>0</v>
      </c>
      <c r="F57" s="12">
        <v>2</v>
      </c>
      <c r="G57" s="13">
        <f>+VLOOKUP(Tabla110345345445545647936374760[[#This Row],[Ingrediente]],Tabla34[#All],3,0)</f>
        <v>2.4009999999999998</v>
      </c>
      <c r="H57" s="14">
        <f>+Tabla110345345445545647936374760[[#This Row],[Costo]]*Tabla110345345445545647936374760[[#This Row],[Columna2]]</f>
        <v>4.8019999999999996</v>
      </c>
    </row>
    <row r="58" spans="2:11" x14ac:dyDescent="0.3">
      <c r="B58" s="16"/>
      <c r="C58" s="17"/>
      <c r="D58" s="17"/>
      <c r="E58" s="17"/>
      <c r="F58" s="17"/>
      <c r="G58" s="18"/>
      <c r="H58" s="18">
        <f>SUBTOTAL(109,Tabla110345345445545647936374760[Total costo])</f>
        <v>13086.054672759998</v>
      </c>
    </row>
  </sheetData>
  <mergeCells count="3">
    <mergeCell ref="J6:K6"/>
    <mergeCell ref="J24:K24"/>
    <mergeCell ref="J38:K38"/>
  </mergeCells>
  <phoneticPr fontId="16" type="noConversion"/>
  <conditionalFormatting sqref="K13">
    <cfRule type="cellIs" dxfId="2623" priority="17" operator="lessThan">
      <formula>0.3</formula>
    </cfRule>
    <cfRule type="cellIs" dxfId="2622" priority="18" operator="greaterThan">
      <formula>0.3</formula>
    </cfRule>
  </conditionalFormatting>
  <conditionalFormatting sqref="K31">
    <cfRule type="cellIs" dxfId="2621" priority="15" operator="lessThan">
      <formula>0.3</formula>
    </cfRule>
    <cfRule type="cellIs" dxfId="2620" priority="16" operator="greaterThan">
      <formula>0.3</formula>
    </cfRule>
  </conditionalFormatting>
  <conditionalFormatting sqref="K45">
    <cfRule type="cellIs" dxfId="2619" priority="13" operator="lessThan">
      <formula>0.3</formula>
    </cfRule>
    <cfRule type="cellIs" dxfId="2618" priority="14" operator="greaterThan">
      <formula>0.3</formula>
    </cfRule>
  </conditionalFormatting>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9593-147A-4EE5-96D2-5896351B0D23}">
  <dimension ref="B5:M270"/>
  <sheetViews>
    <sheetView showGridLines="0" zoomScale="80" zoomScaleNormal="80" workbookViewId="0">
      <selection activeCell="K268" sqref="K268"/>
    </sheetView>
  </sheetViews>
  <sheetFormatPr baseColWidth="10" defaultRowHeight="14.4" x14ac:dyDescent="0.3"/>
  <cols>
    <col min="1" max="1" width="4" customWidth="1"/>
    <col min="2" max="2" width="29.33203125" customWidth="1"/>
    <col min="4" max="4" width="14.109375" bestFit="1" customWidth="1"/>
    <col min="5" max="5" width="9.88671875" customWidth="1"/>
    <col min="6" max="6" width="10.88671875" customWidth="1"/>
    <col min="7" max="7" width="12" bestFit="1" customWidth="1"/>
    <col min="8" max="8" width="14.6640625" customWidth="1"/>
    <col min="9" max="9" width="3.21875" customWidth="1"/>
    <col min="10" max="10" width="28" bestFit="1" customWidth="1"/>
    <col min="12" max="12" width="2.21875" customWidth="1"/>
    <col min="13" max="13" width="71.33203125" bestFit="1" customWidth="1"/>
  </cols>
  <sheetData>
    <row r="5" spans="2:13" ht="15" thickBot="1" x14ac:dyDescent="0.35"/>
    <row r="6" spans="2:13" ht="15.6" x14ac:dyDescent="0.3">
      <c r="B6" s="347" t="s">
        <v>45</v>
      </c>
      <c r="C6" s="348"/>
      <c r="D6" s="348"/>
      <c r="E6" s="348"/>
      <c r="F6" s="348"/>
      <c r="G6" s="348"/>
      <c r="H6" s="348"/>
      <c r="I6" s="349"/>
      <c r="J6" s="400" t="s">
        <v>0</v>
      </c>
      <c r="K6" s="401"/>
      <c r="M6" s="377" t="s">
        <v>1394</v>
      </c>
    </row>
    <row r="7" spans="2:13" x14ac:dyDescent="0.3">
      <c r="B7" s="352" t="s">
        <v>1</v>
      </c>
      <c r="C7" s="17" t="s">
        <v>2</v>
      </c>
      <c r="D7" s="17" t="s">
        <v>892</v>
      </c>
      <c r="E7" s="17" t="s">
        <v>893</v>
      </c>
      <c r="F7" s="17" t="s">
        <v>894</v>
      </c>
      <c r="G7" s="73" t="s">
        <v>4</v>
      </c>
      <c r="H7" s="73" t="s">
        <v>5</v>
      </c>
      <c r="I7" s="4"/>
      <c r="J7" s="8" t="s">
        <v>6</v>
      </c>
      <c r="K7" s="353">
        <f>SUM(Tabla1103453454455456479[Total costo])</f>
        <v>6107.2178077999997</v>
      </c>
      <c r="M7" s="346" t="s">
        <v>1375</v>
      </c>
    </row>
    <row r="8" spans="2:13" x14ac:dyDescent="0.3">
      <c r="B8" s="354" t="s">
        <v>833</v>
      </c>
      <c r="C8" s="11" t="s">
        <v>67</v>
      </c>
      <c r="D8" s="12">
        <v>1</v>
      </c>
      <c r="E8" s="12">
        <v>0</v>
      </c>
      <c r="F8" s="12">
        <v>1</v>
      </c>
      <c r="G8" s="13">
        <f>+VLOOKUP(Tabla1103453454455456479[[#This Row],[Ingrediente]],Tabla34[#All],3,0)</f>
        <v>307.5</v>
      </c>
      <c r="H8" s="14">
        <f>+Tabla1103453454455456479[[#This Row],[Costo]]*Tabla1103453454455456479[[#This Row],[Unidades]]</f>
        <v>307.5</v>
      </c>
      <c r="I8" s="4"/>
      <c r="J8" s="8" t="s">
        <v>533</v>
      </c>
      <c r="K8" s="355">
        <f>+K7*5%</f>
        <v>305.36089039000001</v>
      </c>
      <c r="M8" s="346" t="s">
        <v>1376</v>
      </c>
    </row>
    <row r="9" spans="2:13" x14ac:dyDescent="0.3">
      <c r="B9" s="354" t="s">
        <v>133</v>
      </c>
      <c r="C9" s="11" t="s">
        <v>67</v>
      </c>
      <c r="D9" s="12">
        <v>40</v>
      </c>
      <c r="E9" s="12">
        <v>0</v>
      </c>
      <c r="F9" s="12">
        <v>40</v>
      </c>
      <c r="G9" s="13">
        <f>+VLOOKUP(Tabla1103453454455456479[[#This Row],[Ingrediente]],Tabla34[#All],3,0)</f>
        <v>18.115946780000002</v>
      </c>
      <c r="H9" s="14">
        <f>+Tabla1103453454455456479[[#This Row],[Costo]]*Tabla1103453454455456479[[#This Row],[Unidades]]</f>
        <v>724.63787120000006</v>
      </c>
      <c r="I9" s="4"/>
      <c r="J9" s="8" t="s">
        <v>13</v>
      </c>
      <c r="K9" s="355">
        <f>+K7+K8</f>
        <v>6412.5786981900001</v>
      </c>
    </row>
    <row r="10" spans="2:13" x14ac:dyDescent="0.3">
      <c r="B10" s="354" t="s">
        <v>64</v>
      </c>
      <c r="C10" s="11" t="s">
        <v>847</v>
      </c>
      <c r="D10" s="12">
        <v>3</v>
      </c>
      <c r="E10" s="12">
        <v>0</v>
      </c>
      <c r="F10" s="12">
        <v>3</v>
      </c>
      <c r="G10" s="13">
        <f>+VLOOKUP(Tabla1103453454455456479[[#This Row],[Ingrediente]],Tabla34[#All],3,0)</f>
        <v>612.85</v>
      </c>
      <c r="H10" s="14">
        <f>+Tabla1103453454455456479[[#This Row],[Costo]]*Tabla1103453454455456479[[#This Row],[Unidades]]</f>
        <v>1838.5500000000002</v>
      </c>
      <c r="I10" s="4"/>
      <c r="J10" s="20" t="s">
        <v>44</v>
      </c>
      <c r="K10" s="356">
        <v>31000</v>
      </c>
      <c r="M10" s="377" t="s">
        <v>1377</v>
      </c>
    </row>
    <row r="11" spans="2:13" x14ac:dyDescent="0.3">
      <c r="B11" s="354" t="s">
        <v>58</v>
      </c>
      <c r="C11" s="11" t="s">
        <v>67</v>
      </c>
      <c r="D11" s="12">
        <v>80</v>
      </c>
      <c r="E11" s="12">
        <v>0</v>
      </c>
      <c r="F11" s="12">
        <v>80</v>
      </c>
      <c r="G11" s="13">
        <f>+VLOOKUP(Tabla1103453454455456479[[#This Row],[Ingrediente]],Tabla34[#All],3,0)</f>
        <v>37.67</v>
      </c>
      <c r="H11" s="14">
        <f>+Tabla1103453454455456479[[#This Row],[Costo]]*Tabla1103453454455456479[[#This Row],[Unidades]]</f>
        <v>3013.6000000000004</v>
      </c>
      <c r="I11" s="4"/>
      <c r="J11" s="8" t="s">
        <v>15</v>
      </c>
      <c r="K11" s="355">
        <f>+K10/1.08*0.08</f>
        <v>2296.2962962962961</v>
      </c>
      <c r="M11" s="346" t="s">
        <v>1431</v>
      </c>
    </row>
    <row r="12" spans="2:13" x14ac:dyDescent="0.3">
      <c r="B12" s="354" t="s">
        <v>693</v>
      </c>
      <c r="C12" s="11" t="s">
        <v>67</v>
      </c>
      <c r="D12" s="12">
        <v>5</v>
      </c>
      <c r="E12" s="12">
        <v>0</v>
      </c>
      <c r="F12" s="12">
        <v>5</v>
      </c>
      <c r="G12" s="13">
        <f>+VLOOKUP(Tabla1103453454455456479[[#This Row],[Ingrediente]],Tabla34[#All],3,0)</f>
        <v>44.585987320000001</v>
      </c>
      <c r="H12" s="14">
        <f>+Tabla1103453454455456479[[#This Row],[Costo]]*Tabla1103453454455456479[[#This Row],[Unidades]]</f>
        <v>222.92993660000002</v>
      </c>
      <c r="I12" s="4"/>
      <c r="J12" s="8" t="s">
        <v>16</v>
      </c>
      <c r="K12" s="355">
        <f>+K10-K11</f>
        <v>28703.703703703704</v>
      </c>
      <c r="M12" s="346" t="s">
        <v>1432</v>
      </c>
    </row>
    <row r="13" spans="2:13" x14ac:dyDescent="0.3">
      <c r="B13" s="357"/>
      <c r="C13" s="17"/>
      <c r="D13" s="17"/>
      <c r="E13" s="17"/>
      <c r="F13" s="17"/>
      <c r="G13" s="18"/>
      <c r="H13" s="18">
        <f>SUBTOTAL(109,Tabla1103453454455456479[Total costo])</f>
        <v>6107.2178077999997</v>
      </c>
      <c r="I13" s="4"/>
      <c r="J13" s="8" t="s">
        <v>17</v>
      </c>
      <c r="K13" s="358">
        <f>+K9/K12</f>
        <v>0.22340596754984515</v>
      </c>
      <c r="M13" s="346" t="s">
        <v>1433</v>
      </c>
    </row>
    <row r="14" spans="2:13" x14ac:dyDescent="0.3">
      <c r="B14" s="359"/>
      <c r="G14" s="4"/>
      <c r="J14" s="8" t="s">
        <v>18</v>
      </c>
      <c r="K14" s="360">
        <f>+K12-K9</f>
        <v>22291.125005513706</v>
      </c>
      <c r="M14" s="346" t="s">
        <v>1434</v>
      </c>
    </row>
    <row r="15" spans="2:13" x14ac:dyDescent="0.3">
      <c r="B15" s="377"/>
      <c r="G15" s="4"/>
      <c r="J15" s="8" t="s">
        <v>19</v>
      </c>
      <c r="K15" s="361">
        <f>+K14/K9</f>
        <v>3.4761561697177377</v>
      </c>
    </row>
    <row r="16" spans="2:13" ht="15" thickBot="1" x14ac:dyDescent="0.35">
      <c r="G16" s="4"/>
      <c r="H16" s="26"/>
    </row>
    <row r="17" spans="2:13" ht="15.6" x14ac:dyDescent="0.3">
      <c r="B17" s="363" t="s">
        <v>869</v>
      </c>
      <c r="C17" s="364"/>
      <c r="D17" s="364"/>
      <c r="E17" s="364"/>
      <c r="F17" s="364"/>
      <c r="G17" s="364"/>
      <c r="H17" s="364"/>
      <c r="I17" s="365"/>
      <c r="J17" s="400" t="s">
        <v>0</v>
      </c>
      <c r="K17" s="401"/>
      <c r="M17" s="377" t="s">
        <v>1394</v>
      </c>
    </row>
    <row r="18" spans="2:13" x14ac:dyDescent="0.3">
      <c r="B18" s="352" t="s">
        <v>1</v>
      </c>
      <c r="C18" s="17" t="s">
        <v>2</v>
      </c>
      <c r="D18" s="17" t="s">
        <v>892</v>
      </c>
      <c r="E18" s="17" t="s">
        <v>893</v>
      </c>
      <c r="F18" s="17" t="s">
        <v>894</v>
      </c>
      <c r="G18" s="73" t="s">
        <v>4</v>
      </c>
      <c r="H18" s="73" t="s">
        <v>5</v>
      </c>
      <c r="I18" s="27"/>
      <c r="J18" s="8" t="s">
        <v>6</v>
      </c>
      <c r="K18" s="353">
        <f>SUM(Tabla1103453454455456479364654[Total costo])</f>
        <v>5074.2176423999999</v>
      </c>
      <c r="M18" s="346" t="s">
        <v>1378</v>
      </c>
    </row>
    <row r="19" spans="2:13" x14ac:dyDescent="0.3">
      <c r="B19" s="354" t="s">
        <v>39</v>
      </c>
      <c r="C19" s="11" t="s">
        <v>67</v>
      </c>
      <c r="D19" s="74">
        <v>40</v>
      </c>
      <c r="E19" s="74">
        <v>0</v>
      </c>
      <c r="F19" s="12">
        <v>40</v>
      </c>
      <c r="G19" s="13">
        <f>+VLOOKUP(Tabla1103453454455456479364654[[#This Row],[Ingrediente]],Tabla34[#All],3,0)</f>
        <v>9.5229410600000008</v>
      </c>
      <c r="H19" s="14">
        <f>+Tabla1103453454455456479364654[[#This Row],[Costo]]*Tabla1103453454455456479364654[[#This Row],[Unidades]]</f>
        <v>380.91764240000003</v>
      </c>
      <c r="J19" s="8" t="s">
        <v>533</v>
      </c>
      <c r="K19" s="355">
        <f>+K18*5%</f>
        <v>253.71088212000001</v>
      </c>
      <c r="M19" s="346" t="s">
        <v>1379</v>
      </c>
    </row>
    <row r="20" spans="2:13" x14ac:dyDescent="0.3">
      <c r="B20" s="354" t="s">
        <v>624</v>
      </c>
      <c r="C20" s="11" t="s">
        <v>67</v>
      </c>
      <c r="D20" s="74">
        <v>120</v>
      </c>
      <c r="E20" s="74">
        <v>0</v>
      </c>
      <c r="F20" s="12">
        <v>120</v>
      </c>
      <c r="G20" s="13">
        <f>+VLOOKUP(Tabla1103453454455456479364654[[#This Row],[Ingrediente]],Tabla34[#All],3,0)</f>
        <v>32.29</v>
      </c>
      <c r="H20" s="14">
        <f>+Tabla1103453454455456479364654[[#This Row],[Costo]]*Tabla1103453454455456479364654[[#This Row],[Unidades]]</f>
        <v>3874.7999999999997</v>
      </c>
      <c r="J20" s="8" t="s">
        <v>13</v>
      </c>
      <c r="K20" s="355">
        <f>+K18+K19</f>
        <v>5327.9285245199999</v>
      </c>
    </row>
    <row r="21" spans="2:13" x14ac:dyDescent="0.3">
      <c r="B21" s="354" t="s">
        <v>833</v>
      </c>
      <c r="C21" s="11" t="s">
        <v>67</v>
      </c>
      <c r="D21" s="74">
        <v>1</v>
      </c>
      <c r="E21" s="74">
        <v>0</v>
      </c>
      <c r="F21" s="12">
        <v>1</v>
      </c>
      <c r="G21" s="13">
        <f>+VLOOKUP(Tabla1103453454455456479364654[[#This Row],[Ingrediente]],Tabla34[#All],3,0)</f>
        <v>307.5</v>
      </c>
      <c r="H21" s="14">
        <f>+Tabla1103453454455456479364654[[#This Row],[Costo]]*Tabla1103453454455456479364654[[#This Row],[Unidades]]</f>
        <v>307.5</v>
      </c>
      <c r="I21" s="4"/>
      <c r="J21" s="20" t="s">
        <v>14</v>
      </c>
      <c r="K21" s="356">
        <v>26000</v>
      </c>
      <c r="M21" s="377" t="s">
        <v>1377</v>
      </c>
    </row>
    <row r="22" spans="2:13" x14ac:dyDescent="0.3">
      <c r="B22" s="354" t="s">
        <v>827</v>
      </c>
      <c r="C22" s="11" t="s">
        <v>67</v>
      </c>
      <c r="D22" s="74">
        <v>1</v>
      </c>
      <c r="E22" s="74">
        <v>0</v>
      </c>
      <c r="F22" s="12">
        <v>1</v>
      </c>
      <c r="G22" s="13">
        <f>+VLOOKUP(Tabla1103453454455456479364654[[#This Row],[Ingrediente]],Tabla34[#All],3,0)</f>
        <v>511</v>
      </c>
      <c r="H22" s="14">
        <f>+Tabla1103453454455456479364654[[#This Row],[Costo]]*Tabla1103453454455456479364654[[#This Row],[Unidades]]</f>
        <v>511</v>
      </c>
      <c r="I22" s="4"/>
      <c r="J22" s="8" t="s">
        <v>15</v>
      </c>
      <c r="K22" s="355">
        <f>+K21/1.08*0.08</f>
        <v>1925.9259259259259</v>
      </c>
      <c r="M22" s="346" t="s">
        <v>1380</v>
      </c>
    </row>
    <row r="23" spans="2:13" x14ac:dyDescent="0.3">
      <c r="B23" s="357"/>
      <c r="C23" s="17"/>
      <c r="D23" s="17"/>
      <c r="E23" s="17"/>
      <c r="F23" s="17"/>
      <c r="G23" s="18"/>
      <c r="H23" s="18">
        <f>SUBTOTAL(109,Tabla1103453454455456479364654[Total costo])</f>
        <v>5074.2176423999999</v>
      </c>
      <c r="I23" s="4"/>
      <c r="J23" s="8" t="s">
        <v>16</v>
      </c>
      <c r="K23" s="355">
        <f>+K21-K22</f>
        <v>24074.074074074073</v>
      </c>
      <c r="M23" s="346" t="s">
        <v>1381</v>
      </c>
    </row>
    <row r="24" spans="2:13" x14ac:dyDescent="0.3">
      <c r="B24" s="359"/>
      <c r="J24" s="8" t="s">
        <v>17</v>
      </c>
      <c r="K24" s="358">
        <f>+K20/K23</f>
        <v>0.22131395409544616</v>
      </c>
      <c r="M24" s="346" t="s">
        <v>1382</v>
      </c>
    </row>
    <row r="25" spans="2:13" x14ac:dyDescent="0.3">
      <c r="B25" s="377"/>
      <c r="J25" s="8" t="s">
        <v>18</v>
      </c>
      <c r="K25" s="360">
        <f>+K23-K20</f>
        <v>18746.145549554072</v>
      </c>
      <c r="M25" s="346"/>
    </row>
    <row r="26" spans="2:13" x14ac:dyDescent="0.3">
      <c r="B26" s="346"/>
      <c r="J26" s="8" t="s">
        <v>19</v>
      </c>
      <c r="K26" s="361">
        <f>+K25/K20</f>
        <v>3.5184679117374116</v>
      </c>
      <c r="M26" s="346"/>
    </row>
    <row r="27" spans="2:13" ht="14.4" customHeight="1" x14ac:dyDescent="0.3">
      <c r="B27" s="346"/>
      <c r="I27" s="4"/>
      <c r="M27" s="346"/>
    </row>
    <row r="28" spans="2:13" ht="14.4" customHeight="1" thickBot="1" x14ac:dyDescent="0.35">
      <c r="B28" s="346"/>
      <c r="I28" s="4"/>
      <c r="M28" s="346"/>
    </row>
    <row r="29" spans="2:13" ht="15.6" x14ac:dyDescent="0.3">
      <c r="B29" s="347" t="s">
        <v>317</v>
      </c>
      <c r="C29" s="366"/>
      <c r="D29" s="366"/>
      <c r="E29" s="367"/>
      <c r="F29" s="367"/>
      <c r="G29" s="368"/>
      <c r="H29" s="368"/>
      <c r="I29" s="365"/>
      <c r="J29" s="400" t="s">
        <v>0</v>
      </c>
      <c r="K29" s="401"/>
      <c r="M29" s="377" t="s">
        <v>1394</v>
      </c>
    </row>
    <row r="30" spans="2:13" ht="26.4" x14ac:dyDescent="0.3">
      <c r="B30" s="352" t="s">
        <v>1</v>
      </c>
      <c r="C30" s="17" t="s">
        <v>2</v>
      </c>
      <c r="D30" s="72" t="s">
        <v>892</v>
      </c>
      <c r="E30" s="72" t="s">
        <v>893</v>
      </c>
      <c r="F30" s="72" t="s">
        <v>894</v>
      </c>
      <c r="G30" s="73" t="s">
        <v>4</v>
      </c>
      <c r="H30" s="73" t="s">
        <v>5</v>
      </c>
      <c r="I30" s="4"/>
      <c r="J30" s="8" t="s">
        <v>6</v>
      </c>
      <c r="K30" s="353">
        <f>SUM(Tabla11034534544554564793637[Total costo])</f>
        <v>7112.3836070999996</v>
      </c>
      <c r="M30" s="346" t="s">
        <v>1384</v>
      </c>
    </row>
    <row r="31" spans="2:13" x14ac:dyDescent="0.3">
      <c r="B31" s="354" t="s">
        <v>103</v>
      </c>
      <c r="C31" s="11" t="s">
        <v>847</v>
      </c>
      <c r="D31" s="12">
        <v>0.33</v>
      </c>
      <c r="E31" s="12">
        <v>0</v>
      </c>
      <c r="F31" s="12">
        <v>0.33</v>
      </c>
      <c r="G31" s="13">
        <f>+VLOOKUP(Tabla11034534544554564793637[[#This Row],[Ingrediente]],Tabla34[#All],3,0)</f>
        <v>2800</v>
      </c>
      <c r="H31" s="14">
        <f>+Tabla11034534544554564793637[[#This Row],[Costo]]*Tabla11034534544554564793637[[#This Row],[Unidades]]</f>
        <v>924</v>
      </c>
      <c r="I31" s="4"/>
      <c r="J31" s="8" t="s">
        <v>533</v>
      </c>
      <c r="K31" s="355">
        <f>+K30*5%</f>
        <v>355.61918035500003</v>
      </c>
      <c r="M31" s="346" t="s">
        <v>1385</v>
      </c>
    </row>
    <row r="32" spans="2:13" x14ac:dyDescent="0.3">
      <c r="B32" s="354" t="s">
        <v>1069</v>
      </c>
      <c r="C32" s="11" t="s">
        <v>847</v>
      </c>
      <c r="D32" s="12">
        <v>1</v>
      </c>
      <c r="E32" s="12">
        <v>0</v>
      </c>
      <c r="F32" s="12">
        <v>1</v>
      </c>
      <c r="G32" s="13">
        <f>+VLOOKUP(Tabla11034534544554564793637[[#This Row],[Ingrediente]],Tabla34[#All],3,0)</f>
        <v>57.12</v>
      </c>
      <c r="H32" s="14">
        <f>+Tabla11034534544554564793637[[#This Row],[Costo]]*Tabla11034534544554564793637[[#This Row],[Unidades]]</f>
        <v>57.12</v>
      </c>
      <c r="I32" s="4"/>
      <c r="J32" s="8" t="s">
        <v>13</v>
      </c>
      <c r="K32" s="355">
        <f>+K30+K31</f>
        <v>7468.0027874549996</v>
      </c>
      <c r="M32" s="346" t="s">
        <v>1386</v>
      </c>
    </row>
    <row r="33" spans="2:13" x14ac:dyDescent="0.3">
      <c r="B33" s="354" t="s">
        <v>52</v>
      </c>
      <c r="C33" s="11" t="s">
        <v>67</v>
      </c>
      <c r="D33" s="12">
        <v>30</v>
      </c>
      <c r="E33" s="12">
        <v>0</v>
      </c>
      <c r="F33" s="12">
        <v>30</v>
      </c>
      <c r="G33" s="13">
        <f>+VLOOKUP(Tabla11034534544554564793637[[#This Row],[Ingrediente]],Tabla34[#All],3,0)</f>
        <v>27.651436050000001</v>
      </c>
      <c r="H33" s="14">
        <f>+Tabla11034534544554564793637[[#This Row],[Costo]]*Tabla11034534544554564793637[[#This Row],[Unidades]]</f>
        <v>829.54308149999997</v>
      </c>
      <c r="I33" s="4"/>
      <c r="J33" s="20" t="s">
        <v>14</v>
      </c>
      <c r="K33" s="356">
        <v>41000</v>
      </c>
      <c r="M33" s="346" t="s">
        <v>1451</v>
      </c>
    </row>
    <row r="34" spans="2:13" x14ac:dyDescent="0.3">
      <c r="B34" s="354" t="s">
        <v>451</v>
      </c>
      <c r="C34" s="11" t="s">
        <v>67</v>
      </c>
      <c r="D34" s="12">
        <v>20</v>
      </c>
      <c r="E34" s="12">
        <v>0</v>
      </c>
      <c r="F34" s="12">
        <v>20</v>
      </c>
      <c r="G34" s="13">
        <f>+VLOOKUP(Tabla11034534544554564793637[[#This Row],[Ingrediente]],Tabla34[#All],3,0)</f>
        <v>60.987499999999997</v>
      </c>
      <c r="H34" s="14">
        <f>+Tabla11034534544554564793637[[#This Row],[Costo]]*Tabla11034534544554564793637[[#This Row],[Unidades]]</f>
        <v>1219.75</v>
      </c>
      <c r="I34" s="4"/>
      <c r="J34" s="8" t="s">
        <v>15</v>
      </c>
      <c r="K34" s="355">
        <f>+K33/1.08*0.08</f>
        <v>3037.037037037037</v>
      </c>
    </row>
    <row r="35" spans="2:13" x14ac:dyDescent="0.3">
      <c r="B35" s="354" t="s">
        <v>145</v>
      </c>
      <c r="C35" s="11" t="s">
        <v>67</v>
      </c>
      <c r="D35" s="12">
        <v>30</v>
      </c>
      <c r="E35" s="12">
        <v>0</v>
      </c>
      <c r="F35" s="12">
        <v>30</v>
      </c>
      <c r="G35" s="13">
        <f>+VLOOKUP(Tabla11034534544554564793637[[#This Row],[Ingrediente]],Tabla34[#All],3,0)</f>
        <v>40.425119780000003</v>
      </c>
      <c r="H35" s="14">
        <f>+Tabla11034534544554564793637[[#This Row],[Costo]]*Tabla11034534544554564793637[[#This Row],[Unidades]]</f>
        <v>1212.7535934</v>
      </c>
      <c r="I35" s="4"/>
      <c r="J35" s="8" t="s">
        <v>16</v>
      </c>
      <c r="K35" s="355">
        <f>+K33-K34</f>
        <v>37962.962962962964</v>
      </c>
      <c r="M35" s="377" t="s">
        <v>1377</v>
      </c>
    </row>
    <row r="36" spans="2:13" x14ac:dyDescent="0.3">
      <c r="B36" s="354" t="s">
        <v>308</v>
      </c>
      <c r="C36" s="11" t="s">
        <v>67</v>
      </c>
      <c r="D36" s="12">
        <v>40</v>
      </c>
      <c r="E36" s="12">
        <v>0</v>
      </c>
      <c r="F36" s="12">
        <v>40</v>
      </c>
      <c r="G36" s="13">
        <f>+VLOOKUP(Tabla11034534544554564793637[[#This Row],[Ingrediente]],Tabla34[#All],3,0)</f>
        <v>24.115200000000002</v>
      </c>
      <c r="H36" s="14">
        <f>+Tabla11034534544554564793637[[#This Row],[Costo]]*Tabla11034534544554564793637[[#This Row],[Unidades]]</f>
        <v>964.60800000000006</v>
      </c>
      <c r="I36" s="4"/>
      <c r="J36" s="8" t="s">
        <v>17</v>
      </c>
      <c r="K36" s="358">
        <f>+K32/K35</f>
        <v>0.19671812220613169</v>
      </c>
      <c r="M36" s="346" t="s">
        <v>1387</v>
      </c>
    </row>
    <row r="37" spans="2:13" x14ac:dyDescent="0.3">
      <c r="B37" s="354" t="s">
        <v>631</v>
      </c>
      <c r="C37" s="11" t="s">
        <v>67</v>
      </c>
      <c r="D37" s="12">
        <v>15</v>
      </c>
      <c r="E37" s="12">
        <v>0</v>
      </c>
      <c r="F37" s="12">
        <v>15</v>
      </c>
      <c r="G37" s="13">
        <f>+VLOOKUP(Tabla11034534544554564793637[[#This Row],[Ingrediente]],Tabla34[#All],3,0)</f>
        <v>34.714285709999999</v>
      </c>
      <c r="H37" s="14">
        <f>+Tabla11034534544554564793637[[#This Row],[Costo]]*Tabla11034534544554564793637[[#This Row],[Unidades]]</f>
        <v>520.71428564999997</v>
      </c>
      <c r="I37" s="4"/>
      <c r="J37" s="8" t="s">
        <v>18</v>
      </c>
      <c r="K37" s="360">
        <f>+K35-K32</f>
        <v>30494.960175507964</v>
      </c>
      <c r="M37" s="346" t="s">
        <v>1388</v>
      </c>
    </row>
    <row r="38" spans="2:13" x14ac:dyDescent="0.3">
      <c r="B38" s="354" t="s">
        <v>86</v>
      </c>
      <c r="C38" s="11" t="s">
        <v>67</v>
      </c>
      <c r="D38" s="12">
        <v>10</v>
      </c>
      <c r="E38" s="12">
        <v>0</v>
      </c>
      <c r="F38" s="12">
        <v>10</v>
      </c>
      <c r="G38" s="13">
        <f>+VLOOKUP(Tabla11034534544554564793637[[#This Row],[Ingrediente]],Tabla34[#All],3,0)</f>
        <v>37.630499999999998</v>
      </c>
      <c r="H38" s="14">
        <f>+Tabla11034534544554564793637[[#This Row],[Costo]]*Tabla11034534544554564793637[[#This Row],[Unidades]]</f>
        <v>376.30499999999995</v>
      </c>
      <c r="I38" s="4"/>
      <c r="J38" s="8" t="s">
        <v>19</v>
      </c>
      <c r="K38" s="361">
        <f>+K37/K32</f>
        <v>4.0834157462734773</v>
      </c>
      <c r="M38" s="346" t="s">
        <v>1389</v>
      </c>
    </row>
    <row r="39" spans="2:13" x14ac:dyDescent="0.3">
      <c r="B39" s="354" t="s">
        <v>833</v>
      </c>
      <c r="C39" s="11" t="s">
        <v>67</v>
      </c>
      <c r="D39" s="12">
        <v>1</v>
      </c>
      <c r="E39" s="12">
        <v>0</v>
      </c>
      <c r="F39" s="12">
        <v>1</v>
      </c>
      <c r="G39" s="13">
        <f>+VLOOKUP(Tabla11034534544554564793637[[#This Row],[Ingrediente]],Tabla34[#All],3,0)</f>
        <v>307.5</v>
      </c>
      <c r="H39" s="14">
        <f>+Tabla11034534544554564793637[[#This Row],[Costo]]*Tabla11034534544554564793637[[#This Row],[Unidades]]</f>
        <v>307.5</v>
      </c>
      <c r="I39" s="4"/>
      <c r="J39" s="4"/>
      <c r="K39" s="369"/>
    </row>
    <row r="40" spans="2:13" x14ac:dyDescent="0.3">
      <c r="B40" s="354" t="s">
        <v>124</v>
      </c>
      <c r="C40" s="11" t="s">
        <v>67</v>
      </c>
      <c r="D40" s="12">
        <v>50</v>
      </c>
      <c r="E40" s="12">
        <v>0</v>
      </c>
      <c r="F40" s="12">
        <v>50</v>
      </c>
      <c r="G40" s="13">
        <f>+VLOOKUP(Tabla11034534544554564793637[[#This Row],[Ingrediente]],Tabla34[#All],3,0)</f>
        <v>3.1357552800000001</v>
      </c>
      <c r="H40" s="14">
        <f>+Tabla11034534544554564793637[[#This Row],[Costo]]*Tabla11034534544554564793637[[#This Row],[Unidades]]</f>
        <v>156.78776400000001</v>
      </c>
      <c r="I40" s="4"/>
      <c r="J40" s="4"/>
      <c r="K40" s="369"/>
    </row>
    <row r="41" spans="2:13" x14ac:dyDescent="0.3">
      <c r="B41" s="354" t="s">
        <v>138</v>
      </c>
      <c r="C41" s="11" t="s">
        <v>67</v>
      </c>
      <c r="D41" s="12">
        <v>15</v>
      </c>
      <c r="E41" s="12">
        <v>0</v>
      </c>
      <c r="F41" s="12">
        <v>15</v>
      </c>
      <c r="G41" s="13">
        <f>+VLOOKUP(Tabla11034534544554564793637[[#This Row],[Ingrediente]],Tabla34[#All],3,0)</f>
        <v>14.714642169999999</v>
      </c>
      <c r="H41" s="14">
        <f>+Tabla11034534544554564793637[[#This Row],[Costo]]*Tabla11034534544554564793637[[#This Row],[Unidades]]</f>
        <v>220.71963255</v>
      </c>
      <c r="I41" s="27"/>
      <c r="J41" s="4"/>
      <c r="K41" s="369"/>
    </row>
    <row r="42" spans="2:13" x14ac:dyDescent="0.3">
      <c r="B42" s="354" t="s">
        <v>313</v>
      </c>
      <c r="C42" s="11" t="s">
        <v>67</v>
      </c>
      <c r="D42" s="12">
        <v>5</v>
      </c>
      <c r="E42" s="12">
        <v>0</v>
      </c>
      <c r="F42" s="12">
        <v>5</v>
      </c>
      <c r="G42" s="13">
        <f>+VLOOKUP(Tabla11034534544554564793637[[#This Row],[Ingrediente]],Tabla34[#All],3,0)</f>
        <v>7.6838499999999996</v>
      </c>
      <c r="H42" s="14">
        <f>+Tabla11034534544554564793637[[#This Row],[Costo]]*Tabla11034534544554564793637[[#This Row],[Unidades]]</f>
        <v>38.419249999999998</v>
      </c>
      <c r="J42" s="4"/>
      <c r="K42" s="369"/>
    </row>
    <row r="43" spans="2:13" x14ac:dyDescent="0.3">
      <c r="B43" s="354" t="s">
        <v>818</v>
      </c>
      <c r="C43" s="11" t="s">
        <v>67</v>
      </c>
      <c r="D43" s="12">
        <v>3</v>
      </c>
      <c r="E43" s="12">
        <v>40</v>
      </c>
      <c r="F43" s="12">
        <v>5</v>
      </c>
      <c r="G43" s="13">
        <f>+VLOOKUP(Tabla11034534544554564793637[[#This Row],[Ingrediente]],Tabla34[#All],3,0)</f>
        <v>8</v>
      </c>
      <c r="H43" s="14">
        <f>+Tabla11034534544554564793637[[#This Row],[Costo]]*Tabla11034534544554564793637[[#This Row],[Unidades]]</f>
        <v>40</v>
      </c>
      <c r="J43" s="4"/>
      <c r="K43" s="369"/>
    </row>
    <row r="44" spans="2:13" x14ac:dyDescent="0.3">
      <c r="B44" s="354" t="s">
        <v>89</v>
      </c>
      <c r="C44" s="11" t="s">
        <v>67</v>
      </c>
      <c r="D44" s="12">
        <v>3</v>
      </c>
      <c r="E44" s="12">
        <v>0</v>
      </c>
      <c r="F44" s="12">
        <v>3</v>
      </c>
      <c r="G44" s="13">
        <f>+VLOOKUP(Tabla11034534544554564793637[[#This Row],[Ingrediente]],Tabla34[#All],3,0)</f>
        <v>2.4009999999999998</v>
      </c>
      <c r="H44" s="14">
        <f>+Tabla11034534544554564793637[[#This Row],[Costo]]*Tabla11034534544554564793637[[#This Row],[Unidades]]</f>
        <v>7.2029999999999994</v>
      </c>
      <c r="I44" s="4"/>
      <c r="J44" s="4"/>
      <c r="K44" s="369"/>
    </row>
    <row r="45" spans="2:13" x14ac:dyDescent="0.3">
      <c r="B45" s="354" t="s">
        <v>1230</v>
      </c>
      <c r="C45" s="11" t="s">
        <v>67</v>
      </c>
      <c r="D45" s="12">
        <v>100</v>
      </c>
      <c r="E45" s="12">
        <v>0</v>
      </c>
      <c r="F45" s="12">
        <v>100</v>
      </c>
      <c r="G45" s="13">
        <f>+VLOOKUP(Tabla11034534544554564793637[[#This Row],[Ingrediente]],Tabla34[#All],3,0)</f>
        <v>2.3696000000000002</v>
      </c>
      <c r="H45" s="14">
        <f>+Tabla11034534544554564793637[[#This Row],[Costo]]*Tabla11034534544554564793637[[#This Row],[Unidades]]</f>
        <v>236.96</v>
      </c>
      <c r="I45" s="4"/>
      <c r="J45" s="4"/>
      <c r="K45" s="369"/>
    </row>
    <row r="46" spans="2:13" x14ac:dyDescent="0.3">
      <c r="B46" s="357"/>
      <c r="C46" s="17"/>
      <c r="D46" s="17"/>
      <c r="E46" s="17"/>
      <c r="F46" s="17"/>
      <c r="G46" s="18"/>
      <c r="H46" s="18">
        <f>SUBTOTAL(109,Tabla11034534544554564793637[Total costo])</f>
        <v>7112.3836070999996</v>
      </c>
      <c r="I46" s="4"/>
      <c r="J46" s="4"/>
      <c r="K46" s="369"/>
    </row>
    <row r="47" spans="2:13" x14ac:dyDescent="0.3">
      <c r="B47" s="359"/>
      <c r="I47" s="4"/>
      <c r="J47" s="4"/>
      <c r="K47" s="369"/>
    </row>
    <row r="48" spans="2:13" ht="15" thickBot="1" x14ac:dyDescent="0.35">
      <c r="I48" s="4"/>
      <c r="J48" s="4"/>
      <c r="K48" s="26"/>
    </row>
    <row r="49" spans="2:13" ht="15.6" x14ac:dyDescent="0.3">
      <c r="B49" s="347" t="s">
        <v>318</v>
      </c>
      <c r="C49" s="366"/>
      <c r="D49" s="366"/>
      <c r="E49" s="366"/>
      <c r="F49" s="366"/>
      <c r="G49" s="367"/>
      <c r="H49" s="367"/>
      <c r="I49" s="365"/>
      <c r="J49" s="400" t="s">
        <v>0</v>
      </c>
      <c r="K49" s="401"/>
      <c r="M49" s="377" t="s">
        <v>1394</v>
      </c>
    </row>
    <row r="50" spans="2:13" ht="26.4" x14ac:dyDescent="0.3">
      <c r="B50" s="352" t="s">
        <v>1</v>
      </c>
      <c r="C50" s="17" t="s">
        <v>2</v>
      </c>
      <c r="D50" s="72" t="s">
        <v>892</v>
      </c>
      <c r="E50" s="72" t="s">
        <v>893</v>
      </c>
      <c r="F50" s="72" t="s">
        <v>894</v>
      </c>
      <c r="G50" s="73" t="s">
        <v>4</v>
      </c>
      <c r="H50" s="73" t="s">
        <v>5</v>
      </c>
      <c r="I50" s="49"/>
      <c r="J50" s="8" t="s">
        <v>6</v>
      </c>
      <c r="K50" s="353">
        <f>SUM(Tabla11034534544554564793638[Total costo])</f>
        <v>9230.1927164000008</v>
      </c>
      <c r="M50" s="346" t="s">
        <v>1390</v>
      </c>
    </row>
    <row r="51" spans="2:13" x14ac:dyDescent="0.3">
      <c r="B51" s="354" t="s">
        <v>820</v>
      </c>
      <c r="C51" s="11" t="s">
        <v>67</v>
      </c>
      <c r="D51" s="12">
        <v>50.000000999999997</v>
      </c>
      <c r="E51" s="12">
        <v>5</v>
      </c>
      <c r="F51" s="12">
        <v>52.63158</v>
      </c>
      <c r="G51" s="13">
        <f>+VLOOKUP(Tabla11034534544554564793638[[#This Row],[Ingrediente]],Tabla34[#All],3,0)</f>
        <v>35</v>
      </c>
      <c r="H51" s="14">
        <f>+Tabla11034534544554564793638[[#This Row],[Costo]]*Tabla11034534544554564793638[[#This Row],[Unidades]]</f>
        <v>1842.1052999999999</v>
      </c>
      <c r="I51" s="49"/>
      <c r="J51" s="8" t="s">
        <v>533</v>
      </c>
      <c r="K51" s="355">
        <f>+K50*5%</f>
        <v>461.50963582000009</v>
      </c>
      <c r="L51" s="4"/>
      <c r="M51" s="346" t="s">
        <v>1391</v>
      </c>
    </row>
    <row r="52" spans="2:13" x14ac:dyDescent="0.3">
      <c r="B52" s="354" t="s">
        <v>633</v>
      </c>
      <c r="C52" s="11" t="s">
        <v>67</v>
      </c>
      <c r="D52" s="12">
        <v>50.000000999999997</v>
      </c>
      <c r="E52" s="12">
        <v>5</v>
      </c>
      <c r="F52" s="12">
        <v>52.63158</v>
      </c>
      <c r="G52" s="13">
        <f>+VLOOKUP(Tabla11034534544554564793638[[#This Row],[Ingrediente]],Tabla34[#All],3,0)</f>
        <v>27</v>
      </c>
      <c r="H52" s="14">
        <f>+Tabla11034534544554564793638[[#This Row],[Costo]]*Tabla11034534544554564793638[[#This Row],[Unidades]]</f>
        <v>1421.0526600000001</v>
      </c>
      <c r="I52" s="49"/>
      <c r="J52" s="8" t="s">
        <v>13</v>
      </c>
      <c r="K52" s="355">
        <f>+K50+K51</f>
        <v>9691.7023522200016</v>
      </c>
      <c r="M52" s="346" t="s">
        <v>1392</v>
      </c>
    </row>
    <row r="53" spans="2:13" x14ac:dyDescent="0.3">
      <c r="B53" s="354" t="s">
        <v>805</v>
      </c>
      <c r="C53" s="11" t="s">
        <v>67</v>
      </c>
      <c r="D53" s="12">
        <v>50.000000999999997</v>
      </c>
      <c r="E53" s="12">
        <v>5</v>
      </c>
      <c r="F53" s="12">
        <v>52.63158</v>
      </c>
      <c r="G53" s="13">
        <f>+VLOOKUP(Tabla11034534544554564793638[[#This Row],[Ingrediente]],Tabla34[#All],3,0)</f>
        <v>28</v>
      </c>
      <c r="H53" s="14">
        <f>+Tabla11034534544554564793638[[#This Row],[Costo]]*Tabla11034534544554564793638[[#This Row],[Unidades]]</f>
        <v>1473.68424</v>
      </c>
      <c r="I53" s="49"/>
      <c r="J53" s="20" t="s">
        <v>14</v>
      </c>
      <c r="K53" s="356">
        <v>39000</v>
      </c>
      <c r="M53" s="346" t="s">
        <v>1393</v>
      </c>
    </row>
    <row r="54" spans="2:13" x14ac:dyDescent="0.3">
      <c r="B54" s="354" t="s">
        <v>451</v>
      </c>
      <c r="C54" s="11" t="s">
        <v>67</v>
      </c>
      <c r="D54" s="12">
        <v>20</v>
      </c>
      <c r="E54" s="12">
        <v>0</v>
      </c>
      <c r="F54" s="12">
        <v>20</v>
      </c>
      <c r="G54" s="13">
        <f>+VLOOKUP(Tabla11034534544554564793638[[#This Row],[Ingrediente]],Tabla34[#All],3,0)</f>
        <v>60.987499999999997</v>
      </c>
      <c r="H54" s="14">
        <f>+Tabla11034534544554564793638[[#This Row],[Costo]]*Tabla11034534544554564793638[[#This Row],[Unidades]]</f>
        <v>1219.75</v>
      </c>
      <c r="I54" s="49"/>
      <c r="J54" s="8" t="s">
        <v>15</v>
      </c>
      <c r="K54" s="355">
        <f>+K53/1.08*0.08</f>
        <v>2888.8888888888887</v>
      </c>
      <c r="M54" s="346" t="s">
        <v>1395</v>
      </c>
    </row>
    <row r="55" spans="2:13" x14ac:dyDescent="0.3">
      <c r="B55" s="354" t="s">
        <v>103</v>
      </c>
      <c r="C55" s="11" t="s">
        <v>847</v>
      </c>
      <c r="D55" s="12">
        <v>0.33</v>
      </c>
      <c r="E55" s="12">
        <v>0</v>
      </c>
      <c r="F55" s="12">
        <v>0.33</v>
      </c>
      <c r="G55" s="13">
        <f>+VLOOKUP(Tabla11034534544554564793638[[#This Row],[Ingrediente]],Tabla34[#All],3,0)</f>
        <v>2800</v>
      </c>
      <c r="H55" s="14">
        <f>+Tabla11034534544554564793638[[#This Row],[Costo]]*Tabla11034534544554564793638[[#This Row],[Unidades]]</f>
        <v>924</v>
      </c>
      <c r="I55" s="49"/>
      <c r="J55" s="8" t="s">
        <v>16</v>
      </c>
      <c r="K55" s="355">
        <f>+K53-K54</f>
        <v>36111.111111111109</v>
      </c>
      <c r="M55" s="346"/>
    </row>
    <row r="56" spans="2:13" x14ac:dyDescent="0.3">
      <c r="B56" s="354" t="s">
        <v>308</v>
      </c>
      <c r="C56" s="11" t="s">
        <v>67</v>
      </c>
      <c r="D56" s="12">
        <v>40</v>
      </c>
      <c r="E56" s="12">
        <v>0</v>
      </c>
      <c r="F56" s="12">
        <v>40</v>
      </c>
      <c r="G56" s="13">
        <f>+VLOOKUP(Tabla11034534544554564793638[[#This Row],[Ingrediente]],Tabla34[#All],3,0)</f>
        <v>24.115200000000002</v>
      </c>
      <c r="H56" s="14">
        <f>+Tabla11034534544554564793638[[#This Row],[Costo]]*Tabla11034534544554564793638[[#This Row],[Unidades]]</f>
        <v>964.60800000000006</v>
      </c>
      <c r="I56" s="49"/>
      <c r="J56" s="8" t="s">
        <v>17</v>
      </c>
      <c r="K56" s="358">
        <f>+K52/K55</f>
        <v>0.26838560359993852</v>
      </c>
      <c r="M56" s="377" t="s">
        <v>1377</v>
      </c>
    </row>
    <row r="57" spans="2:13" x14ac:dyDescent="0.3">
      <c r="B57" s="354" t="s">
        <v>106</v>
      </c>
      <c r="C57" s="11" t="s">
        <v>67</v>
      </c>
      <c r="D57" s="12">
        <v>30</v>
      </c>
      <c r="E57" s="12">
        <v>0</v>
      </c>
      <c r="F57" s="12">
        <v>30</v>
      </c>
      <c r="G57" s="13">
        <f>+VLOOKUP(Tabla11034534544554564793638[[#This Row],[Ingrediente]],Tabla34[#All],3,0)</f>
        <v>19.804166670000001</v>
      </c>
      <c r="H57" s="14">
        <f>+Tabla11034534544554564793638[[#This Row],[Costo]]*Tabla11034534544554564793638[[#This Row],[Unidades]]</f>
        <v>594.12500010000008</v>
      </c>
      <c r="I57" s="49"/>
      <c r="J57" s="8" t="s">
        <v>18</v>
      </c>
      <c r="K57" s="360">
        <f>+K55-K52</f>
        <v>26419.408758891106</v>
      </c>
      <c r="M57" s="346" t="s">
        <v>1396</v>
      </c>
    </row>
    <row r="58" spans="2:13" x14ac:dyDescent="0.3">
      <c r="B58" s="354" t="s">
        <v>631</v>
      </c>
      <c r="C58" s="11" t="s">
        <v>67</v>
      </c>
      <c r="D58" s="12">
        <v>10</v>
      </c>
      <c r="E58" s="12">
        <v>0</v>
      </c>
      <c r="F58" s="12">
        <v>10</v>
      </c>
      <c r="G58" s="13">
        <f>+VLOOKUP(Tabla11034534544554564793638[[#This Row],[Ingrediente]],Tabla34[#All],3,0)</f>
        <v>34.714285709999999</v>
      </c>
      <c r="H58" s="14">
        <f>+Tabla11034534544554564793638[[#This Row],[Costo]]*Tabla11034534544554564793638[[#This Row],[Unidades]]</f>
        <v>347.14285710000001</v>
      </c>
      <c r="I58" s="49"/>
      <c r="J58" s="8" t="s">
        <v>19</v>
      </c>
      <c r="K58" s="361">
        <f>+K57/K52</f>
        <v>2.7259822680005668</v>
      </c>
      <c r="M58" s="346" t="s">
        <v>1388</v>
      </c>
    </row>
    <row r="59" spans="2:13" x14ac:dyDescent="0.3">
      <c r="B59" s="354" t="s">
        <v>833</v>
      </c>
      <c r="C59" s="11" t="s">
        <v>67</v>
      </c>
      <c r="D59" s="12">
        <v>1</v>
      </c>
      <c r="E59" s="12">
        <v>0</v>
      </c>
      <c r="F59" s="12">
        <v>1</v>
      </c>
      <c r="G59" s="13">
        <f>+VLOOKUP(Tabla11034534544554564793638[[#This Row],[Ingrediente]],Tabla34[#All],3,0)</f>
        <v>307.5</v>
      </c>
      <c r="H59" s="14">
        <f>+Tabla11034534544554564793638[[#This Row],[Costo]]*Tabla11034534544554564793638[[#This Row],[Unidades]]</f>
        <v>307.5</v>
      </c>
      <c r="I59" s="4"/>
      <c r="J59" s="4"/>
      <c r="K59" s="370"/>
      <c r="M59" s="346" t="s">
        <v>1389</v>
      </c>
    </row>
    <row r="60" spans="2:13" x14ac:dyDescent="0.3">
      <c r="B60" s="354" t="s">
        <v>687</v>
      </c>
      <c r="C60" s="11" t="s">
        <v>67</v>
      </c>
      <c r="D60" s="12">
        <v>14.99999987</v>
      </c>
      <c r="E60" s="12">
        <v>17</v>
      </c>
      <c r="F60" s="12">
        <v>18.072289000000001</v>
      </c>
      <c r="G60" s="13">
        <f>+VLOOKUP(Tabla11034534544554564793638[[#This Row],[Ingrediente]],Tabla34[#All],3,0)</f>
        <v>2.8</v>
      </c>
      <c r="H60" s="14">
        <f>+Tabla11034534544554564793638[[#This Row],[Costo]]*Tabla11034534544554564793638[[#This Row],[Unidades]]</f>
        <v>50.602409200000004</v>
      </c>
      <c r="I60" s="4"/>
      <c r="J60" s="4"/>
      <c r="K60" s="370"/>
    </row>
    <row r="61" spans="2:13" x14ac:dyDescent="0.3">
      <c r="B61" s="354" t="s">
        <v>313</v>
      </c>
      <c r="C61" s="11" t="s">
        <v>67</v>
      </c>
      <c r="D61" s="12">
        <v>5</v>
      </c>
      <c r="E61" s="12">
        <v>0</v>
      </c>
      <c r="F61" s="12">
        <v>5</v>
      </c>
      <c r="G61" s="13">
        <f>+VLOOKUP(Tabla11034534544554564793638[[#This Row],[Ingrediente]],Tabla34[#All],3,0)</f>
        <v>7.6838499999999996</v>
      </c>
      <c r="H61" s="14">
        <f>+Tabla11034534544554564793638[[#This Row],[Costo]]*Tabla11034534544554564793638[[#This Row],[Unidades]]</f>
        <v>38.419249999999998</v>
      </c>
      <c r="I61" s="4"/>
      <c r="J61" s="4"/>
      <c r="K61" s="370"/>
    </row>
    <row r="62" spans="2:13" x14ac:dyDescent="0.3">
      <c r="B62" s="354" t="s">
        <v>818</v>
      </c>
      <c r="C62" s="11" t="s">
        <v>67</v>
      </c>
      <c r="D62" s="12">
        <v>3</v>
      </c>
      <c r="E62" s="12">
        <v>40</v>
      </c>
      <c r="F62" s="12">
        <v>5</v>
      </c>
      <c r="G62" s="13">
        <f>+VLOOKUP(Tabla11034534544554564793638[[#This Row],[Ingrediente]],Tabla34[#All],3,0)</f>
        <v>8</v>
      </c>
      <c r="H62" s="14">
        <f>+Tabla11034534544554564793638[[#This Row],[Costo]]*Tabla11034534544554564793638[[#This Row],[Unidades]]</f>
        <v>40</v>
      </c>
      <c r="I62" s="4"/>
      <c r="J62" s="4"/>
      <c r="K62" s="369"/>
      <c r="L62" s="31"/>
    </row>
    <row r="63" spans="2:13" x14ac:dyDescent="0.3">
      <c r="B63" s="354" t="s">
        <v>89</v>
      </c>
      <c r="C63" s="11" t="s">
        <v>67</v>
      </c>
      <c r="D63" s="12">
        <v>3</v>
      </c>
      <c r="E63" s="12">
        <v>0</v>
      </c>
      <c r="F63" s="12">
        <v>3</v>
      </c>
      <c r="G63" s="13">
        <f>+VLOOKUP(Tabla11034534544554564793638[[#This Row],[Ingrediente]],Tabla34[#All],3,0)</f>
        <v>2.4009999999999998</v>
      </c>
      <c r="H63" s="14">
        <f>+Tabla11034534544554564793638[[#This Row],[Costo]]*Tabla11034534544554564793638[[#This Row],[Unidades]]</f>
        <v>7.2029999999999994</v>
      </c>
      <c r="I63" s="4"/>
      <c r="K63" s="362"/>
      <c r="L63" s="31"/>
    </row>
    <row r="64" spans="2:13" x14ac:dyDescent="0.3">
      <c r="B64" s="357"/>
      <c r="C64" s="17"/>
      <c r="D64" s="17"/>
      <c r="E64" s="17"/>
      <c r="F64" s="17"/>
      <c r="G64" s="18"/>
      <c r="H64" s="18">
        <f>SUBTOTAL(109,Tabla11034534544554564793638[Total costo])</f>
        <v>9230.1927164000008</v>
      </c>
      <c r="I64" s="4"/>
      <c r="K64" s="362"/>
      <c r="L64" s="31"/>
    </row>
    <row r="65" spans="2:13" x14ac:dyDescent="0.3">
      <c r="B65" s="359"/>
      <c r="G65" s="4"/>
      <c r="I65" s="4"/>
      <c r="K65" s="362"/>
      <c r="L65" s="31"/>
    </row>
    <row r="66" spans="2:13" ht="15" thickBot="1" x14ac:dyDescent="0.35">
      <c r="G66" s="4"/>
      <c r="I66" s="4"/>
      <c r="L66" s="31"/>
    </row>
    <row r="67" spans="2:13" ht="15.6" x14ac:dyDescent="0.3">
      <c r="B67" s="347" t="s">
        <v>341</v>
      </c>
      <c r="C67" s="366"/>
      <c r="D67" s="366"/>
      <c r="E67" s="367"/>
      <c r="F67" s="367"/>
      <c r="G67" s="367"/>
      <c r="H67" s="367"/>
      <c r="I67" s="349"/>
      <c r="J67" s="400" t="s">
        <v>0</v>
      </c>
      <c r="K67" s="401"/>
      <c r="M67" s="377" t="s">
        <v>1394</v>
      </c>
    </row>
    <row r="68" spans="2:13" ht="26.4" x14ac:dyDescent="0.3">
      <c r="B68" s="352" t="s">
        <v>1</v>
      </c>
      <c r="C68" s="17" t="s">
        <v>2</v>
      </c>
      <c r="D68" s="72" t="s">
        <v>892</v>
      </c>
      <c r="E68" s="72" t="s">
        <v>893</v>
      </c>
      <c r="F68" s="72" t="s">
        <v>894</v>
      </c>
      <c r="G68" s="73" t="s">
        <v>4</v>
      </c>
      <c r="H68" s="73" t="s">
        <v>5</v>
      </c>
      <c r="I68" s="4"/>
      <c r="J68" s="8" t="s">
        <v>6</v>
      </c>
      <c r="K68" s="353">
        <f>SUM(Tabla11034534544554564793639[Total costo])</f>
        <v>14121.394699589999</v>
      </c>
      <c r="M68" s="346" t="s">
        <v>1397</v>
      </c>
    </row>
    <row r="69" spans="2:13" x14ac:dyDescent="0.3">
      <c r="B69" s="354" t="s">
        <v>837</v>
      </c>
      <c r="C69" s="11" t="s">
        <v>847</v>
      </c>
      <c r="D69" s="12">
        <v>7</v>
      </c>
      <c r="E69" s="12">
        <v>0</v>
      </c>
      <c r="F69" s="12">
        <v>7</v>
      </c>
      <c r="G69" s="13">
        <f>+VLOOKUP(Tabla11034534544554564793639[[#This Row],[Ingrediente]],Tabla34[#All],3,0)</f>
        <v>514.28</v>
      </c>
      <c r="H69" s="14">
        <f>+Tabla11034534544554564793639[[#This Row],[Costo]]*Tabla11034534544554564793639[[#This Row],[Unidades]]</f>
        <v>3599.96</v>
      </c>
      <c r="I69" s="4"/>
      <c r="J69" s="8" t="s">
        <v>533</v>
      </c>
      <c r="K69" s="355">
        <f>+K68*5%</f>
        <v>706.06973497950003</v>
      </c>
      <c r="M69" s="346" t="s">
        <v>1398</v>
      </c>
    </row>
    <row r="70" spans="2:13" x14ac:dyDescent="0.3">
      <c r="B70" s="354" t="s">
        <v>229</v>
      </c>
      <c r="C70" s="11" t="s">
        <v>67</v>
      </c>
      <c r="D70" s="12">
        <v>30</v>
      </c>
      <c r="E70" s="12">
        <v>0</v>
      </c>
      <c r="F70" s="12">
        <v>30</v>
      </c>
      <c r="G70" s="13">
        <f>+VLOOKUP(Tabla11034534544554564793639[[#This Row],[Ingrediente]],Tabla34[#All],3,0)</f>
        <v>24.714500000000001</v>
      </c>
      <c r="H70" s="14">
        <f>+Tabla11034534544554564793639[[#This Row],[Costo]]*Tabla11034534544554564793639[[#This Row],[Unidades]]</f>
        <v>741.43500000000006</v>
      </c>
      <c r="I70" s="4"/>
      <c r="J70" s="8" t="s">
        <v>13</v>
      </c>
      <c r="K70" s="355">
        <f>+K68+K69</f>
        <v>14827.464434569498</v>
      </c>
      <c r="M70" s="346" t="s">
        <v>1452</v>
      </c>
    </row>
    <row r="71" spans="2:13" x14ac:dyDescent="0.3">
      <c r="B71" s="371" t="s">
        <v>620</v>
      </c>
      <c r="C71" s="11" t="s">
        <v>67</v>
      </c>
      <c r="D71" s="12">
        <v>50.000001300000001</v>
      </c>
      <c r="E71" s="12">
        <v>10</v>
      </c>
      <c r="F71" s="12">
        <v>55.555557</v>
      </c>
      <c r="G71" s="13">
        <f>+VLOOKUP(Tabla11034534544554564793639[[#This Row],[Ingrediente]],Tabla34[#All],3,0)</f>
        <v>39</v>
      </c>
      <c r="H71" s="14">
        <f>+Tabla11034534544554564793639[[#This Row],[Costo]]*Tabla11034534544554564793639[[#This Row],[Unidades]]</f>
        <v>2166.6667229999998</v>
      </c>
      <c r="I71" s="4"/>
      <c r="J71" s="20" t="s">
        <v>14</v>
      </c>
      <c r="K71" s="356">
        <v>49000</v>
      </c>
      <c r="M71" s="346"/>
    </row>
    <row r="72" spans="2:13" x14ac:dyDescent="0.3">
      <c r="B72" s="354" t="s">
        <v>214</v>
      </c>
      <c r="C72" s="11" t="s">
        <v>67</v>
      </c>
      <c r="D72" s="12">
        <v>100</v>
      </c>
      <c r="E72" s="12">
        <v>0</v>
      </c>
      <c r="F72" s="12">
        <v>100</v>
      </c>
      <c r="G72" s="13">
        <f>+VLOOKUP(Tabla11034534544554564793639[[#This Row],[Ingrediente]],Tabla34[#All],3,0)</f>
        <v>13.02</v>
      </c>
      <c r="H72" s="14">
        <f>+Tabla11034534544554564793639[[#This Row],[Costo]]*Tabla11034534544554564793639[[#This Row],[Unidades]]</f>
        <v>1302</v>
      </c>
      <c r="I72" s="4"/>
      <c r="J72" s="8" t="s">
        <v>15</v>
      </c>
      <c r="K72" s="355">
        <f>+K71/1.08*0.08</f>
        <v>3629.6296296296291</v>
      </c>
    </row>
    <row r="73" spans="2:13" x14ac:dyDescent="0.3">
      <c r="B73" s="354" t="s">
        <v>133</v>
      </c>
      <c r="C73" s="11" t="s">
        <v>67</v>
      </c>
      <c r="D73" s="12">
        <v>40</v>
      </c>
      <c r="E73" s="12">
        <v>0</v>
      </c>
      <c r="F73" s="12">
        <v>40</v>
      </c>
      <c r="G73" s="13">
        <f>+VLOOKUP(Tabla11034534544554564793639[[#This Row],[Ingrediente]],Tabla34[#All],3,0)</f>
        <v>18.115946780000002</v>
      </c>
      <c r="H73" s="14">
        <f>+Tabla11034534544554564793639[[#This Row],[Costo]]*Tabla11034534544554564793639[[#This Row],[Unidades]]</f>
        <v>724.63787120000006</v>
      </c>
      <c r="I73" s="27"/>
      <c r="J73" s="8" t="s">
        <v>16</v>
      </c>
      <c r="K73" s="355">
        <f>+K71-K72</f>
        <v>45370.370370370372</v>
      </c>
      <c r="M73" s="377" t="s">
        <v>1377</v>
      </c>
    </row>
    <row r="74" spans="2:13" x14ac:dyDescent="0.3">
      <c r="B74" s="354" t="s">
        <v>126</v>
      </c>
      <c r="C74" s="11" t="s">
        <v>67</v>
      </c>
      <c r="D74" s="12">
        <v>40</v>
      </c>
      <c r="E74" s="12">
        <v>0</v>
      </c>
      <c r="F74" s="12">
        <v>40</v>
      </c>
      <c r="G74" s="13">
        <f>+VLOOKUP(Tabla11034534544554564793639[[#This Row],[Ingrediente]],Tabla34[#All],3,0)</f>
        <v>22.061498180000001</v>
      </c>
      <c r="H74" s="14">
        <f>+Tabla11034534544554564793639[[#This Row],[Costo]]*Tabla11034534544554564793639[[#This Row],[Unidades]]</f>
        <v>882.45992720000004</v>
      </c>
      <c r="J74" s="8" t="s">
        <v>17</v>
      </c>
      <c r="K74" s="358">
        <f>+K70/K73</f>
        <v>0.32680942019051135</v>
      </c>
      <c r="M74" s="346" t="s">
        <v>1399</v>
      </c>
    </row>
    <row r="75" spans="2:13" x14ac:dyDescent="0.3">
      <c r="B75" s="354" t="s">
        <v>1194</v>
      </c>
      <c r="C75" s="11" t="s">
        <v>847</v>
      </c>
      <c r="D75" s="12">
        <v>1</v>
      </c>
      <c r="E75" s="12">
        <v>0</v>
      </c>
      <c r="F75" s="12">
        <v>1</v>
      </c>
      <c r="G75" s="13">
        <f>+VLOOKUP(Tabla11034534544554564793639[[#This Row],[Ingrediente]],Tabla34[#All],3,0)</f>
        <v>726.66666667000004</v>
      </c>
      <c r="H75" s="14">
        <f>+Tabla11034534544554564793639[[#This Row],[Costo]]*Tabla11034534544554564793639[[#This Row],[Unidades]]</f>
        <v>726.66666667000004</v>
      </c>
      <c r="I75" s="4"/>
      <c r="J75" s="8" t="s">
        <v>18</v>
      </c>
      <c r="K75" s="360">
        <f>+K73-K70</f>
        <v>30542.905935800874</v>
      </c>
      <c r="M75" s="346" t="s">
        <v>1400</v>
      </c>
    </row>
    <row r="76" spans="2:13" x14ac:dyDescent="0.3">
      <c r="B76" s="354" t="s">
        <v>143</v>
      </c>
      <c r="C76" s="11" t="s">
        <v>67</v>
      </c>
      <c r="D76" s="12">
        <v>30</v>
      </c>
      <c r="E76" s="12">
        <v>0</v>
      </c>
      <c r="F76" s="12">
        <v>30</v>
      </c>
      <c r="G76" s="13">
        <f>+VLOOKUP(Tabla11034534544554564793639[[#This Row],[Ingrediente]],Tabla34[#All],3,0)</f>
        <v>6.3326451500000003</v>
      </c>
      <c r="H76" s="14">
        <f>+Tabla11034534544554564793639[[#This Row],[Costo]]*Tabla11034534544554564793639[[#This Row],[Unidades]]</f>
        <v>189.9793545</v>
      </c>
      <c r="I76" s="4"/>
      <c r="J76" s="8" t="s">
        <v>19</v>
      </c>
      <c r="K76" s="361">
        <f>+K75/K70</f>
        <v>2.0598873172537582</v>
      </c>
      <c r="M76" s="346" t="s">
        <v>1401</v>
      </c>
    </row>
    <row r="77" spans="2:13" x14ac:dyDescent="0.3">
      <c r="B77" s="354" t="s">
        <v>64</v>
      </c>
      <c r="C77" s="11" t="s">
        <v>847</v>
      </c>
      <c r="D77" s="12">
        <v>1</v>
      </c>
      <c r="E77" s="12">
        <v>0</v>
      </c>
      <c r="F77" s="12">
        <v>1</v>
      </c>
      <c r="G77" s="13">
        <f>+VLOOKUP(Tabla11034534544554564793639[[#This Row],[Ingrediente]],Tabla34[#All],3,0)</f>
        <v>612.85</v>
      </c>
      <c r="H77" s="14">
        <f>+Tabla11034534544554564793639[[#This Row],[Costo]]*Tabla11034534544554564793639[[#This Row],[Unidades]]</f>
        <v>612.85</v>
      </c>
      <c r="I77" s="4"/>
      <c r="J77" s="4"/>
      <c r="K77" s="372"/>
      <c r="M77" s="346" t="s">
        <v>1402</v>
      </c>
    </row>
    <row r="78" spans="2:13" x14ac:dyDescent="0.3">
      <c r="B78" s="354" t="s">
        <v>835</v>
      </c>
      <c r="C78" s="11" t="s">
        <v>67</v>
      </c>
      <c r="D78" s="12">
        <v>29.999998600000001</v>
      </c>
      <c r="E78" s="12">
        <v>78</v>
      </c>
      <c r="F78" s="12">
        <v>136.36363</v>
      </c>
      <c r="G78" s="13">
        <f>+VLOOKUP(Tabla11034534544554564793639[[#This Row],[Ingrediente]],Tabla34[#All],3,0)</f>
        <v>4.5</v>
      </c>
      <c r="H78" s="14">
        <f>+Tabla11034534544554564793639[[#This Row],[Costo]]*Tabla11034534544554564793639[[#This Row],[Unidades]]</f>
        <v>613.63633500000003</v>
      </c>
      <c r="I78" s="4"/>
      <c r="J78" s="4"/>
      <c r="K78" s="372"/>
      <c r="M78" s="346" t="s">
        <v>1453</v>
      </c>
    </row>
    <row r="79" spans="2:13" x14ac:dyDescent="0.3">
      <c r="B79" s="354" t="s">
        <v>312</v>
      </c>
      <c r="C79" s="11" t="s">
        <v>67</v>
      </c>
      <c r="D79" s="12">
        <v>20</v>
      </c>
      <c r="E79" s="12">
        <v>0</v>
      </c>
      <c r="F79" s="12">
        <v>20</v>
      </c>
      <c r="G79" s="13">
        <f>+VLOOKUP(Tabla11034534544554564793639[[#This Row],[Ingrediente]],Tabla34[#All],3,0)</f>
        <v>4.2671999999999999</v>
      </c>
      <c r="H79" s="14">
        <f>+Tabla11034534544554564793639[[#This Row],[Costo]]*Tabla11034534544554564793639[[#This Row],[Unidades]]</f>
        <v>85.343999999999994</v>
      </c>
      <c r="I79" s="4"/>
      <c r="J79" s="4"/>
      <c r="K79" s="372"/>
    </row>
    <row r="80" spans="2:13" x14ac:dyDescent="0.3">
      <c r="B80" s="354" t="s">
        <v>840</v>
      </c>
      <c r="C80" s="11" t="s">
        <v>67</v>
      </c>
      <c r="D80" s="12">
        <v>1</v>
      </c>
      <c r="E80" s="12">
        <v>0</v>
      </c>
      <c r="F80" s="12">
        <v>1</v>
      </c>
      <c r="G80" s="13">
        <f>+VLOOKUP(Tabla11034534544554564793639[[#This Row],[Ingrediente]],Tabla34[#All],3,0)</f>
        <v>57.218061669999997</v>
      </c>
      <c r="H80" s="14">
        <f>+Tabla11034534544554564793639[[#This Row],[Costo]]*Tabla11034534544554564793639[[#This Row],[Unidades]]</f>
        <v>57.218061669999997</v>
      </c>
      <c r="I80" s="4"/>
      <c r="J80" s="4"/>
      <c r="K80" s="372"/>
    </row>
    <row r="81" spans="2:13" x14ac:dyDescent="0.3">
      <c r="B81" s="354" t="s">
        <v>730</v>
      </c>
      <c r="C81" s="11" t="s">
        <v>67</v>
      </c>
      <c r="D81" s="12">
        <v>3.9999999000000002</v>
      </c>
      <c r="E81" s="12">
        <v>40</v>
      </c>
      <c r="F81" s="12">
        <v>6.6666664999999998</v>
      </c>
      <c r="G81" s="13">
        <f>+VLOOKUP(Tabla11034534544554564793639[[#This Row],[Ingrediente]],Tabla34[#All],3,0)</f>
        <v>12</v>
      </c>
      <c r="H81" s="14">
        <f>+Tabla11034534544554564793639[[#This Row],[Costo]]*Tabla11034534544554564793639[[#This Row],[Unidades]]</f>
        <v>79.999998000000005</v>
      </c>
      <c r="I81" s="4"/>
      <c r="J81" s="4"/>
      <c r="K81" s="372"/>
    </row>
    <row r="82" spans="2:13" x14ac:dyDescent="0.3">
      <c r="B82" s="354" t="s">
        <v>838</v>
      </c>
      <c r="C82" s="11" t="s">
        <v>847</v>
      </c>
      <c r="D82" s="12">
        <v>0.5</v>
      </c>
      <c r="E82" s="12">
        <v>0</v>
      </c>
      <c r="F82" s="12">
        <v>0.5</v>
      </c>
      <c r="G82" s="13">
        <f>+VLOOKUP(Tabla11034534544554564793639[[#This Row],[Ingrediente]],Tabla34[#All],3,0)</f>
        <v>4196.75</v>
      </c>
      <c r="H82" s="14">
        <f>+Tabla11034534544554564793639[[#This Row],[Costo]]*Tabla11034534544554564793639[[#This Row],[Unidades]]</f>
        <v>2098.375</v>
      </c>
      <c r="I82" s="4"/>
      <c r="J82" s="4"/>
      <c r="K82" s="372"/>
    </row>
    <row r="83" spans="2:13" x14ac:dyDescent="0.3">
      <c r="B83" s="354" t="s">
        <v>89</v>
      </c>
      <c r="C83" s="11" t="s">
        <v>67</v>
      </c>
      <c r="D83" s="12">
        <v>2</v>
      </c>
      <c r="E83" s="12">
        <v>0</v>
      </c>
      <c r="F83" s="12">
        <v>2</v>
      </c>
      <c r="G83" s="13">
        <f>+VLOOKUP(Tabla11034534544554564793639[[#This Row],[Ingrediente]],Tabla34[#All],3,0)</f>
        <v>2.4009999999999998</v>
      </c>
      <c r="H83" s="14">
        <f>+Tabla11034534544554564793639[[#This Row],[Costo]]*Tabla11034534544554564793639[[#This Row],[Unidades]]</f>
        <v>4.8019999999999996</v>
      </c>
      <c r="I83" s="4"/>
      <c r="J83" s="4"/>
      <c r="K83" s="372"/>
    </row>
    <row r="84" spans="2:13" x14ac:dyDescent="0.3">
      <c r="B84" s="354" t="s">
        <v>127</v>
      </c>
      <c r="C84" s="11" t="s">
        <v>67</v>
      </c>
      <c r="D84" s="12">
        <v>15</v>
      </c>
      <c r="E84" s="12">
        <v>0</v>
      </c>
      <c r="F84" s="12">
        <v>15</v>
      </c>
      <c r="G84" s="13">
        <f>+VLOOKUP(Tabla11034534544554564793639[[#This Row],[Ingrediente]],Tabla34[#All],3,0)</f>
        <v>15.69091749</v>
      </c>
      <c r="H84" s="14">
        <f>+Tabla11034534544554564793639[[#This Row],[Costo]]*Tabla11034534544554564793639[[#This Row],[Unidades]]</f>
        <v>235.36376235</v>
      </c>
      <c r="I84" s="4"/>
      <c r="J84" s="27"/>
      <c r="K84" s="373"/>
    </row>
    <row r="85" spans="2:13" x14ac:dyDescent="0.3">
      <c r="B85" s="357"/>
      <c r="C85" s="17"/>
      <c r="D85" s="17"/>
      <c r="E85" s="17"/>
      <c r="F85" s="17"/>
      <c r="G85" s="18"/>
      <c r="H85" s="18">
        <f>SUBTOTAL(109,Tabla11034534544554564793639[Total costo])</f>
        <v>14121.394699589999</v>
      </c>
      <c r="I85" s="4"/>
      <c r="K85" s="362"/>
    </row>
    <row r="86" spans="2:13" x14ac:dyDescent="0.3">
      <c r="I86" s="4"/>
    </row>
    <row r="87" spans="2:13" ht="15" thickBot="1" x14ac:dyDescent="0.35">
      <c r="I87" s="4"/>
    </row>
    <row r="88" spans="2:13" ht="15.6" x14ac:dyDescent="0.3">
      <c r="B88" s="347" t="s">
        <v>46</v>
      </c>
      <c r="C88" s="366"/>
      <c r="D88" s="366"/>
      <c r="E88" s="367"/>
      <c r="F88" s="367"/>
      <c r="G88" s="367"/>
      <c r="H88" s="367"/>
      <c r="I88" s="365"/>
      <c r="J88" s="349"/>
      <c r="K88" s="375"/>
      <c r="M88" s="377" t="s">
        <v>1394</v>
      </c>
    </row>
    <row r="89" spans="2:13" ht="26.4" x14ac:dyDescent="0.3">
      <c r="B89" s="352" t="s">
        <v>1</v>
      </c>
      <c r="C89" s="17" t="s">
        <v>2</v>
      </c>
      <c r="D89" s="72" t="s">
        <v>892</v>
      </c>
      <c r="E89" s="72" t="s">
        <v>893</v>
      </c>
      <c r="F89" s="72" t="s">
        <v>894</v>
      </c>
      <c r="G89" s="73" t="s">
        <v>4</v>
      </c>
      <c r="H89" s="73" t="s">
        <v>5</v>
      </c>
      <c r="I89" s="4"/>
      <c r="K89" s="362"/>
      <c r="M89" s="346" t="s">
        <v>1403</v>
      </c>
    </row>
    <row r="90" spans="2:13" x14ac:dyDescent="0.3">
      <c r="B90" s="354" t="s">
        <v>837</v>
      </c>
      <c r="C90" s="11" t="s">
        <v>847</v>
      </c>
      <c r="D90" s="12">
        <v>8</v>
      </c>
      <c r="E90" s="12">
        <v>0</v>
      </c>
      <c r="F90" s="12">
        <v>8</v>
      </c>
      <c r="G90" s="13">
        <f>+VLOOKUP(Tabla11034534544554564793640[[#This Row],[Ingrediente]],Tabla34[#All],3,0)</f>
        <v>514.28</v>
      </c>
      <c r="H90" s="14">
        <f>+Tabla11034534544554564793640[[#This Row],[Costo]]*Tabla11034534544554564793640[[#This Row],[Unidades]]</f>
        <v>4114.24</v>
      </c>
      <c r="I90" s="4"/>
      <c r="J90" s="399" t="s">
        <v>0</v>
      </c>
      <c r="K90" s="402"/>
      <c r="M90" s="346" t="s">
        <v>1454</v>
      </c>
    </row>
    <row r="91" spans="2:13" x14ac:dyDescent="0.3">
      <c r="B91" s="354" t="s">
        <v>229</v>
      </c>
      <c r="C91" s="11" t="s">
        <v>67</v>
      </c>
      <c r="D91" s="12">
        <v>15</v>
      </c>
      <c r="E91" s="12">
        <v>0</v>
      </c>
      <c r="F91" s="12">
        <v>15</v>
      </c>
      <c r="G91" s="13">
        <f>+VLOOKUP(Tabla11034534544554564793640[[#This Row],[Ingrediente]],Tabla34[#All],3,0)</f>
        <v>24.714500000000001</v>
      </c>
      <c r="H91" s="14">
        <f>+Tabla11034534544554564793640[[#This Row],[Costo]]*Tabla11034534544554564793640[[#This Row],[Unidades]]</f>
        <v>370.71750000000003</v>
      </c>
      <c r="I91" s="4"/>
      <c r="J91" s="8" t="s">
        <v>6</v>
      </c>
      <c r="K91" s="353">
        <f>SUM(Tabla11034534544554564793640[Total costo])</f>
        <v>7522.9823772000009</v>
      </c>
    </row>
    <row r="92" spans="2:13" x14ac:dyDescent="0.3">
      <c r="B92" s="354" t="s">
        <v>1425</v>
      </c>
      <c r="C92" s="11" t="s">
        <v>847</v>
      </c>
      <c r="D92" s="12">
        <v>2</v>
      </c>
      <c r="E92" s="12">
        <v>0</v>
      </c>
      <c r="F92" s="12">
        <v>2</v>
      </c>
      <c r="G92" s="13">
        <f>+VLOOKUP(Tabla11034534544554564793640[[#This Row],[Ingrediente]],Tabla34[#All],3,0)</f>
        <v>500</v>
      </c>
      <c r="H92" s="14">
        <f>+Tabla11034534544554564793640[[#This Row],[Costo]]*Tabla11034534544554564793640[[#This Row],[Unidades]]</f>
        <v>1000</v>
      </c>
      <c r="I92" s="4"/>
      <c r="J92" s="8" t="s">
        <v>533</v>
      </c>
      <c r="K92" s="355">
        <f>+K91*5%</f>
        <v>376.14911886000004</v>
      </c>
      <c r="M92" s="377" t="s">
        <v>1377</v>
      </c>
    </row>
    <row r="93" spans="2:13" x14ac:dyDescent="0.3">
      <c r="B93" s="354" t="s">
        <v>835</v>
      </c>
      <c r="C93" s="11" t="s">
        <v>67</v>
      </c>
      <c r="D93" s="12">
        <v>59.999997200000003</v>
      </c>
      <c r="E93" s="12">
        <v>78</v>
      </c>
      <c r="F93" s="12">
        <v>272.72726</v>
      </c>
      <c r="G93" s="13">
        <f>+VLOOKUP(Tabla11034534544554564793640[[#This Row],[Ingrediente]],Tabla34[#All],3,0)</f>
        <v>4.5</v>
      </c>
      <c r="H93" s="14">
        <f>+Tabla11034534544554564793640[[#This Row],[Costo]]*Tabla11034534544554564793640[[#This Row],[Unidades]]</f>
        <v>1227.2726700000001</v>
      </c>
      <c r="I93" s="4"/>
      <c r="J93" s="8" t="s">
        <v>13</v>
      </c>
      <c r="K93" s="355">
        <f>+K91+K92</f>
        <v>7899.1314960600012</v>
      </c>
      <c r="M93" s="346" t="s">
        <v>1404</v>
      </c>
    </row>
    <row r="94" spans="2:13" x14ac:dyDescent="0.3">
      <c r="B94" s="354" t="s">
        <v>314</v>
      </c>
      <c r="C94" s="11" t="s">
        <v>67</v>
      </c>
      <c r="D94" s="12">
        <v>40</v>
      </c>
      <c r="E94" s="12">
        <v>0</v>
      </c>
      <c r="F94" s="12">
        <v>40</v>
      </c>
      <c r="G94" s="13">
        <f>+VLOOKUP(Tabla11034534544554564793640[[#This Row],[Ingrediente]],Tabla34[#All],3,0)</f>
        <v>7.9253330399999999</v>
      </c>
      <c r="H94" s="14">
        <f>+Tabla11034534544554564793640[[#This Row],[Costo]]*Tabla11034534544554564793640[[#This Row],[Unidades]]</f>
        <v>317.01332159999998</v>
      </c>
      <c r="I94" s="27"/>
      <c r="J94" s="20" t="s">
        <v>14</v>
      </c>
      <c r="K94" s="356">
        <v>35000</v>
      </c>
      <c r="M94" s="346" t="s">
        <v>1405</v>
      </c>
    </row>
    <row r="95" spans="2:13" x14ac:dyDescent="0.3">
      <c r="B95" s="354" t="s">
        <v>683</v>
      </c>
      <c r="C95" s="11" t="s">
        <v>67</v>
      </c>
      <c r="D95" s="12">
        <v>19.999999500000001</v>
      </c>
      <c r="E95" s="12">
        <v>25</v>
      </c>
      <c r="F95" s="12">
        <v>26.666665999999999</v>
      </c>
      <c r="G95" s="13">
        <f>+VLOOKUP(Tabla11034534544554564793640[[#This Row],[Ingrediente]],Tabla34[#All],3,0)</f>
        <v>8.5</v>
      </c>
      <c r="H95" s="14">
        <f>+Tabla11034534544554564793640[[#This Row],[Costo]]*Tabla11034534544554564793640[[#This Row],[Unidades]]</f>
        <v>226.666661</v>
      </c>
      <c r="J95" s="8" t="s">
        <v>15</v>
      </c>
      <c r="K95" s="355">
        <f>+K94/1.08*0.08</f>
        <v>2592.5925925925926</v>
      </c>
      <c r="M95" s="346" t="s">
        <v>1455</v>
      </c>
    </row>
    <row r="96" spans="2:13" x14ac:dyDescent="0.3">
      <c r="B96" s="371" t="s">
        <v>828</v>
      </c>
      <c r="C96" s="11" t="s">
        <v>67</v>
      </c>
      <c r="D96" s="12">
        <v>9.9999999099999997</v>
      </c>
      <c r="E96" s="12">
        <v>33</v>
      </c>
      <c r="F96" s="12">
        <v>14.925373</v>
      </c>
      <c r="G96" s="13">
        <f>+VLOOKUP(Tabla11034534544554564793640[[#This Row],[Ingrediente]],Tabla34[#All],3,0)</f>
        <v>9.8000000000000007</v>
      </c>
      <c r="H96" s="14">
        <f>+Tabla11034534544554564793640[[#This Row],[Costo]]*Tabla11034534544554564793640[[#This Row],[Unidades]]</f>
        <v>146.26865540000003</v>
      </c>
      <c r="I96" s="4"/>
      <c r="J96" s="8" t="s">
        <v>16</v>
      </c>
      <c r="K96" s="355">
        <f>+K94-K95</f>
        <v>32407.407407407409</v>
      </c>
    </row>
    <row r="97" spans="2:13" x14ac:dyDescent="0.3">
      <c r="B97" s="354" t="s">
        <v>677</v>
      </c>
      <c r="C97" s="11" t="s">
        <v>67</v>
      </c>
      <c r="D97" s="12">
        <v>19.999999599999999</v>
      </c>
      <c r="E97" s="12">
        <v>30</v>
      </c>
      <c r="F97" s="12">
        <v>28.571428000000001</v>
      </c>
      <c r="G97" s="13">
        <f>+VLOOKUP(Tabla11034534544554564793640[[#This Row],[Ingrediente]],Tabla34[#All],3,0)</f>
        <v>2.5</v>
      </c>
      <c r="H97" s="14">
        <f>+Tabla11034534544554564793640[[#This Row],[Costo]]*Tabla11034534544554564793640[[#This Row],[Unidades]]</f>
        <v>71.428570000000008</v>
      </c>
      <c r="I97" s="4"/>
      <c r="J97" s="8" t="s">
        <v>17</v>
      </c>
      <c r="K97" s="358">
        <f>+K93/K96</f>
        <v>0.24374462902128002</v>
      </c>
    </row>
    <row r="98" spans="2:13" x14ac:dyDescent="0.3">
      <c r="B98" s="354" t="s">
        <v>187</v>
      </c>
      <c r="C98" s="11" t="s">
        <v>67</v>
      </c>
      <c r="D98" s="12">
        <v>5</v>
      </c>
      <c r="E98" s="12">
        <v>20</v>
      </c>
      <c r="F98" s="12">
        <v>6.25</v>
      </c>
      <c r="G98" s="13">
        <f>+VLOOKUP(Tabla11034534544554564793640[[#This Row],[Ingrediente]],Tabla34[#All],3,0)</f>
        <v>4.7</v>
      </c>
      <c r="H98" s="14">
        <f>+Tabla11034534544554564793640[[#This Row],[Costo]]*Tabla11034534544554564793640[[#This Row],[Unidades]]</f>
        <v>29.375</v>
      </c>
      <c r="I98" s="4"/>
      <c r="J98" s="8" t="s">
        <v>18</v>
      </c>
      <c r="K98" s="360">
        <f>+K96-K93</f>
        <v>24508.275911347409</v>
      </c>
    </row>
    <row r="99" spans="2:13" x14ac:dyDescent="0.3">
      <c r="B99" s="354" t="s">
        <v>730</v>
      </c>
      <c r="C99" s="11" t="s">
        <v>67</v>
      </c>
      <c r="D99" s="12">
        <v>0.99999996000000002</v>
      </c>
      <c r="E99" s="12">
        <v>40</v>
      </c>
      <c r="F99" s="12">
        <v>1.6666666000000001</v>
      </c>
      <c r="G99" s="13">
        <f>+VLOOKUP(Tabla11034534544554564793640[[#This Row],[Ingrediente]],Tabla34[#All],3,0)</f>
        <v>12</v>
      </c>
      <c r="H99" s="14">
        <f>+Tabla11034534544554564793640[[#This Row],[Costo]]*Tabla11034534544554564793640[[#This Row],[Unidades]]</f>
        <v>19.999999200000001</v>
      </c>
      <c r="I99" s="4"/>
      <c r="J99" s="8" t="s">
        <v>19</v>
      </c>
      <c r="K99" s="361">
        <f>+K98/K93</f>
        <v>3.1026545036719373</v>
      </c>
    </row>
    <row r="100" spans="2:13" x14ac:dyDescent="0.3">
      <c r="B100" s="357"/>
      <c r="C100" s="17"/>
      <c r="D100" s="17"/>
      <c r="E100" s="17"/>
      <c r="F100" s="17"/>
      <c r="G100" s="18"/>
      <c r="H100" s="18">
        <f>SUBTOTAL(109,Tabla11034534544554564793640[Total costo])</f>
        <v>7522.9823772000009</v>
      </c>
      <c r="I100" s="4"/>
      <c r="J100" s="4"/>
      <c r="K100" s="369"/>
    </row>
    <row r="101" spans="2:13" x14ac:dyDescent="0.3">
      <c r="B101" s="359"/>
      <c r="G101" s="4"/>
      <c r="H101" s="4"/>
      <c r="I101" s="4"/>
      <c r="J101" s="4"/>
      <c r="K101" s="369"/>
    </row>
    <row r="102" spans="2:13" ht="15" thickBot="1" x14ac:dyDescent="0.35">
      <c r="B102" s="346"/>
      <c r="G102" s="4"/>
      <c r="J102" s="4"/>
      <c r="K102" s="26"/>
    </row>
    <row r="103" spans="2:13" ht="15.6" x14ac:dyDescent="0.3">
      <c r="B103" s="347" t="s">
        <v>870</v>
      </c>
      <c r="C103" s="366"/>
      <c r="D103" s="366"/>
      <c r="E103" s="367"/>
      <c r="F103" s="367"/>
      <c r="G103" s="367"/>
      <c r="H103" s="367"/>
      <c r="I103" s="365"/>
      <c r="J103" s="78" t="s">
        <v>0</v>
      </c>
      <c r="K103" s="376"/>
      <c r="M103" s="377" t="s">
        <v>1394</v>
      </c>
    </row>
    <row r="104" spans="2:13" ht="26.4" x14ac:dyDescent="0.3">
      <c r="B104" s="352" t="s">
        <v>1</v>
      </c>
      <c r="C104" s="17" t="s">
        <v>2</v>
      </c>
      <c r="D104" s="72" t="s">
        <v>892</v>
      </c>
      <c r="E104" s="72" t="s">
        <v>893</v>
      </c>
      <c r="F104" s="72" t="s">
        <v>894</v>
      </c>
      <c r="G104" s="73" t="s">
        <v>4</v>
      </c>
      <c r="H104" s="73" t="s">
        <v>5</v>
      </c>
      <c r="I104" s="4"/>
      <c r="J104" s="8" t="s">
        <v>6</v>
      </c>
      <c r="K104" s="353">
        <f>SUM(Tabla11034534544554564793643[Total costo])</f>
        <v>4354.4651037000003</v>
      </c>
      <c r="M104" s="346" t="s">
        <v>1456</v>
      </c>
    </row>
    <row r="105" spans="2:13" x14ac:dyDescent="0.3">
      <c r="B105" s="354" t="s">
        <v>833</v>
      </c>
      <c r="C105" s="11" t="s">
        <v>67</v>
      </c>
      <c r="D105" s="12">
        <v>3</v>
      </c>
      <c r="E105" s="12">
        <v>0</v>
      </c>
      <c r="F105" s="12">
        <v>3</v>
      </c>
      <c r="G105" s="13">
        <f>+VLOOKUP(Tabla11034534544554564793643[[#This Row],[Ingrediente]],Tabla34[#All],3,0)</f>
        <v>307.5</v>
      </c>
      <c r="H105" s="14">
        <f>+Tabla11034534544554564793643[[#This Row],[Costo]]*Tabla11034534544554564793643[[#This Row],[Unidades]]</f>
        <v>922.5</v>
      </c>
      <c r="I105" s="4"/>
      <c r="J105" s="8" t="s">
        <v>533</v>
      </c>
      <c r="K105" s="355">
        <f>+K104*5%</f>
        <v>217.72325518500003</v>
      </c>
      <c r="M105" s="346" t="s">
        <v>1457</v>
      </c>
    </row>
    <row r="106" spans="2:13" x14ac:dyDescent="0.3">
      <c r="B106" s="354" t="s">
        <v>321</v>
      </c>
      <c r="C106" s="11" t="s">
        <v>67</v>
      </c>
      <c r="D106" s="12">
        <v>3</v>
      </c>
      <c r="E106" s="12">
        <v>0</v>
      </c>
      <c r="F106" s="12">
        <v>3</v>
      </c>
      <c r="G106" s="13">
        <f>+VLOOKUP(Tabla11034534544554564793643[[#This Row],[Ingrediente]],Tabla34[#All],3,0)</f>
        <v>12</v>
      </c>
      <c r="H106" s="14">
        <f>+Tabla11034534544554564793643[[#This Row],[Costo]]*Tabla11034534544554564793643[[#This Row],[Unidades]]</f>
        <v>36</v>
      </c>
      <c r="I106" s="4"/>
      <c r="J106" s="8" t="s">
        <v>13</v>
      </c>
      <c r="K106" s="355">
        <f>+K104+K105</f>
        <v>4572.1883588850005</v>
      </c>
      <c r="M106" s="346" t="s">
        <v>1458</v>
      </c>
    </row>
    <row r="107" spans="2:13" x14ac:dyDescent="0.3">
      <c r="B107" s="354" t="s">
        <v>827</v>
      </c>
      <c r="C107" s="11" t="s">
        <v>67</v>
      </c>
      <c r="D107" s="12">
        <v>1</v>
      </c>
      <c r="E107" s="12">
        <v>0</v>
      </c>
      <c r="F107" s="12">
        <v>1</v>
      </c>
      <c r="G107" s="13">
        <f>+VLOOKUP(Tabla11034534544554564793643[[#This Row],[Ingrediente]],Tabla34[#All],3,0)</f>
        <v>511</v>
      </c>
      <c r="H107" s="14">
        <f>+Tabla11034534544554564793643[[#This Row],[Costo]]*Tabla11034534544554564793643[[#This Row],[Unidades]]</f>
        <v>511</v>
      </c>
      <c r="I107" s="4"/>
      <c r="J107" s="20" t="s">
        <v>14</v>
      </c>
      <c r="K107" s="356">
        <v>35000</v>
      </c>
    </row>
    <row r="108" spans="2:13" x14ac:dyDescent="0.3">
      <c r="B108" s="354" t="s">
        <v>118</v>
      </c>
      <c r="C108" s="11" t="s">
        <v>67</v>
      </c>
      <c r="D108" s="12">
        <v>20</v>
      </c>
      <c r="E108" s="12">
        <v>0</v>
      </c>
      <c r="F108" s="12">
        <v>20</v>
      </c>
      <c r="G108" s="13">
        <f>+VLOOKUP(Tabla11034534544554564793643[[#This Row],[Ingrediente]],Tabla34[#All],3,0)</f>
        <v>30.25466445</v>
      </c>
      <c r="H108" s="14">
        <f>+Tabla11034534544554564793643[[#This Row],[Costo]]*Tabla11034534544554564793643[[#This Row],[Unidades]]</f>
        <v>605.09328900000003</v>
      </c>
      <c r="I108" s="27"/>
      <c r="J108" s="8" t="s">
        <v>15</v>
      </c>
      <c r="K108" s="355">
        <f>+K107/1.08*0.08</f>
        <v>2592.5925925925926</v>
      </c>
      <c r="M108" s="377" t="s">
        <v>1377</v>
      </c>
    </row>
    <row r="109" spans="2:13" x14ac:dyDescent="0.3">
      <c r="B109" s="354" t="s">
        <v>165</v>
      </c>
      <c r="C109" s="11" t="s">
        <v>847</v>
      </c>
      <c r="D109" s="12">
        <v>5</v>
      </c>
      <c r="E109" s="12">
        <v>0</v>
      </c>
      <c r="F109" s="12">
        <v>5</v>
      </c>
      <c r="G109" s="13">
        <f>+VLOOKUP(Tabla11034534544554564793643[[#This Row],[Ingrediente]],Tabla34[#All],3,0)</f>
        <v>455.97436293999999</v>
      </c>
      <c r="H109" s="14">
        <f>+Tabla11034534544554564793643[[#This Row],[Costo]]*Tabla11034534544554564793643[[#This Row],[Unidades]]</f>
        <v>2279.8718147</v>
      </c>
      <c r="J109" s="8" t="s">
        <v>16</v>
      </c>
      <c r="K109" s="355">
        <f>+K107-K108</f>
        <v>32407.407407407409</v>
      </c>
      <c r="M109" s="346" t="s">
        <v>1459</v>
      </c>
    </row>
    <row r="110" spans="2:13" x14ac:dyDescent="0.3">
      <c r="B110" s="357"/>
      <c r="C110" s="17"/>
      <c r="D110" s="17"/>
      <c r="E110" s="17"/>
      <c r="F110" s="17"/>
      <c r="G110" s="18"/>
      <c r="H110" s="18">
        <f>SUBTOTAL(109,Tabla11034534544554564793643[Total costo])</f>
        <v>4354.4651037000003</v>
      </c>
      <c r="I110" s="4"/>
      <c r="J110" s="8" t="s">
        <v>17</v>
      </c>
      <c r="K110" s="358">
        <f>+K106/K109</f>
        <v>0.14108466935988001</v>
      </c>
      <c r="M110" s="346" t="s">
        <v>1460</v>
      </c>
    </row>
    <row r="111" spans="2:13" x14ac:dyDescent="0.3">
      <c r="B111" s="359"/>
      <c r="I111" s="4"/>
      <c r="J111" s="8" t="s">
        <v>18</v>
      </c>
      <c r="K111" s="360">
        <f>+K109-K106</f>
        <v>27835.219048522409</v>
      </c>
    </row>
    <row r="112" spans="2:13" x14ac:dyDescent="0.3">
      <c r="B112" s="377"/>
      <c r="I112" s="4"/>
      <c r="J112" s="8" t="s">
        <v>19</v>
      </c>
      <c r="K112" s="361">
        <f>+K111/K106</f>
        <v>6.0879423295042159</v>
      </c>
    </row>
    <row r="113" spans="2:13" x14ac:dyDescent="0.3">
      <c r="B113" s="346"/>
      <c r="G113" s="4"/>
      <c r="H113" s="4"/>
      <c r="I113" s="36"/>
    </row>
    <row r="114" spans="2:13" ht="15" thickBot="1" x14ac:dyDescent="0.35">
      <c r="B114" s="385"/>
      <c r="C114" s="345"/>
      <c r="D114" s="345"/>
      <c r="E114" s="345"/>
      <c r="F114" s="345"/>
      <c r="G114" s="386"/>
      <c r="H114" s="387"/>
      <c r="I114" s="387"/>
      <c r="J114" s="345"/>
      <c r="K114" s="388"/>
    </row>
    <row r="115" spans="2:13" ht="15.6" x14ac:dyDescent="0.3">
      <c r="B115" s="347" t="s">
        <v>881</v>
      </c>
      <c r="C115" s="366"/>
      <c r="D115" s="366"/>
      <c r="E115" s="367"/>
      <c r="F115" s="367"/>
      <c r="G115" s="367"/>
      <c r="H115" s="367"/>
      <c r="I115" s="365"/>
      <c r="J115" s="78" t="s">
        <v>0</v>
      </c>
      <c r="K115" s="376"/>
      <c r="M115" s="377" t="s">
        <v>1394</v>
      </c>
    </row>
    <row r="116" spans="2:13" ht="26.4" x14ac:dyDescent="0.3">
      <c r="B116" s="352" t="s">
        <v>1</v>
      </c>
      <c r="C116" s="17" t="s">
        <v>2</v>
      </c>
      <c r="D116" s="72" t="s">
        <v>892</v>
      </c>
      <c r="E116" s="72" t="s">
        <v>893</v>
      </c>
      <c r="F116" s="72" t="s">
        <v>894</v>
      </c>
      <c r="G116" s="73" t="s">
        <v>4</v>
      </c>
      <c r="H116" s="73" t="s">
        <v>5</v>
      </c>
      <c r="I116" s="4"/>
      <c r="J116" s="8" t="s">
        <v>6</v>
      </c>
      <c r="K116" s="353">
        <f>SUM(Tabla11034534544554564793644[Total costo])</f>
        <v>3257.7792743749997</v>
      </c>
      <c r="M116" s="346" t="s">
        <v>1406</v>
      </c>
    </row>
    <row r="117" spans="2:13" x14ac:dyDescent="0.3">
      <c r="B117" s="354" t="s">
        <v>620</v>
      </c>
      <c r="C117" s="11" t="s">
        <v>67</v>
      </c>
      <c r="D117" s="12">
        <v>29.9999988</v>
      </c>
      <c r="E117" s="12">
        <v>10</v>
      </c>
      <c r="F117" s="12">
        <v>33.333331999999999</v>
      </c>
      <c r="G117" s="13">
        <f>+VLOOKUP(Tabla11034534544554564793644[[#This Row],[Ingrediente]],Tabla34[#All],3,0)</f>
        <v>39</v>
      </c>
      <c r="H117" s="14">
        <f>+Tabla11034534544554564793644[[#This Row],[Costo]]*Tabla11034534544554564793644[[#This Row],[Unidades]]</f>
        <v>1299.9999479999999</v>
      </c>
      <c r="I117" s="4"/>
      <c r="J117" s="8" t="s">
        <v>533</v>
      </c>
      <c r="K117" s="355">
        <f>+K116*5%</f>
        <v>162.88896371875001</v>
      </c>
      <c r="M117" s="346" t="s">
        <v>1407</v>
      </c>
    </row>
    <row r="118" spans="2:13" x14ac:dyDescent="0.3">
      <c r="B118" s="354" t="s">
        <v>596</v>
      </c>
      <c r="C118" s="11" t="s">
        <v>847</v>
      </c>
      <c r="D118" s="12">
        <v>1</v>
      </c>
      <c r="E118" s="12">
        <v>0</v>
      </c>
      <c r="F118" s="12">
        <v>1</v>
      </c>
      <c r="G118" s="13">
        <f>+VLOOKUP(Tabla11034534544554564793644[[#This Row],[Ingrediente]],Tabla34[#All],3,0)</f>
        <v>750</v>
      </c>
      <c r="H118" s="14">
        <f>+Tabla11034534544554564793644[[#This Row],[Costo]]*Tabla11034534544554564793644[[#This Row],[Unidades]]</f>
        <v>750</v>
      </c>
      <c r="I118" s="4"/>
      <c r="J118" s="8" t="s">
        <v>13</v>
      </c>
      <c r="K118" s="355">
        <f>+K116+K117</f>
        <v>3420.6682380937496</v>
      </c>
    </row>
    <row r="119" spans="2:13" x14ac:dyDescent="0.3">
      <c r="B119" s="354" t="s">
        <v>57</v>
      </c>
      <c r="C119" s="11" t="s">
        <v>67</v>
      </c>
      <c r="D119" s="12">
        <v>10</v>
      </c>
      <c r="E119" s="12">
        <v>0</v>
      </c>
      <c r="F119" s="12">
        <v>10</v>
      </c>
      <c r="G119" s="13">
        <f>+VLOOKUP(Tabla11034534544554564793644[[#This Row],[Ingrediente]],Tabla34[#All],3,0)</f>
        <v>18.782608700000001</v>
      </c>
      <c r="H119" s="14">
        <f>+Tabla11034534544554564793644[[#This Row],[Costo]]*Tabla11034534544554564793644[[#This Row],[Unidades]]</f>
        <v>187.826087</v>
      </c>
      <c r="I119" s="4"/>
      <c r="J119" s="20" t="s">
        <v>14</v>
      </c>
      <c r="K119" s="356"/>
      <c r="M119" s="377" t="s">
        <v>1377</v>
      </c>
    </row>
    <row r="120" spans="2:13" x14ac:dyDescent="0.3">
      <c r="B120" s="354" t="s">
        <v>36</v>
      </c>
      <c r="C120" s="11" t="s">
        <v>67</v>
      </c>
      <c r="D120" s="12">
        <v>10</v>
      </c>
      <c r="E120" s="12">
        <v>0</v>
      </c>
      <c r="F120" s="12">
        <v>10</v>
      </c>
      <c r="G120" s="13">
        <f>+VLOOKUP(Tabla11034534544554564793644[[#This Row],[Ingrediente]],Tabla34[#All],3,0)</f>
        <v>11.13732628</v>
      </c>
      <c r="H120" s="14">
        <f>+Tabla11034534544554564793644[[#This Row],[Costo]]*Tabla11034534544554564793644[[#This Row],[Unidades]]</f>
        <v>111.37326279999999</v>
      </c>
      <c r="I120" s="4"/>
      <c r="J120" s="8" t="s">
        <v>15</v>
      </c>
      <c r="K120" s="355">
        <f>+K119/1.08*0.08</f>
        <v>0</v>
      </c>
      <c r="M120" s="346" t="s">
        <v>1408</v>
      </c>
    </row>
    <row r="121" spans="2:13" x14ac:dyDescent="0.3">
      <c r="B121" s="354" t="s">
        <v>214</v>
      </c>
      <c r="C121" s="11" t="s">
        <v>67</v>
      </c>
      <c r="D121" s="12">
        <v>10</v>
      </c>
      <c r="E121" s="12">
        <v>0</v>
      </c>
      <c r="F121" s="12">
        <v>10</v>
      </c>
      <c r="G121" s="13">
        <f>+VLOOKUP(Tabla11034534544554564793644[[#This Row],[Ingrediente]],Tabla34[#All],3,0)</f>
        <v>13.02</v>
      </c>
      <c r="H121" s="14">
        <f>+Tabla11034534544554564793644[[#This Row],[Costo]]*Tabla11034534544554564793644[[#This Row],[Unidades]]</f>
        <v>130.19999999999999</v>
      </c>
      <c r="I121" s="27"/>
      <c r="J121" s="8" t="s">
        <v>16</v>
      </c>
      <c r="K121" s="355">
        <f>+K119-K120</f>
        <v>0</v>
      </c>
      <c r="M121" s="346" t="s">
        <v>1409</v>
      </c>
    </row>
    <row r="122" spans="2:13" x14ac:dyDescent="0.3">
      <c r="B122" s="371" t="s">
        <v>50</v>
      </c>
      <c r="C122" s="11" t="s">
        <v>67</v>
      </c>
      <c r="D122" s="12">
        <v>7.5</v>
      </c>
      <c r="E122" s="12">
        <v>0</v>
      </c>
      <c r="F122" s="12">
        <v>7.5</v>
      </c>
      <c r="G122" s="13">
        <f>+VLOOKUP(Tabla11034534544554564793644[[#This Row],[Ingrediente]],Tabla34[#All],3,0)</f>
        <v>15.28420193</v>
      </c>
      <c r="H122" s="14">
        <f>+Tabla11034534544554564793644[[#This Row],[Costo]]*Tabla11034534544554564793644[[#This Row],[Unidades]]</f>
        <v>114.631514475</v>
      </c>
      <c r="J122" s="8" t="s">
        <v>17</v>
      </c>
      <c r="K122" s="358" t="e">
        <f>+K118/K121</f>
        <v>#DIV/0!</v>
      </c>
      <c r="M122" s="346" t="s">
        <v>1461</v>
      </c>
    </row>
    <row r="123" spans="2:13" x14ac:dyDescent="0.3">
      <c r="B123" s="354" t="s">
        <v>126</v>
      </c>
      <c r="C123" s="11" t="s">
        <v>67</v>
      </c>
      <c r="D123" s="12">
        <v>7.5</v>
      </c>
      <c r="E123" s="12">
        <v>0</v>
      </c>
      <c r="F123" s="12">
        <v>7.5</v>
      </c>
      <c r="G123" s="13">
        <f>+VLOOKUP(Tabla11034534544554564793644[[#This Row],[Ingrediente]],Tabla34[#All],3,0)</f>
        <v>22.061498180000001</v>
      </c>
      <c r="H123" s="14">
        <f>+Tabla11034534544554564793644[[#This Row],[Costo]]*Tabla11034534544554564793644[[#This Row],[Unidades]]</f>
        <v>165.46123635000001</v>
      </c>
      <c r="I123" s="4"/>
      <c r="J123" s="8" t="s">
        <v>18</v>
      </c>
      <c r="K123" s="360">
        <f>+K121-K118</f>
        <v>-3420.6682380937496</v>
      </c>
    </row>
    <row r="124" spans="2:13" x14ac:dyDescent="0.3">
      <c r="B124" s="354" t="s">
        <v>833</v>
      </c>
      <c r="C124" s="11" t="s">
        <v>67</v>
      </c>
      <c r="D124" s="12">
        <v>1</v>
      </c>
      <c r="E124" s="12">
        <v>0</v>
      </c>
      <c r="F124" s="12">
        <v>1</v>
      </c>
      <c r="G124" s="13">
        <f>+VLOOKUP(Tabla11034534544554564793644[[#This Row],[Ingrediente]],Tabla34[#All],3,0)</f>
        <v>307.5</v>
      </c>
      <c r="H124" s="14">
        <f>+Tabla11034534544554564793644[[#This Row],[Costo]]*Tabla11034534544554564793644[[#This Row],[Unidades]]</f>
        <v>307.5</v>
      </c>
      <c r="I124" s="4"/>
      <c r="J124" s="8" t="s">
        <v>19</v>
      </c>
      <c r="K124" s="361">
        <f>+K123/K118</f>
        <v>-1</v>
      </c>
    </row>
    <row r="125" spans="2:13" x14ac:dyDescent="0.3">
      <c r="B125" s="354" t="s">
        <v>143</v>
      </c>
      <c r="C125" s="11" t="s">
        <v>67</v>
      </c>
      <c r="D125" s="12">
        <v>5</v>
      </c>
      <c r="E125" s="12">
        <v>0</v>
      </c>
      <c r="F125" s="12">
        <v>5</v>
      </c>
      <c r="G125" s="13">
        <f>+VLOOKUP(Tabla11034534544554564793644[[#This Row],[Ingrediente]],Tabla34[#All],3,0)</f>
        <v>6.3326451500000003</v>
      </c>
      <c r="H125" s="14">
        <f>+Tabla11034534544554564793644[[#This Row],[Costo]]*Tabla11034534544554564793644[[#This Row],[Unidades]]</f>
        <v>31.663225750000002</v>
      </c>
      <c r="I125" s="4"/>
      <c r="J125" s="4"/>
      <c r="K125" s="369"/>
    </row>
    <row r="126" spans="2:13" x14ac:dyDescent="0.3">
      <c r="B126" s="354" t="s">
        <v>1091</v>
      </c>
      <c r="C126" s="11" t="s">
        <v>67</v>
      </c>
      <c r="D126" s="12">
        <v>1</v>
      </c>
      <c r="E126" s="12">
        <v>0</v>
      </c>
      <c r="F126" s="12">
        <v>1</v>
      </c>
      <c r="G126" s="13">
        <f>+VLOOKUP(Tabla11034534544554564793644[[#This Row],[Ingrediente]],Tabla34[#All],3,0)</f>
        <v>73.78</v>
      </c>
      <c r="H126" s="14">
        <f>+Tabla11034534544554564793644[[#This Row],[Costo]]*Tabla11034534544554564793644[[#This Row],[Unidades]]</f>
        <v>73.78</v>
      </c>
      <c r="I126" s="4"/>
      <c r="J126" s="4"/>
      <c r="K126" s="369"/>
    </row>
    <row r="127" spans="2:13" x14ac:dyDescent="0.3">
      <c r="B127" s="354" t="s">
        <v>312</v>
      </c>
      <c r="C127" s="11" t="s">
        <v>67</v>
      </c>
      <c r="D127" s="12">
        <v>20</v>
      </c>
      <c r="E127" s="12">
        <v>0</v>
      </c>
      <c r="F127" s="12">
        <v>20</v>
      </c>
      <c r="G127" s="13">
        <f>+VLOOKUP(Tabla11034534544554564793644[[#This Row],[Ingrediente]],Tabla34[#All],3,0)</f>
        <v>4.2671999999999999</v>
      </c>
      <c r="H127" s="14">
        <f>+Tabla11034534544554564793644[[#This Row],[Costo]]*Tabla11034534544554564793644[[#This Row],[Unidades]]</f>
        <v>85.343999999999994</v>
      </c>
      <c r="I127" s="4"/>
      <c r="J127" s="27"/>
      <c r="K127" s="373"/>
    </row>
    <row r="128" spans="2:13" x14ac:dyDescent="0.3">
      <c r="B128" s="357"/>
      <c r="C128" s="17"/>
      <c r="D128" s="17"/>
      <c r="E128" s="17"/>
      <c r="F128" s="17"/>
      <c r="G128" s="18"/>
      <c r="H128" s="18">
        <f>SUBTOTAL(109,Tabla11034534544554564793644[Total costo])</f>
        <v>3257.7792743749997</v>
      </c>
      <c r="I128" s="4"/>
      <c r="K128" s="362"/>
    </row>
    <row r="129" spans="2:13" x14ac:dyDescent="0.3">
      <c r="B129" s="359"/>
      <c r="G129" s="4"/>
      <c r="K129" s="362"/>
    </row>
    <row r="130" spans="2:13" ht="15" thickBot="1" x14ac:dyDescent="0.35">
      <c r="B130" s="374"/>
      <c r="G130" s="4"/>
      <c r="K130" s="362"/>
    </row>
    <row r="131" spans="2:13" ht="15.6" x14ac:dyDescent="0.3">
      <c r="B131" s="347" t="s">
        <v>882</v>
      </c>
      <c r="C131" s="366"/>
      <c r="D131" s="366"/>
      <c r="E131" s="367"/>
      <c r="F131" s="367"/>
      <c r="G131" s="367"/>
      <c r="H131" s="367"/>
      <c r="I131" s="378"/>
      <c r="J131" s="78" t="s">
        <v>0</v>
      </c>
      <c r="K131" s="376"/>
      <c r="M131" s="377" t="s">
        <v>1394</v>
      </c>
    </row>
    <row r="132" spans="2:13" ht="26.4" x14ac:dyDescent="0.3">
      <c r="B132" s="352" t="s">
        <v>1</v>
      </c>
      <c r="C132" s="17" t="s">
        <v>2</v>
      </c>
      <c r="D132" s="72" t="s">
        <v>892</v>
      </c>
      <c r="E132" s="72" t="s">
        <v>893</v>
      </c>
      <c r="F132" s="72" t="s">
        <v>894</v>
      </c>
      <c r="G132" s="73" t="s">
        <v>4</v>
      </c>
      <c r="H132" s="73" t="s">
        <v>5</v>
      </c>
      <c r="J132" s="8" t="s">
        <v>6</v>
      </c>
      <c r="K132" s="353">
        <f>SUM(Tabla1103453454455456479364418[Total costo])</f>
        <v>3457.9473263750001</v>
      </c>
      <c r="M132" s="346" t="s">
        <v>1410</v>
      </c>
    </row>
    <row r="133" spans="2:13" x14ac:dyDescent="0.3">
      <c r="B133" s="354" t="s">
        <v>837</v>
      </c>
      <c r="C133" s="11" t="s">
        <v>847</v>
      </c>
      <c r="D133" s="12">
        <v>3</v>
      </c>
      <c r="E133" s="12">
        <v>0</v>
      </c>
      <c r="F133" s="12">
        <v>3</v>
      </c>
      <c r="G133" s="13">
        <f>+VLOOKUP(Tabla1103453454455456479364418[[#This Row],[Ingrediente]],Tabla34[#All],3,0)</f>
        <v>514.28</v>
      </c>
      <c r="H133" s="14">
        <f>+Tabla1103453454455456479364418[[#This Row],[Costo]]*Tabla1103453454455456479364418[[#This Row],[Unidades]]</f>
        <v>1542.84</v>
      </c>
      <c r="I133" s="4"/>
      <c r="J133" s="8" t="s">
        <v>533</v>
      </c>
      <c r="K133" s="355">
        <f>+K132*5%</f>
        <v>172.89736631875002</v>
      </c>
    </row>
    <row r="134" spans="2:13" x14ac:dyDescent="0.3">
      <c r="B134" s="354" t="s">
        <v>596</v>
      </c>
      <c r="C134" s="11" t="s">
        <v>847</v>
      </c>
      <c r="D134" s="12">
        <v>1</v>
      </c>
      <c r="E134" s="12">
        <v>0</v>
      </c>
      <c r="F134" s="12">
        <v>1</v>
      </c>
      <c r="G134" s="13">
        <f>+VLOOKUP(Tabla1103453454455456479364418[[#This Row],[Ingrediente]],Tabla34[#All],3,0)</f>
        <v>750</v>
      </c>
      <c r="H134" s="14">
        <f>+Tabla1103453454455456479364418[[#This Row],[Costo]]*Tabla1103453454455456479364418[[#This Row],[Unidades]]</f>
        <v>750</v>
      </c>
      <c r="I134" s="4"/>
      <c r="J134" s="8" t="s">
        <v>13</v>
      </c>
      <c r="K134" s="355">
        <f>+K132+K133</f>
        <v>3630.8446926937499</v>
      </c>
      <c r="M134" s="377" t="s">
        <v>1377</v>
      </c>
    </row>
    <row r="135" spans="2:13" x14ac:dyDescent="0.3">
      <c r="B135" s="354" t="s">
        <v>833</v>
      </c>
      <c r="C135" s="11" t="s">
        <v>67</v>
      </c>
      <c r="D135" s="12">
        <v>1</v>
      </c>
      <c r="E135" s="12">
        <v>0</v>
      </c>
      <c r="F135" s="12">
        <v>1</v>
      </c>
      <c r="G135" s="13">
        <f>+VLOOKUP(Tabla1103453454455456479364418[[#This Row],[Ingrediente]],Tabla34[#All],3,0)</f>
        <v>307.5</v>
      </c>
      <c r="H135" s="14">
        <f>+Tabla1103453454455456479364418[[#This Row],[Costo]]*Tabla1103453454455456479364418[[#This Row],[Unidades]]</f>
        <v>307.5</v>
      </c>
      <c r="J135" s="20" t="s">
        <v>14</v>
      </c>
      <c r="K135" s="356"/>
      <c r="M135" s="346" t="s">
        <v>1411</v>
      </c>
    </row>
    <row r="136" spans="2:13" x14ac:dyDescent="0.3">
      <c r="B136" s="354" t="s">
        <v>36</v>
      </c>
      <c r="C136" s="11" t="s">
        <v>67</v>
      </c>
      <c r="D136" s="12">
        <v>10</v>
      </c>
      <c r="E136" s="12">
        <v>0</v>
      </c>
      <c r="F136" s="12">
        <v>10</v>
      </c>
      <c r="G136" s="13">
        <f>+VLOOKUP(Tabla1103453454455456479364418[[#This Row],[Ingrediente]],Tabla34[#All],3,0)</f>
        <v>11.13732628</v>
      </c>
      <c r="H136" s="14">
        <f>+Tabla1103453454455456479364418[[#This Row],[Costo]]*Tabla1103453454455456479364418[[#This Row],[Unidades]]</f>
        <v>111.37326279999999</v>
      </c>
      <c r="J136" s="8" t="s">
        <v>15</v>
      </c>
      <c r="K136" s="355">
        <f>+K135/1.08*0.08</f>
        <v>0</v>
      </c>
    </row>
    <row r="137" spans="2:13" x14ac:dyDescent="0.3">
      <c r="B137" s="354" t="s">
        <v>57</v>
      </c>
      <c r="C137" s="11" t="s">
        <v>67</v>
      </c>
      <c r="D137" s="12">
        <v>10</v>
      </c>
      <c r="E137" s="12">
        <v>0</v>
      </c>
      <c r="F137" s="12">
        <v>10</v>
      </c>
      <c r="G137" s="13">
        <f>+VLOOKUP(Tabla1103453454455456479364418[[#This Row],[Ingrediente]],Tabla34[#All],3,0)</f>
        <v>18.782608700000001</v>
      </c>
      <c r="H137" s="14">
        <f>+Tabla1103453454455456479364418[[#This Row],[Costo]]*Tabla1103453454455456479364418[[#This Row],[Unidades]]</f>
        <v>187.826087</v>
      </c>
      <c r="J137" s="8" t="s">
        <v>16</v>
      </c>
      <c r="K137" s="355">
        <f>+K135-K136</f>
        <v>0</v>
      </c>
    </row>
    <row r="138" spans="2:13" x14ac:dyDescent="0.3">
      <c r="B138" s="354" t="s">
        <v>126</v>
      </c>
      <c r="C138" s="11" t="s">
        <v>67</v>
      </c>
      <c r="D138" s="12">
        <v>7.5</v>
      </c>
      <c r="E138" s="12">
        <v>0</v>
      </c>
      <c r="F138" s="12">
        <v>7.5</v>
      </c>
      <c r="G138" s="13">
        <f>+VLOOKUP(Tabla1103453454455456479364418[[#This Row],[Ingrediente]],Tabla34[#All],3,0)</f>
        <v>22.061498180000001</v>
      </c>
      <c r="H138" s="14">
        <f>+Tabla1103453454455456479364418[[#This Row],[Costo]]*Tabla1103453454455456479364418[[#This Row],[Unidades]]</f>
        <v>165.46123635000001</v>
      </c>
      <c r="J138" s="8" t="s">
        <v>17</v>
      </c>
      <c r="K138" s="358" t="e">
        <f>+K134/K137</f>
        <v>#DIV/0!</v>
      </c>
    </row>
    <row r="139" spans="2:13" x14ac:dyDescent="0.3">
      <c r="B139" s="354" t="s">
        <v>214</v>
      </c>
      <c r="C139" s="11" t="s">
        <v>67</v>
      </c>
      <c r="D139" s="12">
        <v>10</v>
      </c>
      <c r="E139" s="12">
        <v>0</v>
      </c>
      <c r="F139" s="12">
        <v>10</v>
      </c>
      <c r="G139" s="13">
        <f>+VLOOKUP(Tabla1103453454455456479364418[[#This Row],[Ingrediente]],Tabla34[#All],3,0)</f>
        <v>13.02</v>
      </c>
      <c r="H139" s="14">
        <f>+Tabla1103453454455456479364418[[#This Row],[Costo]]*Tabla1103453454455456479364418[[#This Row],[Unidades]]</f>
        <v>130.19999999999999</v>
      </c>
      <c r="I139" s="4"/>
      <c r="J139" s="8" t="s">
        <v>18</v>
      </c>
      <c r="K139" s="360">
        <f>+K137-K134</f>
        <v>-3630.8446926937499</v>
      </c>
    </row>
    <row r="140" spans="2:13" x14ac:dyDescent="0.3">
      <c r="B140" s="371" t="s">
        <v>50</v>
      </c>
      <c r="C140" s="11" t="s">
        <v>67</v>
      </c>
      <c r="D140" s="12">
        <v>7.5</v>
      </c>
      <c r="E140" s="12">
        <v>0</v>
      </c>
      <c r="F140" s="12">
        <v>7.5</v>
      </c>
      <c r="G140" s="13">
        <f>+VLOOKUP(Tabla1103453454455456479364418[[#This Row],[Ingrediente]],Tabla34[#All],3,0)</f>
        <v>15.28420193</v>
      </c>
      <c r="H140" s="14">
        <f>+Tabla1103453454455456479364418[[#This Row],[Costo]]*Tabla1103453454455456479364418[[#This Row],[Unidades]]</f>
        <v>114.631514475</v>
      </c>
      <c r="I140" s="4"/>
      <c r="J140" s="8" t="s">
        <v>19</v>
      </c>
      <c r="K140" s="361">
        <f>+K139/K134</f>
        <v>-1</v>
      </c>
    </row>
    <row r="141" spans="2:13" x14ac:dyDescent="0.3">
      <c r="B141" s="354" t="s">
        <v>143</v>
      </c>
      <c r="C141" s="11" t="s">
        <v>67</v>
      </c>
      <c r="D141" s="12">
        <v>5</v>
      </c>
      <c r="E141" s="12">
        <v>0</v>
      </c>
      <c r="F141" s="12">
        <v>5</v>
      </c>
      <c r="G141" s="13">
        <f>+VLOOKUP(Tabla1103453454455456479364418[[#This Row],[Ingrediente]],Tabla34[#All],3,0)</f>
        <v>6.3326451500000003</v>
      </c>
      <c r="H141" s="14">
        <f>+Tabla1103453454455456479364418[[#This Row],[Costo]]*Tabla1103453454455456479364418[[#This Row],[Unidades]]</f>
        <v>31.663225750000002</v>
      </c>
      <c r="I141" s="4"/>
      <c r="K141" s="362"/>
    </row>
    <row r="142" spans="2:13" x14ac:dyDescent="0.3">
      <c r="B142" s="354" t="s">
        <v>312</v>
      </c>
      <c r="C142" s="11" t="s">
        <v>67</v>
      </c>
      <c r="D142" s="12">
        <v>10</v>
      </c>
      <c r="E142" s="12">
        <v>0</v>
      </c>
      <c r="F142" s="12">
        <v>10</v>
      </c>
      <c r="G142" s="13">
        <f>+VLOOKUP(Tabla1103453454455456479364418[[#This Row],[Ingrediente]],Tabla34[#All],3,0)</f>
        <v>4.2671999999999999</v>
      </c>
      <c r="H142" s="14">
        <f>+Tabla1103453454455456479364418[[#This Row],[Costo]]*Tabla1103453454455456479364418[[#This Row],[Unidades]]</f>
        <v>42.671999999999997</v>
      </c>
      <c r="I142" s="4"/>
      <c r="K142" s="362"/>
    </row>
    <row r="143" spans="2:13" x14ac:dyDescent="0.3">
      <c r="B143" s="354" t="s">
        <v>1091</v>
      </c>
      <c r="C143" s="11" t="s">
        <v>67</v>
      </c>
      <c r="D143" s="12">
        <v>1</v>
      </c>
      <c r="E143" s="12">
        <v>0</v>
      </c>
      <c r="F143" s="12">
        <v>1</v>
      </c>
      <c r="G143" s="13">
        <f>+VLOOKUP(Tabla1103453454455456479364418[[#This Row],[Ingrediente]],Tabla34[#All],3,0)</f>
        <v>73.78</v>
      </c>
      <c r="H143" s="14">
        <f>+Tabla1103453454455456479364418[[#This Row],[Costo]]*Tabla1103453454455456479364418[[#This Row],[Unidades]]</f>
        <v>73.78</v>
      </c>
      <c r="I143" s="4"/>
      <c r="K143" s="362"/>
    </row>
    <row r="144" spans="2:13" x14ac:dyDescent="0.3">
      <c r="B144" s="357"/>
      <c r="C144" s="17"/>
      <c r="D144" s="17"/>
      <c r="E144" s="17"/>
      <c r="F144" s="17"/>
      <c r="G144" s="18"/>
      <c r="H144" s="18">
        <f>SUBTOTAL(109,Tabla1103453454455456479364418[Total costo])</f>
        <v>3457.9473263750001</v>
      </c>
      <c r="I144" s="4"/>
      <c r="J144" s="27"/>
      <c r="K144" s="373"/>
    </row>
    <row r="145" spans="2:13" x14ac:dyDescent="0.3">
      <c r="B145" s="359"/>
      <c r="G145" s="4"/>
      <c r="J145" s="27"/>
      <c r="K145" s="373"/>
    </row>
    <row r="146" spans="2:13" ht="15" thickBot="1" x14ac:dyDescent="0.35">
      <c r="G146" s="4"/>
      <c r="J146" s="27"/>
      <c r="K146" s="27"/>
    </row>
    <row r="147" spans="2:13" ht="15.6" x14ac:dyDescent="0.3">
      <c r="B147" s="347" t="s">
        <v>48</v>
      </c>
      <c r="C147" s="366"/>
      <c r="D147" s="366"/>
      <c r="E147" s="367"/>
      <c r="F147" s="367"/>
      <c r="G147" s="367"/>
      <c r="H147" s="367"/>
      <c r="I147" s="378"/>
      <c r="J147" s="350" t="s">
        <v>0</v>
      </c>
      <c r="K147" s="351"/>
      <c r="M147" s="377" t="s">
        <v>1394</v>
      </c>
    </row>
    <row r="148" spans="2:13" ht="26.4" x14ac:dyDescent="0.3">
      <c r="B148" s="352" t="s">
        <v>1</v>
      </c>
      <c r="C148" s="17" t="s">
        <v>2</v>
      </c>
      <c r="D148" s="72" t="s">
        <v>892</v>
      </c>
      <c r="E148" s="72" t="s">
        <v>893</v>
      </c>
      <c r="F148" s="72" t="s">
        <v>894</v>
      </c>
      <c r="G148" s="73" t="s">
        <v>4</v>
      </c>
      <c r="H148" s="73" t="s">
        <v>5</v>
      </c>
      <c r="J148" s="8" t="s">
        <v>6</v>
      </c>
      <c r="K148" s="353">
        <f>SUM(Tabla1103453454455456479364419[Total costo])</f>
        <v>6618.827635085001</v>
      </c>
      <c r="M148" s="346" t="s">
        <v>1410</v>
      </c>
    </row>
    <row r="149" spans="2:13" x14ac:dyDescent="0.3">
      <c r="B149" s="354" t="s">
        <v>155</v>
      </c>
      <c r="C149" s="11" t="s">
        <v>847</v>
      </c>
      <c r="D149" s="12">
        <v>0.33</v>
      </c>
      <c r="E149" s="12">
        <v>0</v>
      </c>
      <c r="F149" s="12">
        <v>0.33</v>
      </c>
      <c r="G149" s="13">
        <f>+VLOOKUP(Tabla1103453454455456479364419[[#This Row],[Ingrediente]],Tabla34[#All],3,0)</f>
        <v>13895.99832975</v>
      </c>
      <c r="H149" s="14">
        <f>+Tabla1103453454455456479364419[[#This Row],[Costo]]*Tabla1103453454455456479364419[[#This Row],[Unidades]]</f>
        <v>4585.6794488175001</v>
      </c>
      <c r="J149" s="8" t="s">
        <v>533</v>
      </c>
      <c r="K149" s="355">
        <f>+K148*5%</f>
        <v>330.94138175425007</v>
      </c>
    </row>
    <row r="150" spans="2:13" x14ac:dyDescent="0.3">
      <c r="B150" s="354" t="s">
        <v>596</v>
      </c>
      <c r="C150" s="11" t="s">
        <v>847</v>
      </c>
      <c r="D150" s="12">
        <v>1</v>
      </c>
      <c r="E150" s="12">
        <v>0</v>
      </c>
      <c r="F150" s="12">
        <v>1</v>
      </c>
      <c r="G150" s="13">
        <f>+VLOOKUP(Tabla1103453454455456479364419[[#This Row],[Ingrediente]],Tabla34[#All],3,0)</f>
        <v>750</v>
      </c>
      <c r="H150" s="14">
        <f>+Tabla1103453454455456479364419[[#This Row],[Costo]]*Tabla1103453454455456479364419[[#This Row],[Unidades]]</f>
        <v>750</v>
      </c>
      <c r="I150" s="4"/>
      <c r="J150" s="8" t="s">
        <v>13</v>
      </c>
      <c r="K150" s="355">
        <f>+K148+K149</f>
        <v>6949.769016839251</v>
      </c>
      <c r="M150" s="377" t="s">
        <v>1377</v>
      </c>
    </row>
    <row r="151" spans="2:13" x14ac:dyDescent="0.3">
      <c r="B151" s="354" t="s">
        <v>102</v>
      </c>
      <c r="C151" s="11" t="s">
        <v>605</v>
      </c>
      <c r="D151" s="12">
        <v>0.25</v>
      </c>
      <c r="E151" s="12">
        <v>0</v>
      </c>
      <c r="F151" s="12">
        <v>0.25</v>
      </c>
      <c r="G151" s="13">
        <f>+VLOOKUP(Tabla1103453454455456479364419[[#This Row],[Ingrediente]],Tabla34[#All],3,0)</f>
        <v>2471.7916666699998</v>
      </c>
      <c r="H151" s="14">
        <f>+Tabla1103453454455456479364419[[#This Row],[Costo]]*Tabla1103453454455456479364419[[#This Row],[Unidades]]</f>
        <v>617.94791666749995</v>
      </c>
      <c r="I151" s="4"/>
      <c r="J151" s="20" t="s">
        <v>14</v>
      </c>
      <c r="K151" s="356"/>
      <c r="M151" s="346" t="s">
        <v>1411</v>
      </c>
    </row>
    <row r="152" spans="2:13" x14ac:dyDescent="0.3">
      <c r="B152" s="354" t="s">
        <v>833</v>
      </c>
      <c r="C152" s="11" t="s">
        <v>67</v>
      </c>
      <c r="D152" s="12">
        <v>1</v>
      </c>
      <c r="E152" s="12">
        <v>0</v>
      </c>
      <c r="F152" s="12">
        <v>1</v>
      </c>
      <c r="G152" s="13">
        <f>+VLOOKUP(Tabla1103453454455456479364419[[#This Row],[Ingrediente]],Tabla34[#All],3,0)</f>
        <v>307.5</v>
      </c>
      <c r="H152" s="14">
        <f>+Tabla1103453454455456479364419[[#This Row],[Costo]]*Tabla1103453454455456479364419[[#This Row],[Unidades]]</f>
        <v>307.5</v>
      </c>
      <c r="I152" s="4"/>
      <c r="J152" s="8" t="s">
        <v>15</v>
      </c>
      <c r="K152" s="355">
        <f>+K151/1.08*0.08</f>
        <v>0</v>
      </c>
    </row>
    <row r="153" spans="2:13" x14ac:dyDescent="0.3">
      <c r="B153" s="354" t="s">
        <v>50</v>
      </c>
      <c r="C153" s="11" t="s">
        <v>67</v>
      </c>
      <c r="D153" s="12">
        <v>15</v>
      </c>
      <c r="E153" s="12">
        <v>0</v>
      </c>
      <c r="F153" s="12">
        <v>15</v>
      </c>
      <c r="G153" s="13">
        <f>+VLOOKUP(Tabla1103453454455456479364419[[#This Row],[Ingrediente]],Tabla34[#All],3,0)</f>
        <v>15.28420193</v>
      </c>
      <c r="H153" s="14">
        <f>+Tabla1103453454455456479364419[[#This Row],[Costo]]*Tabla1103453454455456479364419[[#This Row],[Unidades]]</f>
        <v>229.26302895000001</v>
      </c>
      <c r="I153" s="4"/>
      <c r="J153" s="8" t="s">
        <v>16</v>
      </c>
      <c r="K153" s="355">
        <f>+K151-K152</f>
        <v>0</v>
      </c>
    </row>
    <row r="154" spans="2:13" x14ac:dyDescent="0.3">
      <c r="B154" s="354" t="s">
        <v>832</v>
      </c>
      <c r="C154" s="11" t="s">
        <v>67</v>
      </c>
      <c r="D154" s="12">
        <v>9.9999998399999992</v>
      </c>
      <c r="E154" s="12">
        <v>38</v>
      </c>
      <c r="F154" s="12">
        <v>16.129031999999999</v>
      </c>
      <c r="G154" s="13">
        <f>+VLOOKUP(Tabla1103453454455456479364419[[#This Row],[Ingrediente]],Tabla34[#All],3,0)</f>
        <v>4.8</v>
      </c>
      <c r="H154" s="14">
        <f>+Tabla1103453454455456479364419[[#This Row],[Costo]]*Tabla1103453454455456479364419[[#This Row],[Unidades]]</f>
        <v>77.419353599999994</v>
      </c>
      <c r="J154" s="8" t="s">
        <v>17</v>
      </c>
      <c r="K154" s="358" t="e">
        <f>+K150/K153</f>
        <v>#DIV/0!</v>
      </c>
    </row>
    <row r="155" spans="2:13" x14ac:dyDescent="0.3">
      <c r="B155" s="354" t="s">
        <v>153</v>
      </c>
      <c r="C155" s="11" t="s">
        <v>67</v>
      </c>
      <c r="D155" s="12">
        <v>7.5</v>
      </c>
      <c r="E155" s="12">
        <v>0</v>
      </c>
      <c r="F155" s="12">
        <v>7.5</v>
      </c>
      <c r="G155" s="13">
        <f>+VLOOKUP(Tabla1103453454455456479364419[[#This Row],[Ingrediente]],Tabla34[#All],3,0)</f>
        <v>6.8023849399999996</v>
      </c>
      <c r="H155" s="14">
        <f>+Tabla1103453454455456479364419[[#This Row],[Costo]]*Tabla1103453454455456479364419[[#This Row],[Unidades]]</f>
        <v>51.017887049999999</v>
      </c>
      <c r="J155" s="8" t="s">
        <v>18</v>
      </c>
      <c r="K155" s="360">
        <f>+K153-K150</f>
        <v>-6949.769016839251</v>
      </c>
    </row>
    <row r="156" spans="2:13" x14ac:dyDescent="0.3">
      <c r="B156" s="357"/>
      <c r="C156" s="17"/>
      <c r="D156" s="17"/>
      <c r="E156" s="17"/>
      <c r="F156" s="17"/>
      <c r="G156" s="18"/>
      <c r="H156" s="18">
        <f>SUBTOTAL(109,Tabla1103453454455456479364419[Total costo])</f>
        <v>6618.827635085001</v>
      </c>
      <c r="J156" s="8" t="s">
        <v>19</v>
      </c>
      <c r="K156" s="361">
        <f>+K155/K150</f>
        <v>-1</v>
      </c>
    </row>
    <row r="157" spans="2:13" x14ac:dyDescent="0.3">
      <c r="B157" s="359"/>
      <c r="G157" s="4"/>
      <c r="H157" s="4"/>
      <c r="I157" s="31"/>
      <c r="K157" s="362"/>
    </row>
    <row r="158" spans="2:13" ht="15" thickBot="1" x14ac:dyDescent="0.35">
      <c r="B158" s="374"/>
      <c r="G158" s="4"/>
      <c r="H158" s="4"/>
      <c r="I158" s="26"/>
    </row>
    <row r="159" spans="2:13" ht="15.6" x14ac:dyDescent="0.3">
      <c r="B159" s="347" t="s">
        <v>49</v>
      </c>
      <c r="C159" s="366"/>
      <c r="D159" s="366"/>
      <c r="E159" s="367"/>
      <c r="F159" s="367"/>
      <c r="G159" s="367"/>
      <c r="H159" s="367"/>
      <c r="I159" s="365"/>
      <c r="J159" s="350" t="s">
        <v>0</v>
      </c>
      <c r="K159" s="351"/>
      <c r="M159" s="377" t="s">
        <v>1394</v>
      </c>
    </row>
    <row r="160" spans="2:13" ht="26.4" x14ac:dyDescent="0.3">
      <c r="B160" s="352" t="s">
        <v>1</v>
      </c>
      <c r="C160" s="17" t="s">
        <v>2</v>
      </c>
      <c r="D160" s="72" t="s">
        <v>892</v>
      </c>
      <c r="E160" s="72" t="s">
        <v>893</v>
      </c>
      <c r="F160" s="72" t="s">
        <v>894</v>
      </c>
      <c r="G160" s="73" t="s">
        <v>4</v>
      </c>
      <c r="H160" s="73" t="s">
        <v>5</v>
      </c>
      <c r="I160" s="4"/>
      <c r="J160" s="8" t="s">
        <v>6</v>
      </c>
      <c r="K160" s="353">
        <f>SUM(Tabla1103453454455456479364420[Total costo])</f>
        <v>4046.580338839</v>
      </c>
      <c r="M160" s="346" t="s">
        <v>1410</v>
      </c>
    </row>
    <row r="161" spans="2:13" x14ac:dyDescent="0.3">
      <c r="B161" s="354" t="s">
        <v>315</v>
      </c>
      <c r="C161" s="11" t="s">
        <v>847</v>
      </c>
      <c r="D161" s="46">
        <v>0.3</v>
      </c>
      <c r="E161" s="12">
        <v>0</v>
      </c>
      <c r="F161" s="12">
        <v>0.3</v>
      </c>
      <c r="G161" s="13">
        <f>+VLOOKUP(Tabla1103453454455456479364420[[#This Row],[Ingrediente]],Tabla34[#All],3,0)</f>
        <v>9017.9941012300005</v>
      </c>
      <c r="H161" s="14">
        <f>+Tabla1103453454455456479364420[[#This Row],[Costo]]*Tabla1103453454455456479364420[[#This Row],[Unidades]]</f>
        <v>2705.398230369</v>
      </c>
      <c r="I161" s="4"/>
      <c r="J161" s="8" t="s">
        <v>533</v>
      </c>
      <c r="K161" s="355">
        <f>+K160*5%</f>
        <v>202.32901694195002</v>
      </c>
    </row>
    <row r="162" spans="2:13" x14ac:dyDescent="0.3">
      <c r="B162" s="354" t="s">
        <v>596</v>
      </c>
      <c r="C162" s="11" t="s">
        <v>847</v>
      </c>
      <c r="D162" s="12">
        <v>1</v>
      </c>
      <c r="E162" s="56">
        <v>0</v>
      </c>
      <c r="F162" s="56">
        <v>1</v>
      </c>
      <c r="G162" s="13">
        <f>+VLOOKUP(Tabla1103453454455456479364420[[#This Row],[Ingrediente]],Tabla34[#All],3,0)</f>
        <v>750</v>
      </c>
      <c r="H162" s="14">
        <f>+Tabla1103453454455456479364420[[#This Row],[Costo]]*Tabla1103453454455456479364420[[#This Row],[Unidades]]</f>
        <v>750</v>
      </c>
      <c r="I162" s="4"/>
      <c r="J162" s="8" t="s">
        <v>13</v>
      </c>
      <c r="K162" s="355">
        <f>+K160+K161</f>
        <v>4248.9093557809501</v>
      </c>
      <c r="M162" s="377" t="s">
        <v>1377</v>
      </c>
    </row>
    <row r="163" spans="2:13" x14ac:dyDescent="0.3">
      <c r="B163" s="354" t="s">
        <v>833</v>
      </c>
      <c r="C163" s="11" t="s">
        <v>67</v>
      </c>
      <c r="D163" s="12">
        <v>1</v>
      </c>
      <c r="E163" s="12">
        <v>0</v>
      </c>
      <c r="F163" s="12">
        <v>1</v>
      </c>
      <c r="G163" s="13">
        <f>+VLOOKUP(Tabla1103453454455456479364420[[#This Row],[Ingrediente]],Tabla34[#All],3,0)</f>
        <v>307.5</v>
      </c>
      <c r="H163" s="14">
        <f>+Tabla1103453454455456479364420[[#This Row],[Costo]]*Tabla1103453454455456479364420[[#This Row],[Unidades]]</f>
        <v>307.5</v>
      </c>
      <c r="I163" s="4"/>
      <c r="J163" s="20" t="s">
        <v>14</v>
      </c>
      <c r="K163" s="356"/>
      <c r="M163" s="346" t="s">
        <v>1411</v>
      </c>
    </row>
    <row r="164" spans="2:13" x14ac:dyDescent="0.3">
      <c r="B164" s="354" t="s">
        <v>50</v>
      </c>
      <c r="C164" s="11" t="s">
        <v>67</v>
      </c>
      <c r="D164" s="12">
        <v>15</v>
      </c>
      <c r="E164" s="12">
        <v>0</v>
      </c>
      <c r="F164" s="12">
        <v>15</v>
      </c>
      <c r="G164" s="13">
        <f>+VLOOKUP(Tabla1103453454455456479364420[[#This Row],[Ingrediente]],Tabla34[#All],3,0)</f>
        <v>15.28420193</v>
      </c>
      <c r="H164" s="14">
        <f>+Tabla1103453454455456479364420[[#This Row],[Costo]]*Tabla1103453454455456479364420[[#This Row],[Unidades]]</f>
        <v>229.26302895000001</v>
      </c>
      <c r="I164" s="27"/>
      <c r="J164" s="8" t="s">
        <v>15</v>
      </c>
      <c r="K164" s="355">
        <f>+K163/1.08*0.08</f>
        <v>0</v>
      </c>
    </row>
    <row r="165" spans="2:13" x14ac:dyDescent="0.3">
      <c r="B165" s="354" t="s">
        <v>153</v>
      </c>
      <c r="C165" s="11" t="s">
        <v>67</v>
      </c>
      <c r="D165" s="12">
        <v>8</v>
      </c>
      <c r="E165" s="12">
        <v>0</v>
      </c>
      <c r="F165" s="12">
        <v>8</v>
      </c>
      <c r="G165" s="13">
        <f>+VLOOKUP(Tabla1103453454455456479364420[[#This Row],[Ingrediente]],Tabla34[#All],3,0)</f>
        <v>6.8023849399999996</v>
      </c>
      <c r="H165" s="14">
        <f>+Tabla1103453454455456479364420[[#This Row],[Costo]]*Tabla1103453454455456479364420[[#This Row],[Unidades]]</f>
        <v>54.419079519999997</v>
      </c>
      <c r="J165" s="8" t="s">
        <v>16</v>
      </c>
      <c r="K165" s="355">
        <f>+K163-K164</f>
        <v>0</v>
      </c>
    </row>
    <row r="166" spans="2:13" x14ac:dyDescent="0.3">
      <c r="B166" s="357"/>
      <c r="C166" s="17"/>
      <c r="D166" s="17"/>
      <c r="E166" s="17"/>
      <c r="F166" s="17"/>
      <c r="G166" s="18"/>
      <c r="H166" s="18">
        <f>SUBTOTAL(109,Tabla1103453454455456479364420[Total costo])</f>
        <v>4046.580338839</v>
      </c>
      <c r="I166" s="4"/>
      <c r="J166" s="8" t="s">
        <v>17</v>
      </c>
      <c r="K166" s="358" t="e">
        <f>+K162/K165</f>
        <v>#DIV/0!</v>
      </c>
    </row>
    <row r="167" spans="2:13" x14ac:dyDescent="0.3">
      <c r="B167" s="359"/>
      <c r="I167" s="4"/>
      <c r="J167" s="8" t="s">
        <v>18</v>
      </c>
      <c r="K167" s="360">
        <f>+K165-K162</f>
        <v>-4248.9093557809501</v>
      </c>
    </row>
    <row r="168" spans="2:13" x14ac:dyDescent="0.3">
      <c r="B168" s="377"/>
      <c r="I168" s="4"/>
      <c r="J168" s="8" t="s">
        <v>19</v>
      </c>
      <c r="K168" s="361">
        <f>+K167/K162</f>
        <v>-1</v>
      </c>
    </row>
    <row r="169" spans="2:13" ht="15" thickBot="1" x14ac:dyDescent="0.35">
      <c r="B169" s="374"/>
      <c r="G169" s="4"/>
      <c r="H169" s="4"/>
      <c r="I169" s="36"/>
      <c r="K169" s="362"/>
    </row>
    <row r="170" spans="2:13" x14ac:dyDescent="0.3">
      <c r="B170" s="347" t="s">
        <v>867</v>
      </c>
      <c r="C170" s="366"/>
      <c r="D170" s="366"/>
      <c r="E170" s="367"/>
      <c r="F170" s="367"/>
      <c r="G170" s="367"/>
      <c r="H170" s="367"/>
      <c r="I170" s="349"/>
      <c r="J170" s="350" t="s">
        <v>0</v>
      </c>
      <c r="K170" s="351"/>
    </row>
    <row r="171" spans="2:13" ht="26.4" x14ac:dyDescent="0.3">
      <c r="B171" s="352" t="s">
        <v>1</v>
      </c>
      <c r="C171" s="17" t="s">
        <v>2</v>
      </c>
      <c r="D171" s="72" t="s">
        <v>892</v>
      </c>
      <c r="E171" s="72" t="s">
        <v>893</v>
      </c>
      <c r="F171" s="72" t="s">
        <v>894</v>
      </c>
      <c r="G171" s="73" t="s">
        <v>4</v>
      </c>
      <c r="H171" s="73" t="s">
        <v>5</v>
      </c>
      <c r="J171" s="8" t="s">
        <v>6</v>
      </c>
      <c r="K171" s="353">
        <f>SUM(Tabla1103453454455456479364421[Total costo])</f>
        <v>12569.832307530001</v>
      </c>
      <c r="M171" s="377" t="s">
        <v>1394</v>
      </c>
    </row>
    <row r="172" spans="2:13" x14ac:dyDescent="0.3">
      <c r="B172" s="354" t="s">
        <v>315</v>
      </c>
      <c r="C172" s="11" t="s">
        <v>847</v>
      </c>
      <c r="D172" s="12">
        <v>1</v>
      </c>
      <c r="E172" s="12">
        <v>0</v>
      </c>
      <c r="F172" s="12">
        <v>1</v>
      </c>
      <c r="G172" s="13">
        <f>+VLOOKUP(Tabla1103453454455456479364421[[#This Row],[Ingrediente]],Tabla34[#All],3,0)</f>
        <v>9017.9941012300005</v>
      </c>
      <c r="H172" s="14">
        <f>+Tabla1103453454455456479364421[[#This Row],[Costo]]*Tabla1103453454455456479364421[[#This Row],[Unidades]]</f>
        <v>9017.9941012300005</v>
      </c>
      <c r="J172" s="8" t="s">
        <v>533</v>
      </c>
      <c r="K172" s="355">
        <f>+K171*5%</f>
        <v>628.49161537650014</v>
      </c>
      <c r="M172" s="346" t="s">
        <v>1412</v>
      </c>
    </row>
    <row r="173" spans="2:13" x14ac:dyDescent="0.3">
      <c r="B173" s="354" t="s">
        <v>229</v>
      </c>
      <c r="C173" s="11" t="s">
        <v>67</v>
      </c>
      <c r="D173" s="12">
        <v>30</v>
      </c>
      <c r="E173" s="12">
        <v>0</v>
      </c>
      <c r="F173" s="12">
        <v>30</v>
      </c>
      <c r="G173" s="13">
        <f>+VLOOKUP(Tabla1103453454455456479364421[[#This Row],[Ingrediente]],Tabla34[#All],3,0)</f>
        <v>24.714500000000001</v>
      </c>
      <c r="H173" s="14">
        <f>+Tabla1103453454455456479364421[[#This Row],[Costo]]*Tabla1103453454455456479364421[[#This Row],[Unidades]]</f>
        <v>741.43500000000006</v>
      </c>
      <c r="I173" s="4"/>
      <c r="J173" s="8" t="s">
        <v>13</v>
      </c>
      <c r="K173" s="355">
        <f>+K171+K172</f>
        <v>13198.323922906502</v>
      </c>
      <c r="M173" s="346" t="s">
        <v>1413</v>
      </c>
    </row>
    <row r="174" spans="2:13" x14ac:dyDescent="0.3">
      <c r="B174" s="354" t="s">
        <v>281</v>
      </c>
      <c r="C174" s="11" t="s">
        <v>67</v>
      </c>
      <c r="D174" s="12">
        <v>20</v>
      </c>
      <c r="E174" s="12">
        <v>0</v>
      </c>
      <c r="F174" s="12">
        <v>20</v>
      </c>
      <c r="G174" s="13">
        <f>+VLOOKUP(Tabla1103453454455456479364421[[#This Row],[Ingrediente]],Tabla34[#All],3,0)</f>
        <v>25.61066254</v>
      </c>
      <c r="H174" s="14">
        <f>+Tabla1103453454455456479364421[[#This Row],[Costo]]*Tabla1103453454455456479364421[[#This Row],[Unidades]]</f>
        <v>512.21325079999997</v>
      </c>
      <c r="I174" s="4"/>
      <c r="J174" s="20" t="s">
        <v>14</v>
      </c>
      <c r="K174" s="356">
        <v>39000</v>
      </c>
      <c r="M174" s="346" t="s">
        <v>1462</v>
      </c>
    </row>
    <row r="175" spans="2:13" x14ac:dyDescent="0.3">
      <c r="B175" s="354" t="s">
        <v>220</v>
      </c>
      <c r="C175" s="11" t="s">
        <v>67</v>
      </c>
      <c r="D175" s="12">
        <v>120</v>
      </c>
      <c r="E175" s="12">
        <v>5</v>
      </c>
      <c r="F175" s="12">
        <v>126.316</v>
      </c>
      <c r="G175" s="13">
        <f>+VLOOKUP(Tabla1103453454455456479364421[[#This Row],[Ingrediente]],Tabla34[#All],3,0)</f>
        <v>4.5</v>
      </c>
      <c r="H175" s="14">
        <f>+Tabla1103453454455456479364421[[#This Row],[Costo]]*Tabla1103453454455456479364421[[#This Row],[Unidades]]</f>
        <v>568.42200000000003</v>
      </c>
      <c r="I175" s="4"/>
      <c r="J175" s="8" t="s">
        <v>15</v>
      </c>
      <c r="K175" s="355">
        <f>+K174/1.08*0.08</f>
        <v>2888.8888888888887</v>
      </c>
    </row>
    <row r="176" spans="2:13" x14ac:dyDescent="0.3">
      <c r="B176" s="354" t="s">
        <v>51</v>
      </c>
      <c r="C176" s="11" t="s">
        <v>67</v>
      </c>
      <c r="D176" s="12">
        <v>10</v>
      </c>
      <c r="E176" s="12">
        <v>0</v>
      </c>
      <c r="F176" s="12">
        <v>10</v>
      </c>
      <c r="G176" s="13">
        <f>+VLOOKUP(Tabla1103453454455456479364421[[#This Row],[Ingrediente]],Tabla34[#All],3,0)</f>
        <v>11.3849874</v>
      </c>
      <c r="H176" s="14">
        <f>+Tabla1103453454455456479364421[[#This Row],[Costo]]*Tabla1103453454455456479364421[[#This Row],[Unidades]]</f>
        <v>113.849874</v>
      </c>
      <c r="I176" s="4"/>
      <c r="J176" s="8" t="s">
        <v>16</v>
      </c>
      <c r="K176" s="355">
        <f>+K174-K175</f>
        <v>36111.111111111109</v>
      </c>
      <c r="M176" s="377" t="s">
        <v>1377</v>
      </c>
    </row>
    <row r="177" spans="2:13" x14ac:dyDescent="0.3">
      <c r="B177" s="354" t="s">
        <v>833</v>
      </c>
      <c r="C177" s="11" t="s">
        <v>67</v>
      </c>
      <c r="D177" s="12">
        <v>1</v>
      </c>
      <c r="E177" s="12">
        <v>0</v>
      </c>
      <c r="F177" s="12">
        <v>1</v>
      </c>
      <c r="G177" s="13">
        <f>+VLOOKUP(Tabla1103453454455456479364421[[#This Row],[Ingrediente]],Tabla34[#All],3,0)</f>
        <v>307.5</v>
      </c>
      <c r="H177" s="14">
        <f>+Tabla1103453454455456479364421[[#This Row],[Costo]]*Tabla1103453454455456479364421[[#This Row],[Unidades]]</f>
        <v>307.5</v>
      </c>
      <c r="I177" s="4"/>
      <c r="J177" s="8" t="s">
        <v>17</v>
      </c>
      <c r="K177" s="358">
        <f>+K173/K176</f>
        <v>0.36549204709587241</v>
      </c>
      <c r="M177" s="346" t="s">
        <v>1414</v>
      </c>
    </row>
    <row r="178" spans="2:13" x14ac:dyDescent="0.3">
      <c r="B178" s="371" t="s">
        <v>674</v>
      </c>
      <c r="C178" s="11" t="s">
        <v>67</v>
      </c>
      <c r="D178" s="12">
        <v>20</v>
      </c>
      <c r="E178" s="12">
        <v>15</v>
      </c>
      <c r="F178" s="12">
        <v>23.529</v>
      </c>
      <c r="G178" s="13">
        <f>+VLOOKUP(Tabla1103453454455456479364421[[#This Row],[Ingrediente]],Tabla34[#All],3,0)</f>
        <v>4</v>
      </c>
      <c r="H178" s="14">
        <f>+Tabla1103453454455456479364421[[#This Row],[Costo]]*Tabla1103453454455456479364421[[#This Row],[Unidades]]</f>
        <v>94.116</v>
      </c>
      <c r="I178" s="4"/>
      <c r="J178" s="8" t="s">
        <v>18</v>
      </c>
      <c r="K178" s="360">
        <f>+K176-K173</f>
        <v>22912.787188204609</v>
      </c>
      <c r="M178" s="346" t="s">
        <v>1415</v>
      </c>
    </row>
    <row r="179" spans="2:13" x14ac:dyDescent="0.3">
      <c r="B179" s="354" t="s">
        <v>730</v>
      </c>
      <c r="C179" s="11" t="s">
        <v>67</v>
      </c>
      <c r="D179" s="12">
        <v>3</v>
      </c>
      <c r="E179" s="12">
        <v>40</v>
      </c>
      <c r="F179" s="12">
        <v>5</v>
      </c>
      <c r="G179" s="13">
        <f>+VLOOKUP(Tabla1103453454455456479364421[[#This Row],[Ingrediente]],Tabla34[#All],3,0)</f>
        <v>12</v>
      </c>
      <c r="H179" s="14">
        <f>+Tabla1103453454455456479364421[[#This Row],[Costo]]*Tabla1103453454455456479364421[[#This Row],[Unidades]]</f>
        <v>60</v>
      </c>
      <c r="I179" s="4"/>
      <c r="J179" s="8" t="s">
        <v>19</v>
      </c>
      <c r="K179" s="361">
        <f>+K178/K173</f>
        <v>1.736037645540587</v>
      </c>
      <c r="M179" s="346" t="s">
        <v>1416</v>
      </c>
    </row>
    <row r="180" spans="2:13" x14ac:dyDescent="0.3">
      <c r="B180" s="354" t="s">
        <v>835</v>
      </c>
      <c r="C180" s="11" t="s">
        <v>67</v>
      </c>
      <c r="D180" s="12">
        <v>20</v>
      </c>
      <c r="E180" s="12">
        <v>78</v>
      </c>
      <c r="F180" s="12">
        <v>90.909000000000006</v>
      </c>
      <c r="G180" s="13">
        <f>+VLOOKUP(Tabla1103453454455456479364421[[#This Row],[Ingrediente]],Tabla34[#All],3,0)</f>
        <v>4.5</v>
      </c>
      <c r="H180" s="14">
        <f>+Tabla1103453454455456479364421[[#This Row],[Costo]]*Tabla1103453454455456479364421[[#This Row],[Unidades]]</f>
        <v>409.09050000000002</v>
      </c>
      <c r="I180" s="27"/>
      <c r="J180" s="4"/>
      <c r="K180" s="369"/>
    </row>
    <row r="181" spans="2:13" x14ac:dyDescent="0.3">
      <c r="B181" s="354" t="s">
        <v>687</v>
      </c>
      <c r="C181" s="11" t="s">
        <v>67</v>
      </c>
      <c r="D181" s="12">
        <v>15</v>
      </c>
      <c r="E181" s="12">
        <v>10</v>
      </c>
      <c r="F181" s="12">
        <v>16.667000000000002</v>
      </c>
      <c r="G181" s="13">
        <f>+VLOOKUP(Tabla1103453454455456479364421[[#This Row],[Ingrediente]],Tabla34[#All],3,0)</f>
        <v>2.8</v>
      </c>
      <c r="H181" s="14">
        <f>+Tabla1103453454455456479364421[[#This Row],[Costo]]*Tabla1103453454455456479364421[[#This Row],[Unidades]]</f>
        <v>46.6676</v>
      </c>
      <c r="K181" s="362"/>
    </row>
    <row r="182" spans="2:13" x14ac:dyDescent="0.3">
      <c r="B182" s="354" t="s">
        <v>187</v>
      </c>
      <c r="C182" s="11" t="s">
        <v>67</v>
      </c>
      <c r="D182" s="12">
        <v>15</v>
      </c>
      <c r="E182" s="12">
        <v>10</v>
      </c>
      <c r="F182" s="12">
        <v>16.667000000000002</v>
      </c>
      <c r="G182" s="13">
        <f>+VLOOKUP(Tabla1103453454455456479364421[[#This Row],[Ingrediente]],Tabla34[#All],3,0)</f>
        <v>4.7</v>
      </c>
      <c r="H182" s="14">
        <f>+Tabla1103453454455456479364421[[#This Row],[Costo]]*Tabla1103453454455456479364421[[#This Row],[Unidades]]</f>
        <v>78.334900000000005</v>
      </c>
      <c r="I182" s="4"/>
      <c r="K182" s="362"/>
    </row>
    <row r="183" spans="2:13" x14ac:dyDescent="0.3">
      <c r="B183" s="354" t="s">
        <v>135</v>
      </c>
      <c r="C183" s="11" t="s">
        <v>67</v>
      </c>
      <c r="D183" s="12">
        <v>50</v>
      </c>
      <c r="E183" s="12">
        <v>0</v>
      </c>
      <c r="F183" s="12">
        <v>50</v>
      </c>
      <c r="G183" s="13">
        <f>+VLOOKUP(Tabla1103453454455456479364421[[#This Row],[Ingrediente]],Tabla34[#All],3,0)</f>
        <v>10.28067705</v>
      </c>
      <c r="H183" s="14">
        <f>+Tabla1103453454455456479364421[[#This Row],[Costo]]*Tabla1103453454455456479364421[[#This Row],[Unidades]]</f>
        <v>514.03385249999997</v>
      </c>
      <c r="I183" s="4"/>
      <c r="J183" s="27"/>
      <c r="K183" s="373"/>
    </row>
    <row r="184" spans="2:13" x14ac:dyDescent="0.3">
      <c r="B184" s="354" t="s">
        <v>123</v>
      </c>
      <c r="C184" s="11" t="s">
        <v>67</v>
      </c>
      <c r="D184" s="12">
        <v>15</v>
      </c>
      <c r="E184" s="12">
        <v>0</v>
      </c>
      <c r="F184" s="12">
        <v>15</v>
      </c>
      <c r="G184" s="13">
        <f>+VLOOKUP(Tabla1103453454455456479364421[[#This Row],[Ingrediente]],Tabla34[#All],3,0)</f>
        <v>7.0783486</v>
      </c>
      <c r="H184" s="14">
        <f>+Tabla1103453454455456479364421[[#This Row],[Costo]]*Tabla1103453454455456479364421[[#This Row],[Unidades]]</f>
        <v>106.175229</v>
      </c>
      <c r="I184" s="27"/>
      <c r="K184" s="362"/>
    </row>
    <row r="185" spans="2:13" x14ac:dyDescent="0.3">
      <c r="B185" s="357"/>
      <c r="C185" s="17"/>
      <c r="D185" s="17"/>
      <c r="E185" s="17"/>
      <c r="F185" s="17"/>
      <c r="G185" s="18"/>
      <c r="H185" s="18">
        <f>SUBTOTAL(109,Tabla1103453454455456479364421[Total costo])</f>
        <v>12569.832307530001</v>
      </c>
      <c r="K185" s="362"/>
    </row>
    <row r="186" spans="2:13" x14ac:dyDescent="0.3">
      <c r="B186" s="383"/>
      <c r="C186" s="33"/>
      <c r="D186" s="33"/>
      <c r="E186" s="33"/>
      <c r="F186" s="33"/>
      <c r="G186" s="34"/>
      <c r="H186" s="34"/>
      <c r="I186" s="28"/>
      <c r="J186" s="28"/>
      <c r="K186" s="379"/>
    </row>
    <row r="187" spans="2:13" ht="15" thickBot="1" x14ac:dyDescent="0.35">
      <c r="B187" s="380"/>
      <c r="C187" s="381"/>
      <c r="D187" s="381"/>
      <c r="E187" s="381"/>
      <c r="F187" s="381"/>
      <c r="G187" s="382"/>
      <c r="H187" s="382"/>
      <c r="I187" s="28"/>
      <c r="J187" s="28"/>
      <c r="K187" s="28"/>
    </row>
    <row r="188" spans="2:13" s="28" customFormat="1" ht="15.6" x14ac:dyDescent="0.3">
      <c r="B188" s="347" t="s">
        <v>65</v>
      </c>
      <c r="C188" s="366"/>
      <c r="D188" s="366"/>
      <c r="E188" s="367"/>
      <c r="F188" s="367"/>
      <c r="G188" s="367"/>
      <c r="H188" s="367"/>
      <c r="I188" s="349"/>
      <c r="J188" s="350" t="s">
        <v>0</v>
      </c>
      <c r="K188" s="351"/>
      <c r="M188" s="377" t="s">
        <v>1394</v>
      </c>
    </row>
    <row r="189" spans="2:13" s="28" customFormat="1" ht="26.4" x14ac:dyDescent="0.3">
      <c r="B189" s="352" t="s">
        <v>1</v>
      </c>
      <c r="C189" s="17" t="s">
        <v>2</v>
      </c>
      <c r="D189" s="72" t="s">
        <v>892</v>
      </c>
      <c r="E189" s="72" t="s">
        <v>893</v>
      </c>
      <c r="F189" s="72" t="s">
        <v>894</v>
      </c>
      <c r="G189" s="73" t="s">
        <v>4</v>
      </c>
      <c r="H189" s="73" t="s">
        <v>5</v>
      </c>
      <c r="I189"/>
      <c r="J189" s="8" t="s">
        <v>6</v>
      </c>
      <c r="K189" s="353">
        <f>SUM(Tabla1103453454455456479364422[Total costo])</f>
        <v>19543.3264294</v>
      </c>
      <c r="M189" s="377" t="s">
        <v>1417</v>
      </c>
    </row>
    <row r="190" spans="2:13" x14ac:dyDescent="0.3">
      <c r="B190" s="354" t="s">
        <v>829</v>
      </c>
      <c r="C190" s="11" t="s">
        <v>847</v>
      </c>
      <c r="D190" s="12">
        <v>1</v>
      </c>
      <c r="E190" s="12">
        <v>0</v>
      </c>
      <c r="F190" s="12">
        <v>1</v>
      </c>
      <c r="G190" s="13">
        <f>+VLOOKUP(Tabla1103453454455456479364422[[#This Row],[Ingrediente]],Tabla34[#All],3,0)</f>
        <v>16247.637500000001</v>
      </c>
      <c r="H190" s="14">
        <f>+Tabla1103453454455456479364422[[#This Row],[Costo]]*Tabla1103453454455456479364422[[#This Row],[Unidades]]</f>
        <v>16247.637500000001</v>
      </c>
      <c r="J190" s="8" t="s">
        <v>533</v>
      </c>
      <c r="K190" s="355">
        <f>+K189*5%</f>
        <v>977.16632147000007</v>
      </c>
      <c r="M190" s="377" t="s">
        <v>1418</v>
      </c>
    </row>
    <row r="191" spans="2:13" x14ac:dyDescent="0.3">
      <c r="B191" s="354" t="s">
        <v>229</v>
      </c>
      <c r="C191" s="11" t="s">
        <v>67</v>
      </c>
      <c r="D191" s="12">
        <v>30</v>
      </c>
      <c r="E191" s="12">
        <v>0</v>
      </c>
      <c r="F191" s="12">
        <v>30</v>
      </c>
      <c r="G191" s="13">
        <f>+VLOOKUP(Tabla1103453454455456479364422[[#This Row],[Ingrediente]],Tabla34[#All],3,0)</f>
        <v>24.714500000000001</v>
      </c>
      <c r="H191" s="14">
        <f>+Tabla1103453454455456479364422[[#This Row],[Costo]]*Tabla1103453454455456479364422[[#This Row],[Unidades]]</f>
        <v>741.43500000000006</v>
      </c>
      <c r="J191" s="8" t="s">
        <v>13</v>
      </c>
      <c r="K191" s="355">
        <f>+K189+K190</f>
        <v>20520.492750869998</v>
      </c>
      <c r="M191" s="377" t="s">
        <v>1463</v>
      </c>
    </row>
    <row r="192" spans="2:13" x14ac:dyDescent="0.3">
      <c r="B192" s="354" t="s">
        <v>174</v>
      </c>
      <c r="C192" s="11" t="s">
        <v>67</v>
      </c>
      <c r="D192" s="12">
        <v>5</v>
      </c>
      <c r="E192" s="12">
        <v>0</v>
      </c>
      <c r="F192" s="12">
        <v>5</v>
      </c>
      <c r="G192" s="13">
        <f>+VLOOKUP(Tabla1103453454455456479364422[[#This Row],[Ingrediente]],Tabla34[#All],3,0)</f>
        <v>84.475308639999994</v>
      </c>
      <c r="H192" s="14">
        <f>+Tabla1103453454455456479364422[[#This Row],[Costo]]*Tabla1103453454455456479364422[[#This Row],[Unidades]]</f>
        <v>422.37654319999996</v>
      </c>
      <c r="J192" s="20" t="s">
        <v>14</v>
      </c>
      <c r="K192" s="356">
        <v>85000</v>
      </c>
    </row>
    <row r="193" spans="2:13" x14ac:dyDescent="0.3">
      <c r="B193" s="354" t="s">
        <v>633</v>
      </c>
      <c r="C193" s="11" t="s">
        <v>67</v>
      </c>
      <c r="D193" s="12">
        <v>15.0000003</v>
      </c>
      <c r="E193" s="12">
        <v>5</v>
      </c>
      <c r="F193" s="12">
        <v>15.789474</v>
      </c>
      <c r="G193" s="13">
        <f>+VLOOKUP(Tabla1103453454455456479364422[[#This Row],[Ingrediente]],Tabla34[#All],3,0)</f>
        <v>27</v>
      </c>
      <c r="H193" s="14">
        <f>+Tabla1103453454455456479364422[[#This Row],[Costo]]*Tabla1103453454455456479364422[[#This Row],[Unidades]]</f>
        <v>426.31579800000003</v>
      </c>
      <c r="I193" s="4"/>
      <c r="J193" s="8" t="s">
        <v>15</v>
      </c>
      <c r="K193" s="355">
        <f>+K192/1.08*0.08</f>
        <v>6296.2962962962956</v>
      </c>
      <c r="M193" s="377" t="s">
        <v>1377</v>
      </c>
    </row>
    <row r="194" spans="2:13" x14ac:dyDescent="0.3">
      <c r="B194" s="354" t="s">
        <v>728</v>
      </c>
      <c r="C194" s="11" t="s">
        <v>67</v>
      </c>
      <c r="D194" s="12">
        <v>29.999999299999999</v>
      </c>
      <c r="E194" s="12">
        <v>59</v>
      </c>
      <c r="F194" s="12">
        <v>73.170730000000006</v>
      </c>
      <c r="G194" s="13">
        <f>+VLOOKUP(Tabla1103453454455456479364422[[#This Row],[Ingrediente]],Tabla34[#All],3,0)</f>
        <v>4.5</v>
      </c>
      <c r="H194" s="14">
        <f>+Tabla1103453454455456479364422[[#This Row],[Costo]]*Tabla1103453454455456479364422[[#This Row],[Unidades]]</f>
        <v>329.26828500000005</v>
      </c>
      <c r="I194" s="4"/>
      <c r="J194" s="8" t="s">
        <v>16</v>
      </c>
      <c r="K194" s="355">
        <f>+K192-K193</f>
        <v>78703.703703703708</v>
      </c>
      <c r="M194" s="346" t="s">
        <v>1419</v>
      </c>
    </row>
    <row r="195" spans="2:13" x14ac:dyDescent="0.3">
      <c r="B195" s="354" t="s">
        <v>674</v>
      </c>
      <c r="C195" s="11" t="s">
        <v>67</v>
      </c>
      <c r="D195" s="12">
        <v>39.999999549999998</v>
      </c>
      <c r="E195" s="12">
        <v>15</v>
      </c>
      <c r="F195" s="12">
        <v>47.058822999999997</v>
      </c>
      <c r="G195" s="13">
        <f>+VLOOKUP(Tabla1103453454455456479364422[[#This Row],[Ingrediente]],Tabla34[#All],3,0)</f>
        <v>4</v>
      </c>
      <c r="H195" s="14">
        <f>+Tabla1103453454455456479364422[[#This Row],[Costo]]*Tabla1103453454455456479364422[[#This Row],[Unidades]]</f>
        <v>188.23529199999999</v>
      </c>
      <c r="I195" s="4"/>
      <c r="J195" s="8" t="s">
        <v>17</v>
      </c>
      <c r="K195" s="358">
        <f>+K191/K194</f>
        <v>0.26073096671693646</v>
      </c>
      <c r="M195" s="346" t="s">
        <v>1420</v>
      </c>
    </row>
    <row r="196" spans="2:13" x14ac:dyDescent="0.3">
      <c r="B196" s="354" t="s">
        <v>828</v>
      </c>
      <c r="C196" s="11" t="s">
        <v>67</v>
      </c>
      <c r="D196" s="12">
        <v>15.000000200000001</v>
      </c>
      <c r="E196" s="12">
        <v>33</v>
      </c>
      <c r="F196" s="12">
        <v>22.388059999999999</v>
      </c>
      <c r="G196" s="13">
        <f>+VLOOKUP(Tabla1103453454455456479364422[[#This Row],[Ingrediente]],Tabla34[#All],3,0)</f>
        <v>9.8000000000000007</v>
      </c>
      <c r="H196" s="14">
        <f>+Tabla1103453454455456479364422[[#This Row],[Costo]]*Tabla1103453454455456479364422[[#This Row],[Unidades]]</f>
        <v>219.40298800000002</v>
      </c>
      <c r="I196" s="4"/>
      <c r="J196" s="8" t="s">
        <v>18</v>
      </c>
      <c r="K196" s="360">
        <f>+K194-K191</f>
        <v>58183.21095283371</v>
      </c>
      <c r="M196" s="346" t="s">
        <v>1464</v>
      </c>
    </row>
    <row r="197" spans="2:13" x14ac:dyDescent="0.3">
      <c r="B197" s="354" t="s">
        <v>220</v>
      </c>
      <c r="C197" s="11" t="s">
        <v>67</v>
      </c>
      <c r="D197" s="12">
        <v>120.0000005</v>
      </c>
      <c r="E197" s="12">
        <v>5</v>
      </c>
      <c r="F197" s="12">
        <v>126.31579000000001</v>
      </c>
      <c r="G197" s="13">
        <f>+VLOOKUP(Tabla1103453454455456479364422[[#This Row],[Ingrediente]],Tabla34[#All],3,0)</f>
        <v>4.5</v>
      </c>
      <c r="H197" s="14">
        <f>+Tabla1103453454455456479364422[[#This Row],[Costo]]*Tabla1103453454455456479364422[[#This Row],[Unidades]]</f>
        <v>568.42105500000002</v>
      </c>
      <c r="I197" s="4"/>
      <c r="J197" s="8" t="s">
        <v>19</v>
      </c>
      <c r="K197" s="361">
        <f>+K196/K191</f>
        <v>2.8353710439222732</v>
      </c>
    </row>
    <row r="198" spans="2:13" x14ac:dyDescent="0.3">
      <c r="B198" s="354" t="s">
        <v>687</v>
      </c>
      <c r="C198" s="11" t="s">
        <v>67</v>
      </c>
      <c r="D198" s="12">
        <v>40.000000759999999</v>
      </c>
      <c r="E198" s="12">
        <v>17</v>
      </c>
      <c r="F198" s="12">
        <v>48.192771999999998</v>
      </c>
      <c r="G198" s="13">
        <f>+VLOOKUP(Tabla1103453454455456479364422[[#This Row],[Ingrediente]],Tabla34[#All],3,0)</f>
        <v>2.8</v>
      </c>
      <c r="H198" s="14">
        <f>+Tabla1103453454455456479364422[[#This Row],[Costo]]*Tabla1103453454455456479364422[[#This Row],[Unidades]]</f>
        <v>134.9397616</v>
      </c>
      <c r="I198" s="4"/>
      <c r="J198" s="4"/>
      <c r="K198" s="369"/>
    </row>
    <row r="199" spans="2:13" x14ac:dyDescent="0.3">
      <c r="B199" s="371" t="s">
        <v>634</v>
      </c>
      <c r="C199" s="11" t="s">
        <v>67</v>
      </c>
      <c r="D199" s="12">
        <v>15</v>
      </c>
      <c r="E199" s="12">
        <v>0</v>
      </c>
      <c r="F199" s="12">
        <v>15</v>
      </c>
      <c r="G199" s="13">
        <f>+VLOOKUP(Tabla1103453454455456479364422[[#This Row],[Ingrediente]],Tabla34[#All],3,0)</f>
        <v>8.9250000000000007</v>
      </c>
      <c r="H199" s="14">
        <f>+Tabla1103453454455456479364422[[#This Row],[Costo]]*Tabla1103453454455456479364422[[#This Row],[Unidades]]</f>
        <v>133.875</v>
      </c>
      <c r="I199" s="4"/>
      <c r="K199" s="362"/>
    </row>
    <row r="200" spans="2:13" x14ac:dyDescent="0.3">
      <c r="B200" s="354" t="s">
        <v>42</v>
      </c>
      <c r="C200" s="11" t="s">
        <v>67</v>
      </c>
      <c r="D200" s="12">
        <v>10</v>
      </c>
      <c r="E200" s="12">
        <v>0</v>
      </c>
      <c r="F200" s="12">
        <v>10</v>
      </c>
      <c r="G200" s="13">
        <f>+VLOOKUP(Tabla1103453454455456479364422[[#This Row],[Ingrediente]],Tabla34[#All],3,0)</f>
        <v>12.66172066</v>
      </c>
      <c r="H200" s="14">
        <f>+Tabla1103453454455456479364422[[#This Row],[Costo]]*Tabla1103453454455456479364422[[#This Row],[Unidades]]</f>
        <v>126.6172066</v>
      </c>
      <c r="I200" s="27"/>
      <c r="K200" s="362"/>
    </row>
    <row r="201" spans="2:13" x14ac:dyDescent="0.3">
      <c r="B201" s="354" t="s">
        <v>89</v>
      </c>
      <c r="C201" s="11" t="s">
        <v>67</v>
      </c>
      <c r="D201" s="12">
        <v>2</v>
      </c>
      <c r="E201" s="12">
        <v>0</v>
      </c>
      <c r="F201" s="12">
        <v>2</v>
      </c>
      <c r="G201" s="13">
        <f>+VLOOKUP(Tabla1103453454455456479364422[[#This Row],[Ingrediente]],Tabla34[#All],3,0)</f>
        <v>2.4009999999999998</v>
      </c>
      <c r="H201" s="14">
        <f>+Tabla1103453454455456479364422[[#This Row],[Costo]]*Tabla1103453454455456479364422[[#This Row],[Unidades]]</f>
        <v>4.8019999999999996</v>
      </c>
      <c r="J201" s="27"/>
      <c r="K201" s="373"/>
    </row>
    <row r="202" spans="2:13" x14ac:dyDescent="0.3">
      <c r="B202" s="357"/>
      <c r="C202" s="17"/>
      <c r="D202" s="17"/>
      <c r="E202" s="17"/>
      <c r="F202" s="17"/>
      <c r="G202" s="18"/>
      <c r="H202" s="18">
        <f>SUBTOTAL(109,Tabla1103453454455456479364422[Total costo])</f>
        <v>19543.3264294</v>
      </c>
      <c r="I202" s="4"/>
      <c r="J202" s="27"/>
      <c r="K202" s="373"/>
    </row>
    <row r="203" spans="2:13" x14ac:dyDescent="0.3">
      <c r="B203" s="359"/>
      <c r="G203" s="4"/>
      <c r="H203" s="27"/>
      <c r="I203" s="27"/>
      <c r="K203" s="362"/>
    </row>
    <row r="204" spans="2:13" x14ac:dyDescent="0.3">
      <c r="G204" s="4"/>
      <c r="H204" s="27"/>
      <c r="I204" s="27"/>
    </row>
    <row r="205" spans="2:13" ht="15.6" x14ac:dyDescent="0.3">
      <c r="B205" s="1" t="s">
        <v>342</v>
      </c>
      <c r="C205" s="2"/>
      <c r="D205" s="2"/>
      <c r="E205" s="3"/>
      <c r="F205" s="3"/>
      <c r="G205" s="3"/>
      <c r="H205" s="3"/>
      <c r="I205" s="4"/>
      <c r="J205" s="78" t="s">
        <v>0</v>
      </c>
      <c r="K205" s="78"/>
      <c r="M205" s="377" t="s">
        <v>1394</v>
      </c>
    </row>
    <row r="206" spans="2:13" ht="26.4" x14ac:dyDescent="0.3">
      <c r="B206" s="71" t="s">
        <v>1</v>
      </c>
      <c r="C206" s="17" t="s">
        <v>2</v>
      </c>
      <c r="D206" s="72" t="s">
        <v>892</v>
      </c>
      <c r="E206" s="72" t="s">
        <v>893</v>
      </c>
      <c r="F206" s="72" t="s">
        <v>894</v>
      </c>
      <c r="G206" s="73" t="s">
        <v>4</v>
      </c>
      <c r="H206" s="73" t="s">
        <v>5</v>
      </c>
      <c r="J206" s="8" t="s">
        <v>6</v>
      </c>
      <c r="K206" s="9">
        <f>SUM(Tabla1103453454455456479364423[Total costo])</f>
        <v>6648.7591781999981</v>
      </c>
      <c r="M206" s="346" t="s">
        <v>1410</v>
      </c>
    </row>
    <row r="207" spans="2:13" x14ac:dyDescent="0.3">
      <c r="B207" s="10" t="s">
        <v>837</v>
      </c>
      <c r="C207" s="11" t="s">
        <v>847</v>
      </c>
      <c r="D207" s="12">
        <v>3</v>
      </c>
      <c r="E207" s="12">
        <v>0</v>
      </c>
      <c r="F207" s="12">
        <v>3</v>
      </c>
      <c r="G207" s="13">
        <f>+VLOOKUP(Tabla1103453454455456479364423[[#This Row],[Ingrediente]],Tabla34[#All],3,0)</f>
        <v>514.28</v>
      </c>
      <c r="H207" s="14">
        <f>+Tabla1103453454455456479364423[[#This Row],[Costo]]*Tabla1103453454455456479364423[[#This Row],[Unidades]]</f>
        <v>1542.84</v>
      </c>
      <c r="J207" s="8" t="s">
        <v>533</v>
      </c>
      <c r="K207" s="15">
        <f>+K206*5%</f>
        <v>332.43795890999991</v>
      </c>
    </row>
    <row r="208" spans="2:13" x14ac:dyDescent="0.3">
      <c r="B208" s="10" t="s">
        <v>596</v>
      </c>
      <c r="C208" s="11" t="s">
        <v>847</v>
      </c>
      <c r="D208" s="12">
        <v>2</v>
      </c>
      <c r="E208" s="12">
        <v>0</v>
      </c>
      <c r="F208" s="12">
        <v>2</v>
      </c>
      <c r="G208" s="13">
        <f>+VLOOKUP(Tabla1103453454455456479364423[[#This Row],[Ingrediente]],Tabla34[#All],3,0)</f>
        <v>750</v>
      </c>
      <c r="H208" s="14">
        <f>+Tabla1103453454455456479364423[[#This Row],[Costo]]*Tabla1103453454455456479364423[[#This Row],[Unidades]]</f>
        <v>1500</v>
      </c>
      <c r="I208" s="4"/>
      <c r="J208" s="8" t="s">
        <v>13</v>
      </c>
      <c r="K208" s="15">
        <f>+K206+K207</f>
        <v>6981.197137109998</v>
      </c>
      <c r="M208" s="377" t="s">
        <v>1377</v>
      </c>
    </row>
    <row r="209" spans="2:13" x14ac:dyDescent="0.3">
      <c r="B209" s="10" t="s">
        <v>620</v>
      </c>
      <c r="C209" s="11" t="s">
        <v>67</v>
      </c>
      <c r="D209" s="12">
        <v>29.9999988</v>
      </c>
      <c r="E209" s="12">
        <v>10</v>
      </c>
      <c r="F209" s="12">
        <v>33.333331999999999</v>
      </c>
      <c r="G209" s="13">
        <f>+VLOOKUP(Tabla1103453454455456479364423[[#This Row],[Ingrediente]],Tabla34[#All],3,0)</f>
        <v>39</v>
      </c>
      <c r="H209" s="14">
        <f>+Tabla1103453454455456479364423[[#This Row],[Costo]]*Tabla1103453454455456479364423[[#This Row],[Unidades]]</f>
        <v>1299.9999479999999</v>
      </c>
      <c r="I209" s="4"/>
      <c r="J209" s="20" t="s">
        <v>14</v>
      </c>
      <c r="K209" s="21">
        <v>35000</v>
      </c>
      <c r="M209" s="346" t="s">
        <v>1411</v>
      </c>
    </row>
    <row r="210" spans="2:13" x14ac:dyDescent="0.3">
      <c r="B210" s="10" t="s">
        <v>833</v>
      </c>
      <c r="C210" s="11" t="s">
        <v>67</v>
      </c>
      <c r="D210" s="12">
        <v>2</v>
      </c>
      <c r="E210" s="12">
        <v>0</v>
      </c>
      <c r="F210" s="12">
        <v>2</v>
      </c>
      <c r="G210" s="13">
        <f>+VLOOKUP(Tabla1103453454455456479364423[[#This Row],[Ingrediente]],Tabla34[#All],3,0)</f>
        <v>307.5</v>
      </c>
      <c r="H210" s="14">
        <f>+Tabla1103453454455456479364423[[#This Row],[Costo]]*Tabla1103453454455456479364423[[#This Row],[Unidades]]</f>
        <v>615</v>
      </c>
      <c r="I210" s="4"/>
      <c r="J210" s="8" t="s">
        <v>15</v>
      </c>
      <c r="K210" s="15">
        <f>+K209/1.08*0.08</f>
        <v>2592.5925925925926</v>
      </c>
    </row>
    <row r="211" spans="2:13" x14ac:dyDescent="0.3">
      <c r="B211" s="10" t="s">
        <v>36</v>
      </c>
      <c r="C211" s="11" t="s">
        <v>67</v>
      </c>
      <c r="D211" s="12">
        <v>20</v>
      </c>
      <c r="E211" s="12">
        <v>0</v>
      </c>
      <c r="F211" s="12">
        <v>20</v>
      </c>
      <c r="G211" s="13">
        <f>+VLOOKUP(Tabla1103453454455456479364423[[#This Row],[Ingrediente]],Tabla34[#All],3,0)</f>
        <v>11.13732628</v>
      </c>
      <c r="H211" s="14">
        <f>+Tabla1103453454455456479364423[[#This Row],[Costo]]*Tabla1103453454455456479364423[[#This Row],[Unidades]]</f>
        <v>222.74652559999998</v>
      </c>
      <c r="I211" s="4"/>
      <c r="J211" s="8" t="s">
        <v>16</v>
      </c>
      <c r="K211" s="15">
        <f>+K209-K210</f>
        <v>32407.407407407409</v>
      </c>
    </row>
    <row r="212" spans="2:13" x14ac:dyDescent="0.3">
      <c r="B212" s="10" t="s">
        <v>57</v>
      </c>
      <c r="C212" s="11" t="s">
        <v>67</v>
      </c>
      <c r="D212" s="12">
        <v>20</v>
      </c>
      <c r="E212" s="12">
        <v>0</v>
      </c>
      <c r="F212" s="12">
        <v>20</v>
      </c>
      <c r="G212" s="13">
        <f>+VLOOKUP(Tabla1103453454455456479364423[[#This Row],[Ingrediente]],Tabla34[#All],3,0)</f>
        <v>18.782608700000001</v>
      </c>
      <c r="H212" s="14">
        <f>+Tabla1103453454455456479364423[[#This Row],[Costo]]*Tabla1103453454455456479364423[[#This Row],[Unidades]]</f>
        <v>375.652174</v>
      </c>
      <c r="I212" s="4"/>
      <c r="J212" s="8" t="s">
        <v>17</v>
      </c>
      <c r="K212" s="22">
        <f>+K208/K211</f>
        <v>0.21541979737367994</v>
      </c>
    </row>
    <row r="213" spans="2:13" x14ac:dyDescent="0.3">
      <c r="B213" s="10" t="s">
        <v>50</v>
      </c>
      <c r="C213" s="11" t="s">
        <v>67</v>
      </c>
      <c r="D213" s="12">
        <v>30</v>
      </c>
      <c r="E213" s="12">
        <v>0</v>
      </c>
      <c r="F213" s="12">
        <v>30</v>
      </c>
      <c r="G213" s="13">
        <f>+VLOOKUP(Tabla1103453454455456479364423[[#This Row],[Ingrediente]],Tabla34[#All],3,0)</f>
        <v>15.28420193</v>
      </c>
      <c r="H213" s="14">
        <f>+Tabla1103453454455456479364423[[#This Row],[Costo]]*Tabla1103453454455456479364423[[#This Row],[Unidades]]</f>
        <v>458.52605790000001</v>
      </c>
      <c r="I213" s="4"/>
      <c r="J213" s="8" t="s">
        <v>18</v>
      </c>
      <c r="K213" s="23">
        <f>+K211-K208</f>
        <v>25426.210270297412</v>
      </c>
    </row>
    <row r="214" spans="2:13" x14ac:dyDescent="0.3">
      <c r="B214" s="10" t="s">
        <v>126</v>
      </c>
      <c r="C214" s="11" t="s">
        <v>67</v>
      </c>
      <c r="D214" s="12">
        <v>15</v>
      </c>
      <c r="E214" s="12">
        <v>0</v>
      </c>
      <c r="F214" s="12">
        <v>15</v>
      </c>
      <c r="G214" s="13">
        <f>+VLOOKUP(Tabla1103453454455456479364423[[#This Row],[Ingrediente]],Tabla34[#All],3,0)</f>
        <v>22.061498180000001</v>
      </c>
      <c r="H214" s="14">
        <f>+Tabla1103453454455456479364423[[#This Row],[Costo]]*Tabla1103453454455456479364423[[#This Row],[Unidades]]</f>
        <v>330.92247270000001</v>
      </c>
      <c r="I214" s="4"/>
      <c r="J214" s="8" t="s">
        <v>19</v>
      </c>
      <c r="K214" s="25">
        <f>+K213/K208</f>
        <v>3.6420988794513667</v>
      </c>
    </row>
    <row r="215" spans="2:13" x14ac:dyDescent="0.3">
      <c r="B215" s="10" t="s">
        <v>214</v>
      </c>
      <c r="C215" s="11" t="s">
        <v>67</v>
      </c>
      <c r="D215" s="12">
        <v>20</v>
      </c>
      <c r="E215" s="12">
        <v>0</v>
      </c>
      <c r="F215" s="12">
        <v>20</v>
      </c>
      <c r="G215" s="13">
        <f>+VLOOKUP(Tabla1103453454455456479364423[[#This Row],[Ingrediente]],Tabla34[#All],3,0)</f>
        <v>13.02</v>
      </c>
      <c r="H215" s="14">
        <f>+Tabla1103453454455456479364423[[#This Row],[Costo]]*Tabla1103453454455456479364423[[#This Row],[Unidades]]</f>
        <v>260.39999999999998</v>
      </c>
      <c r="I215" s="4"/>
      <c r="J215" s="4"/>
      <c r="K215" s="26"/>
    </row>
    <row r="216" spans="2:13" x14ac:dyDescent="0.3">
      <c r="B216" s="10" t="s">
        <v>312</v>
      </c>
      <c r="C216" s="11" t="s">
        <v>67</v>
      </c>
      <c r="D216" s="12">
        <v>10</v>
      </c>
      <c r="E216" s="12">
        <v>0</v>
      </c>
      <c r="F216" s="12">
        <v>10</v>
      </c>
      <c r="G216" s="13">
        <f>+VLOOKUP(Tabla1103453454455456479364423[[#This Row],[Ingrediente]],Tabla34[#All],3,0)</f>
        <v>4.2671999999999999</v>
      </c>
      <c r="H216" s="14">
        <f>+Tabla1103453454455456479364423[[#This Row],[Costo]]*Tabla1103453454455456479364423[[#This Row],[Unidades]]</f>
        <v>42.671999999999997</v>
      </c>
      <c r="I216" s="4"/>
    </row>
    <row r="217" spans="2:13" x14ac:dyDescent="0.3">
      <c r="B217" s="16"/>
      <c r="C217" s="17"/>
      <c r="D217" s="17"/>
      <c r="E217" s="17"/>
      <c r="F217" s="17"/>
      <c r="G217" s="18"/>
      <c r="H217" s="18">
        <f>SUBTOTAL(109,Tabla1103453454455456479364423[Total costo])</f>
        <v>6648.7591781999981</v>
      </c>
      <c r="I217" s="4"/>
    </row>
    <row r="218" spans="2:13" x14ac:dyDescent="0.3">
      <c r="G218" s="4"/>
    </row>
    <row r="219" spans="2:13" ht="15.6" x14ac:dyDescent="0.3">
      <c r="B219" s="1" t="s">
        <v>875</v>
      </c>
      <c r="C219" s="2"/>
      <c r="D219" s="2"/>
      <c r="E219" s="3"/>
      <c r="F219" s="3"/>
      <c r="G219" s="3"/>
      <c r="H219" s="3"/>
      <c r="I219" s="4"/>
      <c r="J219" s="78" t="s">
        <v>0</v>
      </c>
      <c r="K219" s="78"/>
      <c r="M219" s="377" t="s">
        <v>1394</v>
      </c>
    </row>
    <row r="220" spans="2:13" ht="26.4" x14ac:dyDescent="0.3">
      <c r="B220" s="71" t="s">
        <v>1</v>
      </c>
      <c r="C220" s="17" t="s">
        <v>2</v>
      </c>
      <c r="D220" s="72" t="s">
        <v>892</v>
      </c>
      <c r="E220" s="72" t="s">
        <v>893</v>
      </c>
      <c r="F220" s="72" t="s">
        <v>894</v>
      </c>
      <c r="G220" s="73" t="s">
        <v>4</v>
      </c>
      <c r="H220" s="73" t="s">
        <v>5</v>
      </c>
      <c r="J220" s="8" t="s">
        <v>6</v>
      </c>
      <c r="K220" s="9">
        <f>SUM(Tabla110345345445545647936442371[Total costo])</f>
        <v>8583.2578831684004</v>
      </c>
      <c r="M220" s="346" t="s">
        <v>1410</v>
      </c>
    </row>
    <row r="221" spans="2:13" x14ac:dyDescent="0.3">
      <c r="B221" s="10" t="s">
        <v>155</v>
      </c>
      <c r="C221" s="11" t="s">
        <v>847</v>
      </c>
      <c r="D221" s="12">
        <v>0.15</v>
      </c>
      <c r="E221" s="12">
        <v>0</v>
      </c>
      <c r="F221" s="12">
        <v>0.15</v>
      </c>
      <c r="G221" s="13">
        <f>+VLOOKUP(Tabla110345345445545647936442371[[#This Row],[Ingrediente]],Tabla34[#All],3,0)</f>
        <v>13895.99832975</v>
      </c>
      <c r="H221" s="14">
        <f>+Tabla110345345445545647936442371[[#This Row],[Costo]]*Tabla110345345445545647936442371[[#This Row],[Unidades]]</f>
        <v>2084.3997494625</v>
      </c>
      <c r="I221" s="4"/>
      <c r="J221" s="8" t="s">
        <v>533</v>
      </c>
      <c r="K221" s="15">
        <f>+K220*5%</f>
        <v>429.16289415842004</v>
      </c>
    </row>
    <row r="222" spans="2:13" x14ac:dyDescent="0.3">
      <c r="B222" s="10" t="s">
        <v>315</v>
      </c>
      <c r="C222" s="11" t="s">
        <v>847</v>
      </c>
      <c r="D222" s="12">
        <v>0.33</v>
      </c>
      <c r="E222" s="12">
        <v>0</v>
      </c>
      <c r="F222" s="12">
        <v>0.33</v>
      </c>
      <c r="G222" s="13">
        <f>+VLOOKUP(Tabla110345345445545647936442371[[#This Row],[Ingrediente]],Tabla34[#All],3,0)</f>
        <v>9017.9941012300005</v>
      </c>
      <c r="H222" s="14">
        <f>+Tabla110345345445545647936442371[[#This Row],[Costo]]*Tabla110345345445545647936442371[[#This Row],[Unidades]]</f>
        <v>2975.9380534059005</v>
      </c>
      <c r="J222" s="8" t="s">
        <v>13</v>
      </c>
      <c r="K222" s="15">
        <f>+K220+K221</f>
        <v>9012.4207773268208</v>
      </c>
      <c r="M222" s="377" t="s">
        <v>1377</v>
      </c>
    </row>
    <row r="223" spans="2:13" x14ac:dyDescent="0.3">
      <c r="B223" s="24" t="s">
        <v>596</v>
      </c>
      <c r="C223" s="11" t="s">
        <v>847</v>
      </c>
      <c r="D223" s="12">
        <v>2</v>
      </c>
      <c r="E223" s="12">
        <v>0</v>
      </c>
      <c r="F223" s="12">
        <v>2</v>
      </c>
      <c r="G223" s="13">
        <f>+VLOOKUP(Tabla110345345445545647936442371[[#This Row],[Ingrediente]],Tabla34[#All],3,0)</f>
        <v>750</v>
      </c>
      <c r="H223" s="14">
        <f>+Tabla110345345445545647936442371[[#This Row],[Costo]]*Tabla110345345445545647936442371[[#This Row],[Unidades]]</f>
        <v>1500</v>
      </c>
      <c r="I223" s="4"/>
      <c r="J223" s="20" t="s">
        <v>14</v>
      </c>
      <c r="K223" s="21">
        <v>35000</v>
      </c>
      <c r="M223" s="346" t="s">
        <v>1411</v>
      </c>
    </row>
    <row r="224" spans="2:13" x14ac:dyDescent="0.3">
      <c r="B224" s="10" t="s">
        <v>833</v>
      </c>
      <c r="C224" s="11" t="s">
        <v>67</v>
      </c>
      <c r="D224" s="12">
        <v>2</v>
      </c>
      <c r="E224" s="12">
        <v>0</v>
      </c>
      <c r="F224" s="12">
        <v>2</v>
      </c>
      <c r="G224" s="13">
        <f>+VLOOKUP(Tabla110345345445545647936442371[[#This Row],[Ingrediente]],Tabla34[#All],3,0)</f>
        <v>307.5</v>
      </c>
      <c r="H224" s="14">
        <f>+Tabla110345345445545647936442371[[#This Row],[Costo]]*Tabla110345345445545647936442371[[#This Row],[Unidades]]</f>
        <v>615</v>
      </c>
      <c r="I224" s="4"/>
      <c r="J224" s="8" t="s">
        <v>15</v>
      </c>
      <c r="K224" s="15">
        <f>+K223/1.08*0.08</f>
        <v>2592.5925925925926</v>
      </c>
    </row>
    <row r="225" spans="2:13" x14ac:dyDescent="0.3">
      <c r="B225" s="10" t="s">
        <v>844</v>
      </c>
      <c r="C225" s="11" t="s">
        <v>67</v>
      </c>
      <c r="D225" s="12">
        <v>10</v>
      </c>
      <c r="E225" s="12">
        <v>0</v>
      </c>
      <c r="F225" s="12">
        <v>10</v>
      </c>
      <c r="G225" s="13">
        <f>+VLOOKUP(Tabla110345345445545647936442371[[#This Row],[Ingrediente]],Tabla34[#All],3,0)</f>
        <v>4.7923322800000001</v>
      </c>
      <c r="H225" s="14">
        <f>+Tabla110345345445545647936442371[[#This Row],[Costo]]*Tabla110345345445545647936442371[[#This Row],[Unidades]]</f>
        <v>47.923322800000001</v>
      </c>
      <c r="I225" s="4"/>
      <c r="J225" s="8" t="s">
        <v>16</v>
      </c>
      <c r="K225" s="15">
        <f>+K223-K224</f>
        <v>32407.407407407409</v>
      </c>
    </row>
    <row r="226" spans="2:13" x14ac:dyDescent="0.3">
      <c r="B226" s="10" t="s">
        <v>36</v>
      </c>
      <c r="C226" s="11" t="s">
        <v>67</v>
      </c>
      <c r="D226" s="12">
        <v>20</v>
      </c>
      <c r="E226" s="12">
        <v>0</v>
      </c>
      <c r="F226" s="12">
        <v>20</v>
      </c>
      <c r="G226" s="13">
        <f>+VLOOKUP(Tabla110345345445545647936442371[[#This Row],[Ingrediente]],Tabla34[#All],3,0)</f>
        <v>11.13732628</v>
      </c>
      <c r="H226" s="14">
        <f>+Tabla110345345445545647936442371[[#This Row],[Costo]]*Tabla110345345445545647936442371[[#This Row],[Unidades]]</f>
        <v>222.74652559999998</v>
      </c>
      <c r="I226" s="4"/>
      <c r="J226" s="8" t="s">
        <v>17</v>
      </c>
      <c r="K226" s="22">
        <f>+K222/K225</f>
        <v>0.27809755541465619</v>
      </c>
    </row>
    <row r="227" spans="2:13" x14ac:dyDescent="0.3">
      <c r="B227" s="10" t="s">
        <v>57</v>
      </c>
      <c r="C227" s="11" t="s">
        <v>67</v>
      </c>
      <c r="D227" s="12">
        <v>20</v>
      </c>
      <c r="E227" s="12">
        <v>0</v>
      </c>
      <c r="F227" s="12">
        <v>20</v>
      </c>
      <c r="G227" s="13">
        <f>+VLOOKUP(Tabla110345345445545647936442371[[#This Row],[Ingrediente]],Tabla34[#All],3,0)</f>
        <v>18.782608700000001</v>
      </c>
      <c r="H227" s="14">
        <f>+Tabla110345345445545647936442371[[#This Row],[Costo]]*Tabla110345345445545647936442371[[#This Row],[Unidades]]</f>
        <v>375.652174</v>
      </c>
      <c r="I227" s="4"/>
      <c r="J227" s="8" t="s">
        <v>18</v>
      </c>
      <c r="K227" s="23">
        <f>+K225-K222</f>
        <v>23394.986630080588</v>
      </c>
    </row>
    <row r="228" spans="2:13" x14ac:dyDescent="0.3">
      <c r="B228" s="10" t="s">
        <v>50</v>
      </c>
      <c r="C228" s="11" t="s">
        <v>67</v>
      </c>
      <c r="D228" s="12">
        <v>30</v>
      </c>
      <c r="E228" s="12">
        <v>0</v>
      </c>
      <c r="F228" s="12">
        <v>30</v>
      </c>
      <c r="G228" s="13">
        <f>+VLOOKUP(Tabla110345345445545647936442371[[#This Row],[Ingrediente]],Tabla34[#All],3,0)</f>
        <v>15.28420193</v>
      </c>
      <c r="H228" s="14">
        <f>+Tabla110345345445545647936442371[[#This Row],[Costo]]*Tabla110345345445545647936442371[[#This Row],[Unidades]]</f>
        <v>458.52605790000001</v>
      </c>
      <c r="I228" s="27"/>
      <c r="J228" s="8" t="s">
        <v>19</v>
      </c>
      <c r="K228" s="25">
        <f>+K227/K222</f>
        <v>2.595860447277051</v>
      </c>
    </row>
    <row r="229" spans="2:13" x14ac:dyDescent="0.3">
      <c r="B229" s="10" t="s">
        <v>214</v>
      </c>
      <c r="C229" s="11" t="s">
        <v>67</v>
      </c>
      <c r="D229" s="12">
        <v>20</v>
      </c>
      <c r="E229" s="12">
        <v>0</v>
      </c>
      <c r="F229" s="12">
        <v>20</v>
      </c>
      <c r="G229" s="13">
        <f>+VLOOKUP(Tabla110345345445545647936442371[[#This Row],[Ingrediente]],Tabla34[#All],3,0)</f>
        <v>13.02</v>
      </c>
      <c r="H229" s="14">
        <f>+Tabla110345345445545647936442371[[#This Row],[Costo]]*Tabla110345345445545647936442371[[#This Row],[Unidades]]</f>
        <v>260.39999999999998</v>
      </c>
      <c r="J229" s="4"/>
      <c r="K229" s="26"/>
    </row>
    <row r="230" spans="2:13" x14ac:dyDescent="0.3">
      <c r="B230" s="10" t="s">
        <v>312</v>
      </c>
      <c r="C230" s="11" t="s">
        <v>67</v>
      </c>
      <c r="D230" s="12">
        <v>10</v>
      </c>
      <c r="E230" s="12">
        <v>0</v>
      </c>
      <c r="F230" s="12">
        <v>10</v>
      </c>
      <c r="G230" s="13">
        <f>+VLOOKUP(Tabla110345345445545647936442371[[#This Row],[Ingrediente]],Tabla34[#All],3,0)</f>
        <v>4.2671999999999999</v>
      </c>
      <c r="H230" s="14">
        <f>+Tabla110345345445545647936442371[[#This Row],[Costo]]*Tabla110345345445545647936442371[[#This Row],[Unidades]]</f>
        <v>42.671999999999997</v>
      </c>
      <c r="I230" s="4"/>
    </row>
    <row r="231" spans="2:13" x14ac:dyDescent="0.3">
      <c r="B231" s="16"/>
      <c r="C231" s="17"/>
      <c r="D231" s="17"/>
      <c r="E231" s="17"/>
      <c r="F231" s="17"/>
      <c r="G231" s="18"/>
      <c r="H231" s="18">
        <f>SUBTOTAL(109,Tabla110345345445545647936442371[Total costo])</f>
        <v>8583.2578831684004</v>
      </c>
      <c r="I231" s="4"/>
    </row>
    <row r="232" spans="2:13" x14ac:dyDescent="0.3">
      <c r="G232" s="4"/>
    </row>
    <row r="233" spans="2:13" ht="15.6" x14ac:dyDescent="0.3">
      <c r="B233" s="1" t="s">
        <v>343</v>
      </c>
      <c r="C233" s="2"/>
      <c r="D233" s="2"/>
      <c r="E233" s="3"/>
      <c r="F233" s="3"/>
      <c r="G233" s="3"/>
      <c r="H233" s="3"/>
      <c r="I233" s="4"/>
      <c r="J233" s="78" t="s">
        <v>0</v>
      </c>
      <c r="K233" s="78"/>
      <c r="M233" s="377" t="s">
        <v>1394</v>
      </c>
    </row>
    <row r="234" spans="2:13" x14ac:dyDescent="0.3">
      <c r="B234" s="5" t="s">
        <v>1</v>
      </c>
      <c r="C234" s="6" t="s">
        <v>2</v>
      </c>
      <c r="D234" s="6" t="s">
        <v>3</v>
      </c>
      <c r="E234" s="6" t="s">
        <v>920</v>
      </c>
      <c r="F234" s="6" t="s">
        <v>319</v>
      </c>
      <c r="G234" s="7" t="s">
        <v>4</v>
      </c>
      <c r="H234" s="7" t="s">
        <v>5</v>
      </c>
      <c r="J234" s="8" t="s">
        <v>6</v>
      </c>
      <c r="K234" s="9">
        <f>SUM(Tabla11034534544554564793644237172[Total costo])</f>
        <v>7964.7291277543336</v>
      </c>
      <c r="M234" s="346" t="s">
        <v>1410</v>
      </c>
    </row>
    <row r="235" spans="2:13" x14ac:dyDescent="0.3">
      <c r="B235" s="10" t="s">
        <v>833</v>
      </c>
      <c r="C235" s="11" t="s">
        <v>67</v>
      </c>
      <c r="D235" s="12">
        <v>1</v>
      </c>
      <c r="E235" s="12"/>
      <c r="F235" s="12"/>
      <c r="G235" s="13">
        <f>+VLOOKUP(Tabla11034534544554564793644237172[[#This Row],[Ingrediente]],Tabla34[#All],3,0)</f>
        <v>307.5</v>
      </c>
      <c r="H235" s="14">
        <f>+Tabla11034534544554564793644237172[[#This Row],[Costo]]*Tabla11034534544554564793644237172[[#This Row],[Cant.]]</f>
        <v>307.5</v>
      </c>
      <c r="I235" s="4"/>
      <c r="J235" s="8" t="s">
        <v>533</v>
      </c>
      <c r="K235" s="15">
        <f>+K234*5%</f>
        <v>398.23645638771671</v>
      </c>
    </row>
    <row r="236" spans="2:13" x14ac:dyDescent="0.3">
      <c r="B236" s="10" t="s">
        <v>315</v>
      </c>
      <c r="C236" s="11" t="s">
        <v>847</v>
      </c>
      <c r="D236" s="12">
        <v>0.3</v>
      </c>
      <c r="E236" s="12"/>
      <c r="F236" s="12"/>
      <c r="G236" s="13">
        <f>+VLOOKUP(Tabla11034534544554564793644237172[[#This Row],[Ingrediente]],Tabla34[#All],3,0)</f>
        <v>9017.9941012300005</v>
      </c>
      <c r="H236" s="14">
        <v>75.510204081632651</v>
      </c>
      <c r="J236" s="8" t="s">
        <v>13</v>
      </c>
      <c r="K236" s="15">
        <f>+K234+K235</f>
        <v>8362.9655841420499</v>
      </c>
      <c r="M236" s="377" t="s">
        <v>1377</v>
      </c>
    </row>
    <row r="237" spans="2:13" x14ac:dyDescent="0.3">
      <c r="B237" s="10" t="s">
        <v>50</v>
      </c>
      <c r="C237" s="11" t="s">
        <v>67</v>
      </c>
      <c r="D237" s="12">
        <v>15</v>
      </c>
      <c r="E237" s="12"/>
      <c r="F237" s="12"/>
      <c r="G237" s="13">
        <f>+VLOOKUP(Tabla11034534544554564793644237172[[#This Row],[Ingrediente]],Tabla34[#All],3,0)</f>
        <v>15.28420193</v>
      </c>
      <c r="H237" s="14">
        <f>+Tabla11034534544554564793644237172[[#This Row],[Costo]]*Tabla11034534544554564793644237172[[#This Row],[Cant.]]</f>
        <v>229.26302895000001</v>
      </c>
      <c r="J237" s="20" t="s">
        <v>14</v>
      </c>
      <c r="K237" s="21">
        <v>35000</v>
      </c>
      <c r="M237" s="346" t="s">
        <v>1411</v>
      </c>
    </row>
    <row r="238" spans="2:13" x14ac:dyDescent="0.3">
      <c r="B238" s="10" t="s">
        <v>153</v>
      </c>
      <c r="C238" s="11" t="s">
        <v>67</v>
      </c>
      <c r="D238" s="12">
        <v>8</v>
      </c>
      <c r="E238" s="12"/>
      <c r="F238" s="12"/>
      <c r="G238" s="13">
        <f>+VLOOKUP(Tabla11034534544554564793644237172[[#This Row],[Ingrediente]],Tabla34[#All],3,0)</f>
        <v>6.8023849399999996</v>
      </c>
      <c r="H238" s="14">
        <f>+Tabla11034534544554564793644237172[[#This Row],[Costo]]*Tabla11034534544554564793644237172[[#This Row],[Cant.]]</f>
        <v>54.419079519999997</v>
      </c>
      <c r="J238" s="8" t="s">
        <v>15</v>
      </c>
      <c r="K238" s="15">
        <f>+K237/1.08*0.08</f>
        <v>2592.5925925925926</v>
      </c>
    </row>
    <row r="239" spans="2:13" x14ac:dyDescent="0.3">
      <c r="B239" s="24" t="s">
        <v>596</v>
      </c>
      <c r="C239" s="11" t="s">
        <v>847</v>
      </c>
      <c r="D239" s="12">
        <v>1</v>
      </c>
      <c r="E239" s="12"/>
      <c r="F239" s="12"/>
      <c r="G239" s="13">
        <f>+VLOOKUP(Tabla11034534544554564793644237172[[#This Row],[Ingrediente]],Tabla34[#All],3,0)</f>
        <v>750</v>
      </c>
      <c r="H239" s="14">
        <f>+Tabla11034534544554564793644237172[[#This Row],[Costo]]*Tabla11034534544554564793644237172[[#This Row],[Cant.]]</f>
        <v>750</v>
      </c>
      <c r="J239" s="8" t="s">
        <v>16</v>
      </c>
      <c r="K239" s="15">
        <f>+K237-K238</f>
        <v>32407.407407407409</v>
      </c>
    </row>
    <row r="240" spans="2:13" x14ac:dyDescent="0.3">
      <c r="B240" s="10" t="s">
        <v>833</v>
      </c>
      <c r="C240" s="11" t="s">
        <v>67</v>
      </c>
      <c r="D240" s="12">
        <v>1</v>
      </c>
      <c r="E240" s="12"/>
      <c r="F240" s="12"/>
      <c r="G240" s="13">
        <f>+VLOOKUP(Tabla11034534544554564793644237172[[#This Row],[Ingrediente]],Tabla34[#All],3,0)</f>
        <v>307.5</v>
      </c>
      <c r="H240" s="14">
        <f>+Tabla11034534544554564793644237172[[#This Row],[Costo]]*Tabla11034534544554564793644237172[[#This Row],[Cant.]]</f>
        <v>307.5</v>
      </c>
      <c r="J240" s="8" t="s">
        <v>17</v>
      </c>
      <c r="K240" s="22">
        <f>+K236/K239</f>
        <v>0.25805722373924039</v>
      </c>
    </row>
    <row r="241" spans="2:11" x14ac:dyDescent="0.3">
      <c r="B241" s="10" t="s">
        <v>832</v>
      </c>
      <c r="C241" s="11" t="s">
        <v>67</v>
      </c>
      <c r="D241" s="12">
        <v>16.129031999999999</v>
      </c>
      <c r="E241" s="12"/>
      <c r="F241" s="12"/>
      <c r="G241" s="13">
        <f>+VLOOKUP(Tabla11034534544554564793644237172[[#This Row],[Ingrediente]],Tabla34[#All],3,0)</f>
        <v>4.8</v>
      </c>
      <c r="H241" s="14">
        <v>204.42454708520179</v>
      </c>
      <c r="J241" s="8" t="s">
        <v>18</v>
      </c>
      <c r="K241" s="23">
        <f>+K239-K236</f>
        <v>24044.441823265359</v>
      </c>
    </row>
    <row r="242" spans="2:11" x14ac:dyDescent="0.3">
      <c r="B242" s="10" t="s">
        <v>102</v>
      </c>
      <c r="C242" s="11" t="s">
        <v>605</v>
      </c>
      <c r="D242" s="12">
        <v>0.25</v>
      </c>
      <c r="E242" s="12"/>
      <c r="F242" s="12"/>
      <c r="G242" s="13">
        <f>+VLOOKUP(Tabla11034534544554564793644237172[[#This Row],[Ingrediente]],Tabla34[#All],3,0)</f>
        <v>2471.7916666699998</v>
      </c>
      <c r="H242" s="14">
        <f>+Tabla11034534544554564793644237172[[#This Row],[Costo]]*Tabla11034534544554564793644237172[[#This Row],[Cant.]]</f>
        <v>617.94791666749995</v>
      </c>
      <c r="J242" s="8" t="s">
        <v>19</v>
      </c>
      <c r="K242" s="25">
        <f>+K241/K236</f>
        <v>2.8751095028848024</v>
      </c>
    </row>
    <row r="243" spans="2:11" x14ac:dyDescent="0.3">
      <c r="B243" s="10" t="s">
        <v>50</v>
      </c>
      <c r="C243" s="11" t="s">
        <v>67</v>
      </c>
      <c r="D243" s="12">
        <v>15</v>
      </c>
      <c r="E243" s="12"/>
      <c r="F243" s="12"/>
      <c r="G243" s="13">
        <f>+VLOOKUP(Tabla11034534544554564793644237172[[#This Row],[Ingrediente]],Tabla34[#All],3,0)</f>
        <v>15.28420193</v>
      </c>
      <c r="H243" s="14">
        <f>+Tabla11034534544554564793644237172[[#This Row],[Costo]]*Tabla11034534544554564793644237172[[#This Row],[Cant.]]</f>
        <v>229.26302895000001</v>
      </c>
      <c r="J243" s="4"/>
      <c r="K243" s="26"/>
    </row>
    <row r="244" spans="2:11" x14ac:dyDescent="0.3">
      <c r="B244" s="10" t="s">
        <v>153</v>
      </c>
      <c r="C244" s="11" t="s">
        <v>67</v>
      </c>
      <c r="D244" s="12">
        <v>7.5</v>
      </c>
      <c r="E244" s="12"/>
      <c r="F244" s="12"/>
      <c r="G244" s="13">
        <f>+VLOOKUP(Tabla11034534544554564793644237172[[#This Row],[Ingrediente]],Tabla34[#All],3,0)</f>
        <v>6.8023849399999996</v>
      </c>
      <c r="H244" s="14">
        <v>577.5</v>
      </c>
    </row>
    <row r="245" spans="2:11" x14ac:dyDescent="0.3">
      <c r="B245" s="10" t="s">
        <v>155</v>
      </c>
      <c r="C245" s="11" t="s">
        <v>847</v>
      </c>
      <c r="D245" s="12">
        <v>0.33</v>
      </c>
      <c r="E245" s="12"/>
      <c r="F245" s="12"/>
      <c r="G245" s="13">
        <f>+VLOOKUP(Tabla11034534544554564793644237172[[#This Row],[Ingrediente]],Tabla34[#All],3,0)</f>
        <v>13895.99832975</v>
      </c>
      <c r="H245" s="14">
        <v>3211.4013224999999</v>
      </c>
    </row>
    <row r="246" spans="2:11" x14ac:dyDescent="0.3">
      <c r="B246" s="10" t="s">
        <v>596</v>
      </c>
      <c r="C246" s="11" t="s">
        <v>847</v>
      </c>
      <c r="D246" s="12">
        <v>1</v>
      </c>
      <c r="E246" s="12"/>
      <c r="F246" s="12"/>
      <c r="G246" s="13">
        <f>+VLOOKUP(Tabla11034534544554564793644237172[[#This Row],[Ingrediente]],Tabla34[#All],3,0)</f>
        <v>750</v>
      </c>
      <c r="H246" s="14">
        <v>1400</v>
      </c>
    </row>
    <row r="247" spans="2:11" x14ac:dyDescent="0.3">
      <c r="B247" s="16"/>
      <c r="C247" s="17"/>
      <c r="D247" s="17"/>
      <c r="E247" s="17"/>
      <c r="F247" s="17"/>
      <c r="G247" s="18"/>
      <c r="H247" s="18">
        <f>SUBTOTAL(109,Tabla11034534544554564793644237172[Total costo])</f>
        <v>7964.7291277543336</v>
      </c>
    </row>
    <row r="251" spans="2:11" x14ac:dyDescent="0.3">
      <c r="B251" s="1" t="s">
        <v>592</v>
      </c>
      <c r="C251" s="2"/>
      <c r="D251" s="2"/>
      <c r="E251" s="3"/>
      <c r="F251" s="3"/>
      <c r="G251" s="3"/>
      <c r="H251" s="3"/>
      <c r="I251" s="4"/>
      <c r="J251" s="78" t="s">
        <v>0</v>
      </c>
      <c r="K251" s="78"/>
    </row>
    <row r="252" spans="2:11" x14ac:dyDescent="0.3">
      <c r="B252" s="5" t="s">
        <v>1</v>
      </c>
      <c r="C252" s="6" t="s">
        <v>2</v>
      </c>
      <c r="D252" s="6" t="s">
        <v>3</v>
      </c>
      <c r="E252" s="6" t="s">
        <v>920</v>
      </c>
      <c r="F252" s="6" t="s">
        <v>319</v>
      </c>
      <c r="G252" s="7" t="s">
        <v>4</v>
      </c>
      <c r="H252" s="7" t="s">
        <v>5</v>
      </c>
      <c r="I252" s="40"/>
      <c r="J252" s="8" t="s">
        <v>6</v>
      </c>
      <c r="K252" s="9">
        <f>SUM(Tabla110345345445545647945586877869510811712713622823724627233260269297315316348494493498503310[Total costo])</f>
        <v>14711.320549479999</v>
      </c>
    </row>
    <row r="253" spans="2:11" x14ac:dyDescent="0.3">
      <c r="B253" s="10" t="s">
        <v>229</v>
      </c>
      <c r="C253" s="11" t="s">
        <v>67</v>
      </c>
      <c r="D253" s="12">
        <v>30</v>
      </c>
      <c r="E253" s="12">
        <v>0</v>
      </c>
      <c r="F253" s="12">
        <v>30</v>
      </c>
      <c r="G253" s="13">
        <f>+VLOOKUP(Tabla110345345445545647945586877869510811712713622823724627233260269297315316348494493498503310[[#This Row],[Ingrediente]],Tabla34[#All],3,0)</f>
        <v>24.714500000000001</v>
      </c>
      <c r="H253" s="14">
        <f>+Tabla110345345445545647945586877869510811712713622823724627233260269297315316348494493498503310[[#This Row],[Costo]]*Tabla110345345445545647945586877869510811712713622823724627233260269297315316348494493498503310[[#This Row],[Columna2]]</f>
        <v>741.43500000000006</v>
      </c>
      <c r="I253" s="40"/>
      <c r="J253" s="8" t="s">
        <v>533</v>
      </c>
      <c r="K253" s="15">
        <f>+K252*5%</f>
        <v>735.56602747399995</v>
      </c>
    </row>
    <row r="254" spans="2:11" x14ac:dyDescent="0.3">
      <c r="B254" s="10" t="s">
        <v>1069</v>
      </c>
      <c r="C254" s="11" t="s">
        <v>67</v>
      </c>
      <c r="D254" s="12">
        <v>50</v>
      </c>
      <c r="E254" s="12">
        <v>0</v>
      </c>
      <c r="F254" s="12">
        <v>50</v>
      </c>
      <c r="G254" s="13">
        <f>+VLOOKUP(Tabla110345345445545647945586877869510811712713622823724627233260269297315316348494493498503310[[#This Row],[Ingrediente]],Tabla34[#All],3,0)</f>
        <v>57.12</v>
      </c>
      <c r="H254" s="14">
        <f>+Tabla110345345445545647945586877869510811712713622823724627233260269297315316348494493498503310[[#This Row],[Costo]]*Tabla110345345445545647945586877869510811712713622823724627233260269297315316348494493498503310[[#This Row],[Columna2]]</f>
        <v>2856</v>
      </c>
      <c r="I254" s="40"/>
      <c r="J254" s="8" t="s">
        <v>13</v>
      </c>
      <c r="K254" s="15">
        <f>+K252+K253</f>
        <v>15446.886576953999</v>
      </c>
    </row>
    <row r="255" spans="2:11" x14ac:dyDescent="0.3">
      <c r="B255" s="10" t="s">
        <v>596</v>
      </c>
      <c r="C255" s="11" t="s">
        <v>847</v>
      </c>
      <c r="D255" s="12">
        <v>2</v>
      </c>
      <c r="E255" s="12">
        <v>0</v>
      </c>
      <c r="F255" s="12">
        <v>2</v>
      </c>
      <c r="G255" s="13">
        <f>+VLOOKUP(Tabla110345345445545647945586877869510811712713622823724627233260269297315316348494493498503310[[#This Row],[Ingrediente]],Tabla34[#All],3,0)</f>
        <v>750</v>
      </c>
      <c r="H255" s="14">
        <f>+Tabla110345345445545647945586877869510811712713622823724627233260269297315316348494493498503310[[#This Row],[Costo]]*Tabla110345345445545647945586877869510811712713622823724627233260269297315316348494493498503310[[#This Row],[Columna2]]</f>
        <v>1500</v>
      </c>
      <c r="I255" s="40"/>
      <c r="J255" s="20" t="s">
        <v>14</v>
      </c>
      <c r="K255" s="21">
        <v>49000</v>
      </c>
    </row>
    <row r="256" spans="2:11" x14ac:dyDescent="0.3">
      <c r="B256" s="10" t="s">
        <v>712</v>
      </c>
      <c r="C256" s="11" t="s">
        <v>67</v>
      </c>
      <c r="D256" s="12">
        <v>29.999999649999999</v>
      </c>
      <c r="E256" s="12">
        <v>5</v>
      </c>
      <c r="F256" s="12">
        <v>31.578946999999999</v>
      </c>
      <c r="G256" s="13">
        <f>+VLOOKUP(Tabla110345345445545647945586877869510811712713622823724627233260269297315316348494493498503310[[#This Row],[Ingrediente]],Tabla34[#All],3,0)</f>
        <v>32.5</v>
      </c>
      <c r="H256" s="14">
        <f>+Tabla110345345445545647945586877869510811712713622823724627233260269297315316348494493498503310[[#This Row],[Costo]]*Tabla110345345445545647945586877869510811712713622823724627233260269297315316348494493498503310[[#This Row],[Columna2]]</f>
        <v>1026.3157775</v>
      </c>
      <c r="I256" s="40"/>
      <c r="J256" s="8" t="s">
        <v>15</v>
      </c>
      <c r="K256" s="15">
        <f>+K255/1.08*0.08</f>
        <v>3629.6296296296291</v>
      </c>
    </row>
    <row r="257" spans="2:11" x14ac:dyDescent="0.3">
      <c r="B257" s="10" t="s">
        <v>451</v>
      </c>
      <c r="C257" s="11" t="s">
        <v>67</v>
      </c>
      <c r="D257" s="12">
        <v>15</v>
      </c>
      <c r="E257" s="12">
        <v>0</v>
      </c>
      <c r="F257" s="12">
        <v>15</v>
      </c>
      <c r="G257" s="13">
        <f>+VLOOKUP(Tabla110345345445545647945586877869510811712713622823724627233260269297315316348494493498503310[[#This Row],[Ingrediente]],Tabla34[#All],3,0)</f>
        <v>60.987499999999997</v>
      </c>
      <c r="H257" s="14">
        <f>+Tabla110345345445545647945586877869510811712713622823724627233260269297315316348494493498503310[[#This Row],[Costo]]*Tabla110345345445545647945586877869510811712713622823724627233260269297315316348494493498503310[[#This Row],[Columna2]]</f>
        <v>914.8125</v>
      </c>
      <c r="I257" s="40"/>
      <c r="J257" s="8" t="s">
        <v>16</v>
      </c>
      <c r="K257" s="15">
        <f>+K255-K256</f>
        <v>45370.370370370372</v>
      </c>
    </row>
    <row r="258" spans="2:11" x14ac:dyDescent="0.3">
      <c r="B258" s="10" t="s">
        <v>106</v>
      </c>
      <c r="C258" s="11" t="s">
        <v>67</v>
      </c>
      <c r="D258" s="12">
        <v>50</v>
      </c>
      <c r="E258" s="12">
        <v>0</v>
      </c>
      <c r="F258" s="12">
        <v>50</v>
      </c>
      <c r="G258" s="13">
        <f>+VLOOKUP(Tabla110345345445545647945586877869510811712713622823724627233260269297315316348494493498503310[[#This Row],[Ingrediente]],Tabla34[#All],3,0)</f>
        <v>19.804166670000001</v>
      </c>
      <c r="H258" s="14">
        <f>+Tabla110345345445545647945586877869510811712713622823724627233260269297315316348494493498503310[[#This Row],[Costo]]*Tabla110345345445545647945586877869510811712713622823724627233260269297315316348494493498503310[[#This Row],[Columna2]]</f>
        <v>990.20833349999998</v>
      </c>
      <c r="I258" s="40"/>
      <c r="J258" s="8" t="s">
        <v>17</v>
      </c>
      <c r="K258" s="41">
        <f>+K254/K257</f>
        <v>0.34046198985939424</v>
      </c>
    </row>
    <row r="259" spans="2:11" x14ac:dyDescent="0.3">
      <c r="B259" s="10" t="s">
        <v>308</v>
      </c>
      <c r="C259" s="11" t="s">
        <v>67</v>
      </c>
      <c r="D259" s="12">
        <v>35</v>
      </c>
      <c r="E259" s="12">
        <v>0</v>
      </c>
      <c r="F259" s="12">
        <v>35</v>
      </c>
      <c r="G259" s="13">
        <f>+VLOOKUP(Tabla110345345445545647945586877869510811712713622823724627233260269297315316348494493498503310[[#This Row],[Ingrediente]],Tabla34[#All],3,0)</f>
        <v>24.115200000000002</v>
      </c>
      <c r="H259" s="14">
        <f>+Tabla110345345445545647945586877869510811712713622823724627233260269297315316348494493498503310[[#This Row],[Costo]]*Tabla110345345445545647945586877869510811712713622823724627233260269297315316348494493498503310[[#This Row],[Columna2]]</f>
        <v>844.03200000000004</v>
      </c>
      <c r="I259" s="40"/>
      <c r="J259" s="8" t="s">
        <v>18</v>
      </c>
      <c r="K259" s="42">
        <f>+K257-K254</f>
        <v>29923.483793416373</v>
      </c>
    </row>
    <row r="260" spans="2:11" x14ac:dyDescent="0.3">
      <c r="B260" s="10" t="s">
        <v>760</v>
      </c>
      <c r="C260" s="11" t="s">
        <v>67</v>
      </c>
      <c r="D260" s="12">
        <v>5</v>
      </c>
      <c r="E260" s="12">
        <v>0</v>
      </c>
      <c r="F260" s="12">
        <v>5</v>
      </c>
      <c r="G260" s="13">
        <f>+VLOOKUP(Tabla110345345445545647945586877869510811712713622823724627233260269297315316348494493498503310[[#This Row],[Ingrediente]],Tabla34[#All],3,0)</f>
        <v>71.281041669999993</v>
      </c>
      <c r="H260" s="14">
        <f>+Tabla110345345445545647945586877869510811712713622823724627233260269297315316348494493498503310[[#This Row],[Costo]]*Tabla110345345445545647945586877869510811712713622823724627233260269297315316348494493498503310[[#This Row],[Columna2]]</f>
        <v>356.40520834999995</v>
      </c>
      <c r="I260" s="40"/>
      <c r="J260" s="8" t="s">
        <v>19</v>
      </c>
      <c r="K260" s="43">
        <f>+K259/K254</f>
        <v>1.9371854415025453</v>
      </c>
    </row>
    <row r="261" spans="2:11" x14ac:dyDescent="0.3">
      <c r="B261" s="10" t="s">
        <v>50</v>
      </c>
      <c r="C261" s="11" t="s">
        <v>67</v>
      </c>
      <c r="D261" s="12">
        <v>40</v>
      </c>
      <c r="E261" s="12">
        <v>0</v>
      </c>
      <c r="F261" s="12">
        <v>40</v>
      </c>
      <c r="G261" s="13">
        <f>+VLOOKUP(Tabla110345345445545647945586877869510811712713622823724627233260269297315316348494493498503310[[#This Row],[Ingrediente]],Tabla34[#All],3,0)</f>
        <v>15.28420193</v>
      </c>
      <c r="H261" s="14">
        <f>+Tabla110345345445545647945586877869510811712713622823724627233260269297315316348494493498503310[[#This Row],[Costo]]*Tabla110345345445545647945586877869510811712713622823724627233260269297315316348494493498503310[[#This Row],[Columna2]]</f>
        <v>611.36807720000002</v>
      </c>
      <c r="I261" s="40"/>
      <c r="J261" s="40"/>
      <c r="K261" s="40"/>
    </row>
    <row r="262" spans="2:11" x14ac:dyDescent="0.3">
      <c r="B262" s="10" t="s">
        <v>833</v>
      </c>
      <c r="C262" s="11" t="s">
        <v>67</v>
      </c>
      <c r="D262" s="12">
        <v>1</v>
      </c>
      <c r="E262" s="12">
        <v>0</v>
      </c>
      <c r="F262" s="12">
        <v>1</v>
      </c>
      <c r="G262" s="13">
        <f>+VLOOKUP(Tabla110345345445545647945586877869510811712713622823724627233260269297315316348494493498503310[[#This Row],[Ingrediente]],Tabla34[#All],3,0)</f>
        <v>307.5</v>
      </c>
      <c r="H262" s="14">
        <f>+Tabla110345345445545647945586877869510811712713622823724627233260269297315316348494493498503310[[#This Row],[Costo]]*Tabla110345345445545647945586877869510811712713622823724627233260269297315316348494493498503310[[#This Row],[Columna2]]</f>
        <v>307.5</v>
      </c>
      <c r="I262" s="40"/>
      <c r="J262" s="40"/>
      <c r="K262" s="40"/>
    </row>
    <row r="263" spans="2:11" x14ac:dyDescent="0.3">
      <c r="B263" s="10" t="s">
        <v>745</v>
      </c>
      <c r="C263" s="11" t="s">
        <v>67</v>
      </c>
      <c r="D263" s="12">
        <v>4.9999997699999996</v>
      </c>
      <c r="E263" s="12">
        <v>10</v>
      </c>
      <c r="F263" s="12">
        <v>5.5555553</v>
      </c>
      <c r="G263" s="13">
        <f>+VLOOKUP(Tabla110345345445545647945586877869510811712713622823724627233260269297315316348494493498503310[[#This Row],[Ingrediente]],Tabla34[#All],3,0)</f>
        <v>37.5</v>
      </c>
      <c r="H263" s="14">
        <f>+Tabla110345345445545647945586877869510811712713622823724627233260269297315316348494493498503310[[#This Row],[Costo]]*Tabla110345345445545647945586877869510811712713622823724627233260269297315316348494493498503310[[#This Row],[Columna2]]</f>
        <v>208.33332375000001</v>
      </c>
      <c r="I263" s="40"/>
      <c r="J263" s="40"/>
      <c r="K263" s="40"/>
    </row>
    <row r="264" spans="2:11" x14ac:dyDescent="0.3">
      <c r="B264" s="10" t="s">
        <v>124</v>
      </c>
      <c r="C264" s="11" t="s">
        <v>67</v>
      </c>
      <c r="D264" s="12">
        <v>30</v>
      </c>
      <c r="E264" s="12">
        <v>0</v>
      </c>
      <c r="F264" s="12">
        <v>30</v>
      </c>
      <c r="G264" s="13">
        <f>+VLOOKUP(Tabla110345345445545647945586877869510811712713622823724627233260269297315316348494493498503310[[#This Row],[Ingrediente]],Tabla34[#All],3,0)</f>
        <v>3.1357552800000001</v>
      </c>
      <c r="H264" s="14">
        <f>+Tabla110345345445545647945586877869510811712713622823724627233260269297315316348494493498503310[[#This Row],[Costo]]*Tabla110345345445545647945586877869510811712713622823724627233260269297315316348494493498503310[[#This Row],[Columna2]]</f>
        <v>94.072658400000009</v>
      </c>
      <c r="I264" s="40"/>
      <c r="J264" s="40"/>
      <c r="K264" s="40"/>
    </row>
    <row r="265" spans="2:11" x14ac:dyDescent="0.3">
      <c r="B265" s="10" t="s">
        <v>838</v>
      </c>
      <c r="C265" s="11" t="s">
        <v>847</v>
      </c>
      <c r="D265" s="12">
        <v>1</v>
      </c>
      <c r="E265" s="12">
        <v>0</v>
      </c>
      <c r="F265" s="12">
        <v>1</v>
      </c>
      <c r="G265" s="13">
        <f>+VLOOKUP(Tabla110345345445545647945586877869510811712713622823724627233260269297315316348494493498503310[[#This Row],[Ingrediente]],Tabla34[#All],3,0)</f>
        <v>4196.75</v>
      </c>
      <c r="H265" s="14">
        <f>+Tabla110345345445545647945586877869510811712713622823724627233260269297315316348494493498503310[[#This Row],[Costo]]*Tabla110345345445545647945586877869510811712713622823724627233260269297315316348494493498503310[[#This Row],[Columna2]]</f>
        <v>4196.75</v>
      </c>
      <c r="I265" s="40"/>
      <c r="J265" s="40"/>
      <c r="K265" s="40"/>
    </row>
    <row r="266" spans="2:11" x14ac:dyDescent="0.3">
      <c r="B266" s="10" t="s">
        <v>219</v>
      </c>
      <c r="C266" s="11" t="s">
        <v>67</v>
      </c>
      <c r="D266" s="12">
        <v>1</v>
      </c>
      <c r="E266" s="12">
        <v>0</v>
      </c>
      <c r="F266" s="12">
        <v>1</v>
      </c>
      <c r="G266" s="13">
        <f>+VLOOKUP(Tabla110345345445545647945586877869510811712713622823724627233260269297315316348494493498503310[[#This Row],[Ingrediente]],Tabla34[#All],3,0)</f>
        <v>30.77</v>
      </c>
      <c r="H266" s="14">
        <f>+Tabla110345345445545647945586877869510811712713622823724627233260269297315316348494493498503310[[#This Row],[Costo]]*Tabla110345345445545647945586877869510811712713622823724627233260269297315316348494493498503310[[#This Row],[Columna2]]</f>
        <v>30.77</v>
      </c>
      <c r="I266" s="40"/>
      <c r="J266" s="40"/>
      <c r="K266" s="40"/>
    </row>
    <row r="267" spans="2:11" x14ac:dyDescent="0.3">
      <c r="B267" s="10" t="s">
        <v>89</v>
      </c>
      <c r="C267" s="11" t="s">
        <v>67</v>
      </c>
      <c r="D267" s="12">
        <v>2</v>
      </c>
      <c r="E267" s="12">
        <v>0</v>
      </c>
      <c r="F267" s="12">
        <v>2</v>
      </c>
      <c r="G267" s="13">
        <f>+VLOOKUP(Tabla110345345445545647945586877869510811712713622823724627233260269297315316348494493498503310[[#This Row],[Ingrediente]],Tabla34[#All],3,0)</f>
        <v>2.4009999999999998</v>
      </c>
      <c r="H267" s="14">
        <f>+Tabla110345345445545647945586877869510811712713622823724627233260269297315316348494493498503310[[#This Row],[Costo]]*Tabla110345345445545647945586877869510811712713622823724627233260269297315316348494493498503310[[#This Row],[Columna2]]</f>
        <v>4.8019999999999996</v>
      </c>
      <c r="I267" s="40"/>
      <c r="J267" s="40"/>
      <c r="K267" s="40"/>
    </row>
    <row r="268" spans="2:11" x14ac:dyDescent="0.3">
      <c r="B268" s="10" t="s">
        <v>37</v>
      </c>
      <c r="C268" s="11" t="s">
        <v>67</v>
      </c>
      <c r="D268" s="12">
        <v>2</v>
      </c>
      <c r="E268" s="12">
        <v>0</v>
      </c>
      <c r="F268" s="12">
        <v>2</v>
      </c>
      <c r="G268" s="13">
        <f>+VLOOKUP(Tabla110345345445545647945586877869510811712713622823724627233260269297315316348494493498503310[[#This Row],[Ingrediente]],Tabla34[#All],3,0)</f>
        <v>14.25783539</v>
      </c>
      <c r="H268" s="14">
        <f>+Tabla110345345445545647945586877869510811712713622823724627233260269297315316348494493498503310[[#This Row],[Costo]]*Tabla110345345445545647945586877869510811712713622823724627233260269297315316348494493498503310[[#This Row],[Columna2]]</f>
        <v>28.515670780000001</v>
      </c>
      <c r="I268" s="40"/>
      <c r="J268" s="40"/>
      <c r="K268" s="40"/>
    </row>
    <row r="269" spans="2:11" x14ac:dyDescent="0.3">
      <c r="B269" s="16"/>
      <c r="C269" s="17"/>
      <c r="D269" s="17"/>
      <c r="E269" s="17"/>
      <c r="F269" s="17"/>
      <c r="G269" s="18"/>
      <c r="H269" s="18">
        <f>SUBTOTAL(109,Tabla110345345445545647945586877869510811712713622823724627233260269297315316348494493498503310[Total costo])</f>
        <v>14711.320549479999</v>
      </c>
      <c r="I269" s="4"/>
    </row>
    <row r="270" spans="2:11" x14ac:dyDescent="0.3">
      <c r="H270" s="40"/>
      <c r="I270" s="40"/>
    </row>
  </sheetData>
  <mergeCells count="6">
    <mergeCell ref="J6:K6"/>
    <mergeCell ref="J17:K17"/>
    <mergeCell ref="J29:K29"/>
    <mergeCell ref="J90:K90"/>
    <mergeCell ref="J67:K67"/>
    <mergeCell ref="J49:K49"/>
  </mergeCells>
  <phoneticPr fontId="16" type="noConversion"/>
  <conditionalFormatting sqref="K13">
    <cfRule type="cellIs" dxfId="2617" priority="9" operator="lessThan">
      <formula>0.3</formula>
    </cfRule>
    <cfRule type="cellIs" dxfId="2616" priority="10" operator="greaterThan">
      <formula>0.3</formula>
    </cfRule>
  </conditionalFormatting>
  <conditionalFormatting sqref="K24">
    <cfRule type="cellIs" dxfId="2615" priority="27" operator="lessThan">
      <formula>0.3</formula>
    </cfRule>
    <cfRule type="cellIs" dxfId="2614" priority="28" operator="greaterThan">
      <formula>0.3</formula>
    </cfRule>
  </conditionalFormatting>
  <conditionalFormatting sqref="K36">
    <cfRule type="cellIs" dxfId="2613" priority="41" operator="lessThan">
      <formula>0.3</formula>
    </cfRule>
    <cfRule type="cellIs" dxfId="2612" priority="42" operator="greaterThan">
      <formula>0.3</formula>
    </cfRule>
  </conditionalFormatting>
  <conditionalFormatting sqref="K56">
    <cfRule type="cellIs" dxfId="2611" priority="3" operator="lessThan">
      <formula>0.3</formula>
    </cfRule>
    <cfRule type="cellIs" dxfId="2610" priority="4" operator="greaterThan">
      <formula>0.3</formula>
    </cfRule>
  </conditionalFormatting>
  <conditionalFormatting sqref="K74">
    <cfRule type="cellIs" dxfId="2609" priority="1" operator="lessThan">
      <formula>0.3</formula>
    </cfRule>
    <cfRule type="cellIs" dxfId="2608" priority="2" operator="greaterThan">
      <formula>0.3</formula>
    </cfRule>
  </conditionalFormatting>
  <conditionalFormatting sqref="K97">
    <cfRule type="cellIs" dxfId="2607" priority="35" operator="lessThan">
      <formula>0.3</formula>
    </cfRule>
    <cfRule type="cellIs" dxfId="2606" priority="36" operator="greaterThan">
      <formula>0.3</formula>
    </cfRule>
  </conditionalFormatting>
  <conditionalFormatting sqref="K110">
    <cfRule type="cellIs" dxfId="2605" priority="31" operator="lessThan">
      <formula>0.3</formula>
    </cfRule>
    <cfRule type="cellIs" dxfId="2604" priority="32" operator="greaterThan">
      <formula>0.3</formula>
    </cfRule>
  </conditionalFormatting>
  <conditionalFormatting sqref="K122">
    <cfRule type="cellIs" dxfId="2603" priority="29" operator="lessThan">
      <formula>0.3</formula>
    </cfRule>
    <cfRule type="cellIs" dxfId="2602" priority="30" operator="greaterThan">
      <formula>0.3</formula>
    </cfRule>
  </conditionalFormatting>
  <conditionalFormatting sqref="K138">
    <cfRule type="cellIs" dxfId="2601" priority="25" operator="lessThan">
      <formula>0.3</formula>
    </cfRule>
    <cfRule type="cellIs" dxfId="2600" priority="26" operator="greaterThan">
      <formula>0.3</formula>
    </cfRule>
  </conditionalFormatting>
  <conditionalFormatting sqref="K154">
    <cfRule type="cellIs" dxfId="2599" priority="23" operator="lessThan">
      <formula>0.3</formula>
    </cfRule>
    <cfRule type="cellIs" dxfId="2598" priority="24" operator="greaterThan">
      <formula>0.3</formula>
    </cfRule>
  </conditionalFormatting>
  <conditionalFormatting sqref="K166">
    <cfRule type="cellIs" dxfId="2597" priority="21" operator="lessThan">
      <formula>0.3</formula>
    </cfRule>
    <cfRule type="cellIs" dxfId="2596" priority="22" operator="greaterThan">
      <formula>0.3</formula>
    </cfRule>
  </conditionalFormatting>
  <conditionalFormatting sqref="K177">
    <cfRule type="cellIs" dxfId="2595" priority="19" operator="lessThan">
      <formula>0.3</formula>
    </cfRule>
    <cfRule type="cellIs" dxfId="2594" priority="20" operator="greaterThan">
      <formula>0.3</formula>
    </cfRule>
  </conditionalFormatting>
  <conditionalFormatting sqref="K195">
    <cfRule type="cellIs" dxfId="2593" priority="17" operator="lessThan">
      <formula>0.3</formula>
    </cfRule>
    <cfRule type="cellIs" dxfId="2592" priority="18" operator="greaterThan">
      <formula>0.3</formula>
    </cfRule>
  </conditionalFormatting>
  <conditionalFormatting sqref="K212">
    <cfRule type="cellIs" dxfId="2591" priority="15" operator="lessThan">
      <formula>0.3</formula>
    </cfRule>
    <cfRule type="cellIs" dxfId="2590" priority="16" operator="greaterThan">
      <formula>0.3</formula>
    </cfRule>
  </conditionalFormatting>
  <conditionalFormatting sqref="K226">
    <cfRule type="cellIs" dxfId="2589" priority="13" operator="lessThan">
      <formula>0.3</formula>
    </cfRule>
    <cfRule type="cellIs" dxfId="2588" priority="14" operator="greaterThan">
      <formula>0.3</formula>
    </cfRule>
  </conditionalFormatting>
  <conditionalFormatting sqref="K240">
    <cfRule type="cellIs" dxfId="2587" priority="11" operator="lessThan">
      <formula>0.3</formula>
    </cfRule>
    <cfRule type="cellIs" dxfId="2586" priority="12" operator="greaterThan">
      <formula>0.3</formula>
    </cfRule>
  </conditionalFormatting>
  <conditionalFormatting sqref="K258">
    <cfRule type="cellIs" dxfId="2585" priority="7" operator="lessThan">
      <formula>0.3</formula>
    </cfRule>
    <cfRule type="cellIs" dxfId="2584" priority="8" operator="greaterThan">
      <formula>0.3</formula>
    </cfRule>
  </conditionalFormatting>
  <pageMargins left="0.7" right="0.7" top="0.75" bottom="0.75" header="0.3" footer="0.3"/>
  <pageSetup orientation="portrait" horizontalDpi="1200" verticalDpi="1200" r:id="rId1"/>
  <drawing r:id="rId2"/>
  <tableParts count="49">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E7AC-8159-4445-A29D-3D659554C7CB}">
  <dimension ref="B6:M100"/>
  <sheetViews>
    <sheetView showGridLines="0" topLeftCell="A79" zoomScale="99" zoomScaleNormal="99" workbookViewId="0">
      <selection activeCell="M81" sqref="M81:M91"/>
    </sheetView>
  </sheetViews>
  <sheetFormatPr baseColWidth="10" defaultRowHeight="14.4" x14ac:dyDescent="0.3"/>
  <cols>
    <col min="1" max="1" width="0.5546875" customWidth="1"/>
    <col min="2" max="2" width="28" customWidth="1"/>
    <col min="4" max="8" width="9.77734375" customWidth="1"/>
    <col min="9" max="9" width="2.33203125" customWidth="1"/>
    <col min="10" max="10" width="27.44140625" bestFit="1" customWidth="1"/>
    <col min="12" max="12" width="4.88671875" customWidth="1"/>
  </cols>
  <sheetData>
    <row r="6" spans="2:13" ht="15.6" x14ac:dyDescent="0.3">
      <c r="B6" s="1" t="s">
        <v>59</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SUM(Tabla110345345445545647945[Total costo])</f>
        <v>13633.204523589999</v>
      </c>
      <c r="M7" s="346" t="s">
        <v>1465</v>
      </c>
    </row>
    <row r="8" spans="2:13" x14ac:dyDescent="0.3">
      <c r="B8" s="10" t="s">
        <v>450</v>
      </c>
      <c r="C8" s="11" t="s">
        <v>67</v>
      </c>
      <c r="D8" s="12">
        <v>1</v>
      </c>
      <c r="E8" s="12">
        <v>0</v>
      </c>
      <c r="F8" s="12">
        <v>1</v>
      </c>
      <c r="G8" s="13">
        <f>+VLOOKUP(Tabla110345345445545647945[[#This Row],[Ingrediente]],Tabla34[#All],3,0)</f>
        <v>13.40129132</v>
      </c>
      <c r="H8" s="14">
        <f>+Tabla110345345445545647945[[#This Row],[Costo]]*Tabla110345345445545647945[[#This Row],[Columna2]]</f>
        <v>13.40129132</v>
      </c>
      <c r="I8" s="4"/>
      <c r="J8" s="8" t="s">
        <v>12</v>
      </c>
      <c r="K8" s="15">
        <f>+K7*5%</f>
        <v>681.6602261795</v>
      </c>
      <c r="M8" s="346" t="s">
        <v>1466</v>
      </c>
    </row>
    <row r="9" spans="2:13" x14ac:dyDescent="0.3">
      <c r="B9" s="10" t="s">
        <v>824</v>
      </c>
      <c r="C9" s="11" t="s">
        <v>67</v>
      </c>
      <c r="D9" s="12">
        <v>1</v>
      </c>
      <c r="E9" s="12">
        <v>13</v>
      </c>
      <c r="F9" s="12">
        <v>1.149</v>
      </c>
      <c r="G9" s="13">
        <f>+VLOOKUP(Tabla110345345445545647945[[#This Row],[Ingrediente]],Tabla34[#All],3,0)</f>
        <v>19</v>
      </c>
      <c r="H9" s="14">
        <f>+Tabla110345345445545647945[[#This Row],[Costo]]*Tabla110345345445545647945[[#This Row],[Columna2]]</f>
        <v>21.831</v>
      </c>
      <c r="I9" s="4"/>
      <c r="J9" s="8" t="s">
        <v>13</v>
      </c>
      <c r="K9" s="15">
        <f>+K7+K8</f>
        <v>14314.864749769498</v>
      </c>
      <c r="M9" s="346" t="s">
        <v>1467</v>
      </c>
    </row>
    <row r="10" spans="2:13" x14ac:dyDescent="0.3">
      <c r="B10" s="10" t="s">
        <v>837</v>
      </c>
      <c r="C10" s="11" t="s">
        <v>847</v>
      </c>
      <c r="D10" s="12">
        <v>16</v>
      </c>
      <c r="E10" s="12">
        <v>0</v>
      </c>
      <c r="F10" s="12">
        <v>16</v>
      </c>
      <c r="G10" s="13">
        <f>+VLOOKUP(Tabla110345345445545647945[[#This Row],[Ingrediente]],Tabla34[#All],3,0)</f>
        <v>514.28</v>
      </c>
      <c r="H10" s="14">
        <f>+Tabla110345345445545647945[[#This Row],[Costo]]*Tabla110345345445545647945[[#This Row],[Columna2]]</f>
        <v>8228.48</v>
      </c>
      <c r="I10" s="4"/>
      <c r="J10" s="20" t="s">
        <v>14</v>
      </c>
      <c r="K10" s="21">
        <v>48000</v>
      </c>
    </row>
    <row r="11" spans="2:13" x14ac:dyDescent="0.3">
      <c r="B11" s="10" t="s">
        <v>687</v>
      </c>
      <c r="C11" s="11" t="s">
        <v>67</v>
      </c>
      <c r="D11" s="12">
        <v>15</v>
      </c>
      <c r="E11" s="12">
        <v>10</v>
      </c>
      <c r="F11" s="12">
        <v>16.667000000000002</v>
      </c>
      <c r="G11" s="13">
        <f>+VLOOKUP(Tabla110345345445545647945[[#This Row],[Ingrediente]],Tabla34[#All],3,0)</f>
        <v>2.8</v>
      </c>
      <c r="H11" s="14">
        <f>+Tabla110345345445545647945[[#This Row],[Costo]]*Tabla110345345445545647945[[#This Row],[Columna2]]</f>
        <v>46.6676</v>
      </c>
      <c r="I11" s="4"/>
      <c r="J11" s="8" t="s">
        <v>15</v>
      </c>
      <c r="K11" s="15">
        <f>+K10/1.08*0.08</f>
        <v>3555.5555555555552</v>
      </c>
      <c r="M11" s="377" t="s">
        <v>1377</v>
      </c>
    </row>
    <row r="12" spans="2:13" x14ac:dyDescent="0.3">
      <c r="B12" s="10" t="s">
        <v>187</v>
      </c>
      <c r="C12" s="11" t="s">
        <v>67</v>
      </c>
      <c r="D12" s="12">
        <v>15</v>
      </c>
      <c r="E12" s="12">
        <v>10</v>
      </c>
      <c r="F12" s="12">
        <v>16.667000000000002</v>
      </c>
      <c r="G12" s="13">
        <f>+VLOOKUP(Tabla110345345445545647945[[#This Row],[Ingrediente]],Tabla34[#All],3,0)</f>
        <v>4.7</v>
      </c>
      <c r="H12" s="14">
        <f>+Tabla110345345445545647945[[#This Row],[Costo]]*Tabla110345345445545647945[[#This Row],[Columna2]]</f>
        <v>78.334900000000005</v>
      </c>
      <c r="I12" s="4"/>
      <c r="J12" s="8" t="s">
        <v>16</v>
      </c>
      <c r="K12" s="15">
        <f>+K10-K11</f>
        <v>44444.444444444445</v>
      </c>
      <c r="M12" s="346" t="s">
        <v>1468</v>
      </c>
    </row>
    <row r="13" spans="2:13" x14ac:dyDescent="0.3">
      <c r="B13" s="10" t="s">
        <v>730</v>
      </c>
      <c r="C13" s="11" t="s">
        <v>67</v>
      </c>
      <c r="D13" s="12">
        <v>3</v>
      </c>
      <c r="E13" s="12">
        <v>40</v>
      </c>
      <c r="F13" s="12">
        <v>5</v>
      </c>
      <c r="G13" s="13">
        <f>+VLOOKUP(Tabla110345345445545647945[[#This Row],[Ingrediente]],Tabla34[#All],3,0)</f>
        <v>12</v>
      </c>
      <c r="H13" s="14">
        <f>+Tabla110345345445545647945[[#This Row],[Costo]]*Tabla110345345445545647945[[#This Row],[Columna2]]</f>
        <v>60</v>
      </c>
      <c r="I13" s="4"/>
      <c r="J13" s="8" t="s">
        <v>17</v>
      </c>
      <c r="K13" s="22">
        <f>+K9/K12</f>
        <v>0.32208445686981368</v>
      </c>
      <c r="M13" s="346" t="s">
        <v>1469</v>
      </c>
    </row>
    <row r="14" spans="2:13" x14ac:dyDescent="0.3">
      <c r="B14" s="10" t="s">
        <v>1026</v>
      </c>
      <c r="C14" s="11" t="s">
        <v>67</v>
      </c>
      <c r="D14" s="12">
        <v>0.5</v>
      </c>
      <c r="E14" s="12">
        <v>0</v>
      </c>
      <c r="F14" s="12">
        <v>0.5</v>
      </c>
      <c r="G14" s="13">
        <f>+VLOOKUP(Tabla110345345445545647945[[#This Row],[Ingrediente]],Tabla34[#All],3,0)</f>
        <v>148</v>
      </c>
      <c r="H14" s="14">
        <f>+Tabla110345345445545647945[[#This Row],[Costo]]*Tabla110345345445545647945[[#This Row],[Columna2]]</f>
        <v>74</v>
      </c>
      <c r="I14" s="4"/>
      <c r="J14" s="8" t="s">
        <v>18</v>
      </c>
      <c r="K14" s="23">
        <f>+K12-K9</f>
        <v>30129.579694674947</v>
      </c>
      <c r="M14" s="346" t="s">
        <v>1470</v>
      </c>
    </row>
    <row r="15" spans="2:13" x14ac:dyDescent="0.3">
      <c r="B15" s="10" t="s">
        <v>835</v>
      </c>
      <c r="C15" s="11" t="s">
        <v>67</v>
      </c>
      <c r="D15" s="12">
        <v>3</v>
      </c>
      <c r="E15" s="12">
        <v>78</v>
      </c>
      <c r="F15" s="12">
        <v>13.635999999999999</v>
      </c>
      <c r="G15" s="13">
        <f>+VLOOKUP(Tabla110345345445545647945[[#This Row],[Ingrediente]],Tabla34[#All],3,0)</f>
        <v>4.5</v>
      </c>
      <c r="H15" s="14">
        <f>+Tabla110345345445545647945[[#This Row],[Costo]]*Tabla110345345445545647945[[#This Row],[Columna2]]</f>
        <v>61.361999999999995</v>
      </c>
      <c r="I15" s="4"/>
      <c r="J15" s="8" t="s">
        <v>19</v>
      </c>
      <c r="K15" s="25">
        <f>+K14/K9</f>
        <v>2.1047757154087048</v>
      </c>
    </row>
    <row r="16" spans="2:13" x14ac:dyDescent="0.3">
      <c r="B16" s="10" t="s">
        <v>619</v>
      </c>
      <c r="C16" s="11" t="s">
        <v>67</v>
      </c>
      <c r="D16" s="12">
        <v>60</v>
      </c>
      <c r="E16" s="12">
        <v>0</v>
      </c>
      <c r="F16" s="12">
        <v>60</v>
      </c>
      <c r="G16" s="13">
        <f>+VLOOKUP(Tabla110345345445545647945[[#This Row],[Ingrediente]],Tabla34[#All],3,0)</f>
        <v>26.27257651</v>
      </c>
      <c r="H16" s="14">
        <f>+Tabla110345345445545647945[[#This Row],[Costo]]*Tabla110345345445545647945[[#This Row],[Columna2]]</f>
        <v>1576.3545905999999</v>
      </c>
      <c r="I16" s="4"/>
      <c r="J16" s="4"/>
      <c r="K16" s="31"/>
    </row>
    <row r="17" spans="2:13" x14ac:dyDescent="0.3">
      <c r="B17" s="10" t="s">
        <v>321</v>
      </c>
      <c r="C17" s="11" t="s">
        <v>67</v>
      </c>
      <c r="D17" s="12">
        <v>3</v>
      </c>
      <c r="E17" s="12">
        <v>0</v>
      </c>
      <c r="F17" s="12">
        <v>3</v>
      </c>
      <c r="G17" s="13">
        <f>+VLOOKUP(Tabla110345345445545647945[[#This Row],[Ingrediente]],Tabla34[#All],3,0)</f>
        <v>12</v>
      </c>
      <c r="H17" s="14">
        <f>+Tabla110345345445545647945[[#This Row],[Costo]]*Tabla110345345445545647945[[#This Row],[Columna2]]</f>
        <v>36</v>
      </c>
      <c r="I17" s="4"/>
      <c r="J17" s="4"/>
      <c r="K17" s="31"/>
    </row>
    <row r="18" spans="2:13" x14ac:dyDescent="0.3">
      <c r="B18" s="10" t="s">
        <v>89</v>
      </c>
      <c r="C18" s="11" t="s">
        <v>67</v>
      </c>
      <c r="D18" s="12">
        <v>1</v>
      </c>
      <c r="E18" s="12">
        <v>0</v>
      </c>
      <c r="F18" s="12">
        <v>1</v>
      </c>
      <c r="G18" s="13">
        <f>+VLOOKUP(Tabla110345345445545647945[[#This Row],[Ingrediente]],Tabla34[#All],3,0)</f>
        <v>2.4009999999999998</v>
      </c>
      <c r="H18" s="14">
        <f>+Tabla110345345445545647945[[#This Row],[Costo]]*Tabla110345345445545647945[[#This Row],[Columna2]]</f>
        <v>2.4009999999999998</v>
      </c>
      <c r="I18" s="4"/>
      <c r="J18" s="4"/>
      <c r="K18" s="31"/>
    </row>
    <row r="19" spans="2:13" x14ac:dyDescent="0.3">
      <c r="B19" s="10" t="s">
        <v>90</v>
      </c>
      <c r="C19" s="11" t="s">
        <v>67</v>
      </c>
      <c r="D19" s="12">
        <v>140</v>
      </c>
      <c r="E19" s="12">
        <v>0</v>
      </c>
      <c r="F19" s="12">
        <v>140</v>
      </c>
      <c r="G19" s="13">
        <f>+VLOOKUP(Tabla110345345445545647945[[#This Row],[Ingrediente]],Tabla34[#All],3,0)</f>
        <v>18.828045979999999</v>
      </c>
      <c r="H19" s="14">
        <f>+Tabla110345345445545647945[[#This Row],[Costo]]*Tabla110345345445545647945[[#This Row],[Columna2]]</f>
        <v>2635.9264371999998</v>
      </c>
      <c r="I19" s="4"/>
      <c r="J19" s="4"/>
      <c r="K19" s="31"/>
    </row>
    <row r="20" spans="2:13" x14ac:dyDescent="0.3">
      <c r="B20" s="10" t="s">
        <v>753</v>
      </c>
      <c r="C20" s="11" t="s">
        <v>67</v>
      </c>
      <c r="D20" s="12">
        <v>3</v>
      </c>
      <c r="E20" s="12">
        <v>0</v>
      </c>
      <c r="F20" s="12">
        <v>3</v>
      </c>
      <c r="G20" s="13">
        <f>+VLOOKUP(Tabla110345345445545647945[[#This Row],[Ingrediente]],Tabla34[#All],3,0)</f>
        <v>39.31131019</v>
      </c>
      <c r="H20" s="14">
        <f>+Tabla110345345445545647945[[#This Row],[Costo]]*Tabla110345345445545647945[[#This Row],[Columna2]]</f>
        <v>117.93393057</v>
      </c>
      <c r="I20" s="4"/>
      <c r="J20" s="4"/>
      <c r="K20" s="31"/>
    </row>
    <row r="21" spans="2:13" x14ac:dyDescent="0.3">
      <c r="B21" s="10" t="s">
        <v>1223</v>
      </c>
      <c r="C21" s="11" t="s">
        <v>67</v>
      </c>
      <c r="D21" s="12">
        <v>20</v>
      </c>
      <c r="E21" s="12">
        <v>0</v>
      </c>
      <c r="F21" s="12">
        <v>20</v>
      </c>
      <c r="G21" s="13">
        <f>+VLOOKUP(Tabla110345345445545647945[[#This Row],[Ingrediente]],Tabla34[#All],3,0)</f>
        <v>8.6245170299999998</v>
      </c>
      <c r="H21" s="14">
        <f>+Tabla110345345445545647945[[#This Row],[Costo]]*Tabla110345345445545647945[[#This Row],[Columna2]]</f>
        <v>172.4903406</v>
      </c>
      <c r="I21" s="4"/>
      <c r="J21" s="4"/>
      <c r="K21" s="31"/>
    </row>
    <row r="22" spans="2:13" x14ac:dyDescent="0.3">
      <c r="B22" s="10" t="s">
        <v>127</v>
      </c>
      <c r="C22" s="11" t="s">
        <v>67</v>
      </c>
      <c r="D22" s="12">
        <v>15</v>
      </c>
      <c r="E22" s="12">
        <v>0</v>
      </c>
      <c r="F22" s="12">
        <v>15</v>
      </c>
      <c r="G22" s="13">
        <f>+VLOOKUP(Tabla110345345445545647945[[#This Row],[Ingrediente]],Tabla34[#All],3,0)</f>
        <v>15.69091749</v>
      </c>
      <c r="H22" s="14">
        <f>+Tabla110345345445545647945[[#This Row],[Costo]]*Tabla110345345445545647945[[#This Row],[Columna2]]</f>
        <v>235.36376235</v>
      </c>
      <c r="I22" s="4"/>
      <c r="J22" s="4"/>
      <c r="K22" s="26"/>
    </row>
    <row r="23" spans="2:13" x14ac:dyDescent="0.3">
      <c r="B23" s="10" t="s">
        <v>135</v>
      </c>
      <c r="C23" s="11" t="s">
        <v>67</v>
      </c>
      <c r="D23" s="12">
        <v>5</v>
      </c>
      <c r="E23" s="12">
        <v>0</v>
      </c>
      <c r="F23" s="12">
        <v>5</v>
      </c>
      <c r="G23" s="13">
        <f>+VLOOKUP(Tabla110345345445545647945[[#This Row],[Ingrediente]],Tabla34[#All],3,0)</f>
        <v>10.28067705</v>
      </c>
      <c r="H23" s="14">
        <f>+Tabla110345345445545647945[[#This Row],[Costo]]*Tabla110345345445545647945[[#This Row],[Columna2]]</f>
        <v>51.403385249999999</v>
      </c>
      <c r="I23" s="26"/>
    </row>
    <row r="24" spans="2:13" x14ac:dyDescent="0.3">
      <c r="B24" s="10" t="s">
        <v>1241</v>
      </c>
      <c r="C24" s="11" t="s">
        <v>67</v>
      </c>
      <c r="D24" s="12">
        <v>5</v>
      </c>
      <c r="E24" s="12">
        <v>0</v>
      </c>
      <c r="F24" s="12">
        <v>5</v>
      </c>
      <c r="G24" s="13">
        <f>+VLOOKUP(Tabla110345345445545647945[[#This Row],[Ingrediente]],Tabla34[#All],3,0)</f>
        <v>44.250857140000001</v>
      </c>
      <c r="H24" s="14">
        <f>+Tabla110345345445545647945[[#This Row],[Costo]]*Tabla110345345445545647945[[#This Row],[Columna2]]</f>
        <v>221.2542857</v>
      </c>
      <c r="I24" s="26"/>
    </row>
    <row r="25" spans="2:13" x14ac:dyDescent="0.3">
      <c r="B25" s="16"/>
      <c r="C25" s="17"/>
      <c r="D25" s="17"/>
      <c r="E25" s="17"/>
      <c r="F25" s="17"/>
      <c r="G25" s="18"/>
      <c r="H25" s="18">
        <f>SUBTOTAL(109,Tabla110345345445545647945[Total costo])</f>
        <v>13633.204523589999</v>
      </c>
      <c r="I25" s="26"/>
    </row>
    <row r="26" spans="2:13" x14ac:dyDescent="0.3">
      <c r="B26" s="218"/>
      <c r="C26" s="219"/>
      <c r="D26" s="219"/>
      <c r="E26" s="219"/>
      <c r="F26" s="219"/>
      <c r="G26" s="220"/>
      <c r="H26" s="220"/>
      <c r="I26" s="221"/>
    </row>
    <row r="27" spans="2:13" ht="15.6" x14ac:dyDescent="0.3">
      <c r="B27" s="1" t="s">
        <v>60</v>
      </c>
      <c r="C27" s="2"/>
      <c r="D27" s="2"/>
      <c r="E27" s="3"/>
      <c r="F27" s="3"/>
      <c r="G27" s="3"/>
      <c r="H27" s="3"/>
      <c r="I27" s="4"/>
      <c r="J27" s="399" t="s">
        <v>0</v>
      </c>
      <c r="K27" s="399"/>
      <c r="M27" s="377" t="s">
        <v>1394</v>
      </c>
    </row>
    <row r="28" spans="2:13" x14ac:dyDescent="0.3">
      <c r="B28" s="5" t="s">
        <v>1</v>
      </c>
      <c r="C28" s="6" t="s">
        <v>2</v>
      </c>
      <c r="D28" s="6" t="s">
        <v>3</v>
      </c>
      <c r="E28" s="6" t="s">
        <v>920</v>
      </c>
      <c r="F28" s="6" t="s">
        <v>319</v>
      </c>
      <c r="G28" s="7" t="s">
        <v>4</v>
      </c>
      <c r="H28" s="7" t="s">
        <v>5</v>
      </c>
      <c r="I28" s="4"/>
      <c r="J28" s="8" t="s">
        <v>6</v>
      </c>
      <c r="K28" s="9">
        <f>SUM(Tabla11034534544554564793646[Total costo])</f>
        <v>13508.450319580001</v>
      </c>
      <c r="M28" s="346" t="s">
        <v>1471</v>
      </c>
    </row>
    <row r="29" spans="2:13" x14ac:dyDescent="0.3">
      <c r="B29" s="10" t="s">
        <v>730</v>
      </c>
      <c r="C29" s="11" t="s">
        <v>67</v>
      </c>
      <c r="D29" s="12">
        <v>3</v>
      </c>
      <c r="E29" s="12">
        <v>40</v>
      </c>
      <c r="F29" s="12">
        <v>5</v>
      </c>
      <c r="G29" s="13">
        <f>+VLOOKUP(Tabla11034534544554564793646[[#This Row],[Ingrediente]],Tabla34[#All],3,0)</f>
        <v>12</v>
      </c>
      <c r="H29" s="14">
        <f>+Tabla11034534544554564793646[[#This Row],[Costo]]*Tabla11034534544554564793646[[#This Row],[Columna2]]</f>
        <v>60</v>
      </c>
      <c r="I29" s="4"/>
      <c r="J29" s="8" t="s">
        <v>12</v>
      </c>
      <c r="K29" s="15">
        <f>+K28*5%</f>
        <v>675.42251597900008</v>
      </c>
      <c r="M29" s="346" t="s">
        <v>1472</v>
      </c>
    </row>
    <row r="30" spans="2:13" x14ac:dyDescent="0.3">
      <c r="B30" s="10" t="s">
        <v>321</v>
      </c>
      <c r="C30" s="11" t="s">
        <v>67</v>
      </c>
      <c r="D30" s="12">
        <v>4</v>
      </c>
      <c r="E30" s="12">
        <v>0</v>
      </c>
      <c r="F30" s="12">
        <v>4</v>
      </c>
      <c r="G30" s="13">
        <f>+VLOOKUP(Tabla11034534544554564793646[[#This Row],[Ingrediente]],Tabla34[#All],3,0)</f>
        <v>12</v>
      </c>
      <c r="H30" s="14">
        <f>+Tabla11034534544554564793646[[#This Row],[Costo]]*Tabla11034534544554564793646[[#This Row],[Columna2]]</f>
        <v>48</v>
      </c>
      <c r="I30" s="4"/>
      <c r="J30" s="8" t="s">
        <v>13</v>
      </c>
      <c r="K30" s="15">
        <f>+K28+K29</f>
        <v>14183.872835559001</v>
      </c>
      <c r="M30" s="346" t="s">
        <v>1473</v>
      </c>
    </row>
    <row r="31" spans="2:13" x14ac:dyDescent="0.3">
      <c r="B31" s="10" t="s">
        <v>136</v>
      </c>
      <c r="C31" s="11" t="s">
        <v>67</v>
      </c>
      <c r="D31" s="12">
        <v>100</v>
      </c>
      <c r="E31" s="12">
        <v>0</v>
      </c>
      <c r="F31" s="12">
        <v>100</v>
      </c>
      <c r="G31" s="13">
        <f>+VLOOKUP(Tabla11034534544554564793646[[#This Row],[Ingrediente]],Tabla34[#All],3,0)</f>
        <v>26.416184560000001</v>
      </c>
      <c r="H31" s="14">
        <f>+Tabla11034534544554564793646[[#This Row],[Costo]]*Tabla11034534544554564793646[[#This Row],[Columna2]]</f>
        <v>2641.6184560000002</v>
      </c>
      <c r="I31" s="4"/>
      <c r="J31" s="20" t="s">
        <v>14</v>
      </c>
      <c r="K31" s="21">
        <v>46000</v>
      </c>
    </row>
    <row r="32" spans="2:13" x14ac:dyDescent="0.3">
      <c r="B32" s="10" t="s">
        <v>315</v>
      </c>
      <c r="C32" s="11" t="s">
        <v>847</v>
      </c>
      <c r="D32" s="12">
        <v>1</v>
      </c>
      <c r="E32" s="12">
        <v>0</v>
      </c>
      <c r="F32" s="12">
        <v>1</v>
      </c>
      <c r="G32" s="13">
        <f>+VLOOKUP(Tabla11034534544554564793646[[#This Row],[Ingrediente]],Tabla34[#All],3,0)</f>
        <v>9017.9941012300005</v>
      </c>
      <c r="H32" s="14">
        <f>+Tabla11034534544554564793646[[#This Row],[Costo]]*Tabla11034534544554564793646[[#This Row],[Columna2]]</f>
        <v>9017.9941012300005</v>
      </c>
      <c r="I32" s="4"/>
      <c r="J32" s="8" t="s">
        <v>15</v>
      </c>
      <c r="K32" s="15">
        <f>+K31/1.08*0.08</f>
        <v>3407.4074074074074</v>
      </c>
      <c r="M32" s="377" t="s">
        <v>1377</v>
      </c>
    </row>
    <row r="33" spans="2:13" x14ac:dyDescent="0.3">
      <c r="B33" s="10" t="s">
        <v>127</v>
      </c>
      <c r="C33" s="11" t="s">
        <v>67</v>
      </c>
      <c r="D33" s="12">
        <v>15</v>
      </c>
      <c r="E33" s="12">
        <v>0</v>
      </c>
      <c r="F33" s="12">
        <v>15</v>
      </c>
      <c r="G33" s="13">
        <f>+VLOOKUP(Tabla11034534544554564793646[[#This Row],[Ingrediente]],Tabla34[#All],3,0)</f>
        <v>15.69091749</v>
      </c>
      <c r="H33" s="14">
        <f>+Tabla11034534544554564793646[[#This Row],[Costo]]*Tabla11034534544554564793646[[#This Row],[Columna2]]</f>
        <v>235.36376235</v>
      </c>
      <c r="I33" s="4"/>
      <c r="J33" s="8" t="s">
        <v>16</v>
      </c>
      <c r="K33" s="15">
        <f>+K31-K32</f>
        <v>42592.592592592591</v>
      </c>
      <c r="M33" s="346" t="s">
        <v>1474</v>
      </c>
    </row>
    <row r="34" spans="2:13" x14ac:dyDescent="0.3">
      <c r="B34" s="10" t="s">
        <v>229</v>
      </c>
      <c r="C34" s="11" t="s">
        <v>67</v>
      </c>
      <c r="D34" s="12">
        <v>30</v>
      </c>
      <c r="E34" s="12">
        <v>0</v>
      </c>
      <c r="F34" s="12">
        <v>30</v>
      </c>
      <c r="G34" s="13">
        <f>+VLOOKUP(Tabla11034534544554564793646[[#This Row],[Ingrediente]],Tabla34[#All],3,0)</f>
        <v>24.714500000000001</v>
      </c>
      <c r="H34" s="14">
        <f>+Tabla11034534544554564793646[[#This Row],[Costo]]*Tabla11034534544554564793646[[#This Row],[Columna2]]</f>
        <v>741.43500000000006</v>
      </c>
      <c r="I34" s="4"/>
      <c r="J34" s="8" t="s">
        <v>17</v>
      </c>
      <c r="K34" s="22">
        <f>+K30/K33</f>
        <v>0.33301266657399392</v>
      </c>
      <c r="M34" s="346" t="s">
        <v>1475</v>
      </c>
    </row>
    <row r="35" spans="2:13" x14ac:dyDescent="0.3">
      <c r="B35" s="10" t="s">
        <v>708</v>
      </c>
      <c r="C35" s="11" t="s">
        <v>67</v>
      </c>
      <c r="D35" s="12">
        <v>30</v>
      </c>
      <c r="E35" s="12">
        <v>5</v>
      </c>
      <c r="F35" s="12">
        <v>31.579000000000001</v>
      </c>
      <c r="G35" s="13">
        <f>+VLOOKUP(Tabla11034534544554564793646[[#This Row],[Ingrediente]],Tabla34[#All],3,0)</f>
        <v>11</v>
      </c>
      <c r="H35" s="14">
        <f>+Tabla11034534544554564793646[[#This Row],[Costo]]*Tabla11034534544554564793646[[#This Row],[Columna2]]</f>
        <v>347.36900000000003</v>
      </c>
      <c r="I35" s="4"/>
      <c r="J35" s="8" t="s">
        <v>18</v>
      </c>
      <c r="K35" s="23">
        <f>+K33-K30</f>
        <v>28408.719757033592</v>
      </c>
    </row>
    <row r="36" spans="2:13" x14ac:dyDescent="0.3">
      <c r="B36" s="10" t="s">
        <v>687</v>
      </c>
      <c r="C36" s="11" t="s">
        <v>67</v>
      </c>
      <c r="D36" s="12">
        <v>50</v>
      </c>
      <c r="E36" s="12">
        <v>10</v>
      </c>
      <c r="F36" s="12">
        <v>55.555999999999997</v>
      </c>
      <c r="G36" s="13">
        <f>+VLOOKUP(Tabla11034534544554564793646[[#This Row],[Ingrediente]],Tabla34[#All],3,0)</f>
        <v>2.8</v>
      </c>
      <c r="H36" s="14">
        <f>+Tabla11034534544554564793646[[#This Row],[Costo]]*Tabla11034534544554564793646[[#This Row],[Columna2]]</f>
        <v>155.55679999999998</v>
      </c>
      <c r="I36" s="4"/>
      <c r="J36" s="8" t="s">
        <v>19</v>
      </c>
      <c r="K36" s="25">
        <f>+K35/K30</f>
        <v>2.0028887798410646</v>
      </c>
    </row>
    <row r="37" spans="2:13" x14ac:dyDescent="0.3">
      <c r="B37" s="10" t="s">
        <v>187</v>
      </c>
      <c r="C37" s="11" t="s">
        <v>67</v>
      </c>
      <c r="D37" s="12">
        <v>50</v>
      </c>
      <c r="E37" s="12">
        <v>10</v>
      </c>
      <c r="F37" s="12">
        <v>55.555999999999997</v>
      </c>
      <c r="G37" s="13">
        <f>+VLOOKUP(Tabla11034534544554564793646[[#This Row],[Ingrediente]],Tabla34[#All],3,0)</f>
        <v>4.7</v>
      </c>
      <c r="H37" s="14">
        <f>+Tabla11034534544554564793646[[#This Row],[Costo]]*Tabla11034534544554564793646[[#This Row],[Columna2]]</f>
        <v>261.11320000000001</v>
      </c>
      <c r="I37" s="4"/>
      <c r="J37" s="4"/>
      <c r="K37" s="26"/>
    </row>
    <row r="38" spans="2:13" x14ac:dyDescent="0.3">
      <c r="B38" s="16"/>
      <c r="C38" s="17"/>
      <c r="D38" s="17"/>
      <c r="E38" s="17"/>
      <c r="F38" s="17"/>
      <c r="G38" s="18"/>
      <c r="H38" s="18">
        <f>SUBTOTAL(109,Tabla11034534544554564793646[Total costo])</f>
        <v>13508.450319580001</v>
      </c>
      <c r="I38" s="26"/>
    </row>
    <row r="39" spans="2:13" x14ac:dyDescent="0.3">
      <c r="G39" s="4"/>
      <c r="H39" s="4"/>
      <c r="I39" s="26"/>
    </row>
    <row r="40" spans="2:13" x14ac:dyDescent="0.3">
      <c r="H40" s="4"/>
      <c r="I40" s="26"/>
    </row>
    <row r="41" spans="2:13" ht="15.6" x14ac:dyDescent="0.3">
      <c r="B41" s="1" t="s">
        <v>61</v>
      </c>
      <c r="C41" s="2"/>
      <c r="D41" s="2"/>
      <c r="E41" s="3"/>
      <c r="F41" s="3"/>
      <c r="G41" s="3"/>
      <c r="H41" s="3"/>
      <c r="J41" s="399" t="s">
        <v>0</v>
      </c>
      <c r="K41" s="399"/>
      <c r="M41" s="377" t="s">
        <v>1394</v>
      </c>
    </row>
    <row r="42" spans="2:13" x14ac:dyDescent="0.3">
      <c r="B42" s="5" t="s">
        <v>1</v>
      </c>
      <c r="C42" s="6" t="s">
        <v>2</v>
      </c>
      <c r="D42" s="6" t="s">
        <v>3</v>
      </c>
      <c r="E42" s="6" t="s">
        <v>920</v>
      </c>
      <c r="F42" s="6" t="s">
        <v>319</v>
      </c>
      <c r="G42" s="7" t="s">
        <v>4</v>
      </c>
      <c r="H42" s="7" t="s">
        <v>5</v>
      </c>
      <c r="I42" s="4"/>
      <c r="J42" s="8" t="s">
        <v>6</v>
      </c>
      <c r="K42" s="9">
        <f>SUM(Tabla1103453454455456479363747[Total costo])</f>
        <v>15171.746076169999</v>
      </c>
      <c r="M42" s="346"/>
    </row>
    <row r="43" spans="2:13" x14ac:dyDescent="0.3">
      <c r="B43" s="10" t="s">
        <v>683</v>
      </c>
      <c r="C43" s="11" t="s">
        <v>67</v>
      </c>
      <c r="D43" s="12">
        <v>40</v>
      </c>
      <c r="E43" s="12">
        <v>25</v>
      </c>
      <c r="F43" s="12">
        <v>53.332999999999998</v>
      </c>
      <c r="G43" s="13">
        <f>+VLOOKUP(Tabla1103453454455456479363747[[#This Row],[Ingrediente]],Tabla34[#All],3,0)</f>
        <v>8.5</v>
      </c>
      <c r="H43" s="14">
        <f>+Tabla1103453454455456479363747[[#This Row],[Costo]]*Tabla1103453454455456479363747[[#This Row],[Columna2]]</f>
        <v>453.33049999999997</v>
      </c>
      <c r="I43" s="4"/>
      <c r="J43" s="8" t="s">
        <v>12</v>
      </c>
      <c r="K43" s="15">
        <f>+K42*10%</f>
        <v>1517.174607617</v>
      </c>
      <c r="M43" s="346"/>
    </row>
    <row r="44" spans="2:13" x14ac:dyDescent="0.3">
      <c r="B44" s="24" t="s">
        <v>838</v>
      </c>
      <c r="C44" s="11" t="s">
        <v>847</v>
      </c>
      <c r="D44" s="12">
        <v>1</v>
      </c>
      <c r="E44" s="12">
        <v>0</v>
      </c>
      <c r="F44" s="12">
        <v>1</v>
      </c>
      <c r="G44" s="13">
        <f>+VLOOKUP(Tabla1103453454455456479363747[[#This Row],[Ingrediente]],Tabla34[#All],3,0)</f>
        <v>4196.75</v>
      </c>
      <c r="H44" s="14">
        <f>+Tabla1103453454455456479363747[[#This Row],[Costo]]*Tabla1103453454455456479363747[[#This Row],[Columna2]]</f>
        <v>4196.75</v>
      </c>
      <c r="I44" s="4"/>
      <c r="J44" s="8" t="s">
        <v>13</v>
      </c>
      <c r="K44" s="15">
        <f>+K42+K43</f>
        <v>16688.920683786997</v>
      </c>
      <c r="M44" s="346"/>
    </row>
    <row r="45" spans="2:13" x14ac:dyDescent="0.3">
      <c r="B45" s="10" t="s">
        <v>730</v>
      </c>
      <c r="C45" s="11" t="s">
        <v>67</v>
      </c>
      <c r="D45" s="12">
        <v>3</v>
      </c>
      <c r="E45" s="12">
        <v>40</v>
      </c>
      <c r="F45" s="12">
        <v>5</v>
      </c>
      <c r="G45" s="13">
        <f>+VLOOKUP(Tabla1103453454455456479363747[[#This Row],[Ingrediente]],Tabla34[#All],3,0)</f>
        <v>12</v>
      </c>
      <c r="H45" s="14">
        <f>+Tabla1103453454455456479363747[[#This Row],[Costo]]*Tabla1103453454455456479363747[[#This Row],[Columna2]]</f>
        <v>60</v>
      </c>
      <c r="I45" s="4"/>
      <c r="J45" s="20" t="s">
        <v>14</v>
      </c>
      <c r="K45" s="21">
        <v>48000</v>
      </c>
    </row>
    <row r="46" spans="2:13" x14ac:dyDescent="0.3">
      <c r="B46" s="10" t="s">
        <v>620</v>
      </c>
      <c r="C46" s="11" t="s">
        <v>67</v>
      </c>
      <c r="D46" s="12">
        <v>120</v>
      </c>
      <c r="E46" s="12">
        <v>10</v>
      </c>
      <c r="F46" s="12">
        <v>133.333</v>
      </c>
      <c r="G46" s="13">
        <f>+VLOOKUP(Tabla1103453454455456479363747[[#This Row],[Ingrediente]],Tabla34[#All],3,0)</f>
        <v>39</v>
      </c>
      <c r="H46" s="14">
        <f>+Tabla1103453454455456479363747[[#This Row],[Costo]]*Tabla1103453454455456479363747[[#This Row],[Columna2]]</f>
        <v>5199.9870000000001</v>
      </c>
      <c r="I46" s="4"/>
      <c r="J46" s="8" t="s">
        <v>15</v>
      </c>
      <c r="K46" s="15">
        <f>+K45/1.08*0.08</f>
        <v>3555.5555555555552</v>
      </c>
      <c r="M46" s="377" t="s">
        <v>1377</v>
      </c>
    </row>
    <row r="47" spans="2:13" x14ac:dyDescent="0.3">
      <c r="B47" s="24" t="s">
        <v>835</v>
      </c>
      <c r="C47" s="11" t="s">
        <v>67</v>
      </c>
      <c r="D47" s="12">
        <v>50</v>
      </c>
      <c r="E47" s="12">
        <v>78</v>
      </c>
      <c r="F47" s="12">
        <v>227.273</v>
      </c>
      <c r="G47" s="13">
        <f>+VLOOKUP(Tabla1103453454455456479363747[[#This Row],[Ingrediente]],Tabla34[#All],3,0)</f>
        <v>4.5</v>
      </c>
      <c r="H47" s="14">
        <f>+Tabla1103453454455456479363747[[#This Row],[Costo]]*Tabla1103453454455456479363747[[#This Row],[Columna2]]</f>
        <v>1022.7284999999999</v>
      </c>
      <c r="I47" s="4"/>
      <c r="J47" s="8" t="s">
        <v>16</v>
      </c>
      <c r="K47" s="15">
        <f>+K45-K46</f>
        <v>44444.444444444445</v>
      </c>
      <c r="M47" s="346"/>
    </row>
    <row r="48" spans="2:13" x14ac:dyDescent="0.3">
      <c r="B48" s="24" t="s">
        <v>321</v>
      </c>
      <c r="C48" s="11" t="s">
        <v>67</v>
      </c>
      <c r="D48" s="12">
        <v>5</v>
      </c>
      <c r="E48" s="12">
        <v>0</v>
      </c>
      <c r="F48" s="12">
        <v>5</v>
      </c>
      <c r="G48" s="13">
        <f>+VLOOKUP(Tabla1103453454455456479363747[[#This Row],[Ingrediente]],Tabla34[#All],3,0)</f>
        <v>12</v>
      </c>
      <c r="H48" s="14">
        <f>+Tabla1103453454455456479363747[[#This Row],[Costo]]*Tabla1103453454455456479363747[[#This Row],[Columna2]]</f>
        <v>60</v>
      </c>
      <c r="I48" s="4"/>
      <c r="J48" s="8" t="s">
        <v>17</v>
      </c>
      <c r="K48" s="22">
        <f>+K44/K47</f>
        <v>0.37550071538520741</v>
      </c>
      <c r="M48" s="346"/>
    </row>
    <row r="49" spans="2:13" x14ac:dyDescent="0.3">
      <c r="B49" s="24" t="s">
        <v>641</v>
      </c>
      <c r="C49" s="11" t="s">
        <v>67</v>
      </c>
      <c r="D49" s="12">
        <v>30</v>
      </c>
      <c r="E49" s="12">
        <v>0</v>
      </c>
      <c r="F49" s="12">
        <v>30</v>
      </c>
      <c r="G49" s="13">
        <f>+VLOOKUP(Tabla1103453454455456479363747[[#This Row],[Ingrediente]],Tabla34[#All],3,0)</f>
        <v>8.9</v>
      </c>
      <c r="H49" s="14">
        <f>+Tabla1103453454455456479363747[[#This Row],[Costo]]*Tabla1103453454455456479363747[[#This Row],[Columna2]]</f>
        <v>267</v>
      </c>
      <c r="I49" s="4"/>
      <c r="J49" s="8" t="s">
        <v>18</v>
      </c>
      <c r="K49" s="23">
        <f>+K47-K44</f>
        <v>27755.523760657448</v>
      </c>
      <c r="M49" s="346"/>
    </row>
    <row r="50" spans="2:13" x14ac:dyDescent="0.3">
      <c r="B50" s="24" t="s">
        <v>220</v>
      </c>
      <c r="C50" s="11" t="s">
        <v>67</v>
      </c>
      <c r="D50" s="12">
        <v>120</v>
      </c>
      <c r="E50" s="12">
        <v>5</v>
      </c>
      <c r="F50" s="12">
        <v>126.316</v>
      </c>
      <c r="G50" s="13">
        <f>+VLOOKUP(Tabla1103453454455456479363747[[#This Row],[Ingrediente]],Tabla34[#All],3,0)</f>
        <v>4.5</v>
      </c>
      <c r="H50" s="14">
        <f>+Tabla1103453454455456479363747[[#This Row],[Costo]]*Tabla1103453454455456479363747[[#This Row],[Columna2]]</f>
        <v>568.42200000000003</v>
      </c>
      <c r="I50" s="4"/>
      <c r="J50" s="8" t="s">
        <v>19</v>
      </c>
      <c r="K50" s="25">
        <f>+K49/K44</f>
        <v>1.6631107719039895</v>
      </c>
      <c r="M50" s="346"/>
    </row>
    <row r="51" spans="2:13" x14ac:dyDescent="0.3">
      <c r="B51" s="10" t="s">
        <v>840</v>
      </c>
      <c r="C51" s="11" t="s">
        <v>67</v>
      </c>
      <c r="D51" s="12">
        <v>1</v>
      </c>
      <c r="E51" s="12">
        <v>0</v>
      </c>
      <c r="F51" s="12">
        <v>1</v>
      </c>
      <c r="G51" s="13">
        <f>+VLOOKUP(Tabla1103453454455456479363747[[#This Row],[Ingrediente]],Tabla34[#All],3,0)</f>
        <v>57.218061669999997</v>
      </c>
      <c r="H51" s="14">
        <f>+Tabla1103453454455456479363747[[#This Row],[Costo]]*Tabla1103453454455456479363747[[#This Row],[Columna2]]</f>
        <v>57.218061669999997</v>
      </c>
      <c r="I51" s="4"/>
      <c r="J51" s="4"/>
      <c r="K51" s="31"/>
    </row>
    <row r="52" spans="2:13" x14ac:dyDescent="0.3">
      <c r="B52" s="10" t="s">
        <v>89</v>
      </c>
      <c r="C52" s="11" t="s">
        <v>67</v>
      </c>
      <c r="D52" s="12">
        <v>3</v>
      </c>
      <c r="E52" s="12">
        <v>0</v>
      </c>
      <c r="F52" s="12">
        <v>3</v>
      </c>
      <c r="G52" s="13">
        <f>+VLOOKUP(Tabla1103453454455456479363747[[#This Row],[Ingrediente]],Tabla34[#All],3,0)</f>
        <v>2.4009999999999998</v>
      </c>
      <c r="H52" s="14">
        <f>+Tabla1103453454455456479363747[[#This Row],[Costo]]*Tabla1103453454455456479363747[[#This Row],[Columna2]]</f>
        <v>7.2029999999999994</v>
      </c>
      <c r="I52" s="4"/>
      <c r="J52" s="4"/>
      <c r="K52" s="31"/>
    </row>
    <row r="53" spans="2:13" x14ac:dyDescent="0.3">
      <c r="B53" s="10" t="s">
        <v>1223</v>
      </c>
      <c r="C53" s="11" t="s">
        <v>67</v>
      </c>
      <c r="D53" s="12">
        <v>50</v>
      </c>
      <c r="E53" s="12">
        <v>0</v>
      </c>
      <c r="F53" s="12">
        <v>50</v>
      </c>
      <c r="G53" s="13">
        <f>+VLOOKUP(Tabla1103453454455456479363747[[#This Row],[Ingrediente]],Tabla34[#All],3,0)</f>
        <v>8.6245170299999998</v>
      </c>
      <c r="H53" s="14">
        <f>+Tabla1103453454455456479363747[[#This Row],[Costo]]*Tabla1103453454455456479363747[[#This Row],[Columna2]]</f>
        <v>431.22585149999998</v>
      </c>
      <c r="I53" s="4"/>
      <c r="J53" s="4"/>
      <c r="K53" s="31"/>
    </row>
    <row r="54" spans="2:13" x14ac:dyDescent="0.3">
      <c r="B54" s="24" t="s">
        <v>52</v>
      </c>
      <c r="C54" s="11" t="s">
        <v>67</v>
      </c>
      <c r="D54" s="12">
        <v>60</v>
      </c>
      <c r="E54" s="12">
        <v>0</v>
      </c>
      <c r="F54" s="12">
        <v>60</v>
      </c>
      <c r="G54" s="13">
        <f>+VLOOKUP(Tabla1103453454455456479363747[[#This Row],[Ingrediente]],Tabla34[#All],3,0)</f>
        <v>27.651436050000001</v>
      </c>
      <c r="H54" s="14">
        <f>+Tabla1103453454455456479363747[[#This Row],[Costo]]*Tabla1103453454455456479363747[[#This Row],[Columna2]]</f>
        <v>1659.0861629999999</v>
      </c>
      <c r="I54" s="4"/>
      <c r="J54" s="4"/>
      <c r="K54" s="31"/>
    </row>
    <row r="55" spans="2:13" x14ac:dyDescent="0.3">
      <c r="B55" s="24" t="s">
        <v>229</v>
      </c>
      <c r="C55" s="11" t="s">
        <v>67</v>
      </c>
      <c r="D55" s="12">
        <v>30</v>
      </c>
      <c r="E55" s="12">
        <v>0</v>
      </c>
      <c r="F55" s="12">
        <v>30</v>
      </c>
      <c r="G55" s="13">
        <f>+VLOOKUP(Tabla1103453454455456479363747[[#This Row],[Ingrediente]],Tabla34[#All],3,0)</f>
        <v>24.714500000000001</v>
      </c>
      <c r="H55" s="14">
        <f>+Tabla1103453454455456479363747[[#This Row],[Costo]]*Tabla1103453454455456479363747[[#This Row],[Columna2]]</f>
        <v>741.43500000000006</v>
      </c>
      <c r="I55" s="4"/>
      <c r="J55" s="4"/>
      <c r="K55" s="31"/>
    </row>
    <row r="56" spans="2:13" x14ac:dyDescent="0.3">
      <c r="B56" s="10" t="s">
        <v>745</v>
      </c>
      <c r="C56" s="11" t="s">
        <v>67</v>
      </c>
      <c r="D56" s="12">
        <v>5</v>
      </c>
      <c r="E56" s="12">
        <v>5</v>
      </c>
      <c r="F56" s="12">
        <v>5.2629999999999999</v>
      </c>
      <c r="G56" s="13">
        <f>+VLOOKUP(Tabla1103453454455456479363747[[#This Row],[Ingrediente]],Tabla34[#All],3,0)</f>
        <v>37.5</v>
      </c>
      <c r="H56" s="14">
        <f>+Tabla1103453454455456479363747[[#This Row],[Costo]]*Tabla1103453454455456479363747[[#This Row],[Columna2]]</f>
        <v>197.36249999999998</v>
      </c>
      <c r="I56" s="4"/>
      <c r="J56" s="4"/>
      <c r="K56" s="31"/>
    </row>
    <row r="57" spans="2:13" x14ac:dyDescent="0.3">
      <c r="B57" s="24" t="s">
        <v>687</v>
      </c>
      <c r="C57" s="11" t="s">
        <v>67</v>
      </c>
      <c r="D57" s="12">
        <v>30</v>
      </c>
      <c r="E57" s="12">
        <v>10</v>
      </c>
      <c r="F57" s="12">
        <v>33.332999999999998</v>
      </c>
      <c r="G57" s="13">
        <f>+VLOOKUP(Tabla1103453454455456479363747[[#This Row],[Ingrediente]],Tabla34[#All],3,0)</f>
        <v>2.8</v>
      </c>
      <c r="H57" s="14">
        <f>+Tabla1103453454455456479363747[[#This Row],[Costo]]*Tabla1103453454455456479363747[[#This Row],[Columna2]]</f>
        <v>93.332399999999993</v>
      </c>
      <c r="I57" s="4"/>
      <c r="J57" s="4"/>
      <c r="K57" s="31"/>
    </row>
    <row r="58" spans="2:13" x14ac:dyDescent="0.3">
      <c r="B58" s="10" t="s">
        <v>187</v>
      </c>
      <c r="C58" s="11" t="s">
        <v>67</v>
      </c>
      <c r="D58" s="12">
        <v>30</v>
      </c>
      <c r="E58" s="12">
        <v>10</v>
      </c>
      <c r="F58" s="12">
        <v>33.332999999999998</v>
      </c>
      <c r="G58" s="13">
        <f>+VLOOKUP(Tabla1103453454455456479363747[[#This Row],[Ingrediente]],Tabla34[#All],3,0)</f>
        <v>4.7</v>
      </c>
      <c r="H58" s="14">
        <f>+Tabla1103453454455456479363747[[#This Row],[Costo]]*Tabla1103453454455456479363747[[#This Row],[Columna2]]</f>
        <v>156.6651</v>
      </c>
      <c r="I58" s="4"/>
      <c r="J58" s="27"/>
      <c r="K58" s="27"/>
    </row>
    <row r="59" spans="2:13" x14ac:dyDescent="0.3">
      <c r="B59" s="16"/>
      <c r="C59" s="17"/>
      <c r="D59" s="17"/>
      <c r="E59" s="17"/>
      <c r="F59" s="17"/>
      <c r="G59" s="18"/>
      <c r="H59" s="18">
        <f>SUBTOTAL(109,Tabla1103453454455456479363747[Total costo])</f>
        <v>15171.746076169999</v>
      </c>
    </row>
    <row r="60" spans="2:13" s="28" customFormat="1" x14ac:dyDescent="0.3">
      <c r="B60" s="32"/>
      <c r="C60" s="33"/>
      <c r="D60" s="33"/>
      <c r="E60" s="33"/>
      <c r="F60" s="33"/>
      <c r="G60" s="34"/>
      <c r="H60" s="34"/>
    </row>
    <row r="61" spans="2:13" ht="15.6" x14ac:dyDescent="0.3">
      <c r="B61" s="1" t="s">
        <v>62</v>
      </c>
      <c r="C61" s="2"/>
      <c r="D61" s="2"/>
      <c r="E61" s="3"/>
      <c r="F61" s="3"/>
      <c r="G61" s="3"/>
      <c r="H61" s="3"/>
      <c r="J61" s="399" t="s">
        <v>0</v>
      </c>
      <c r="K61" s="399"/>
      <c r="M61" s="377" t="s">
        <v>1394</v>
      </c>
    </row>
    <row r="62" spans="2:13" x14ac:dyDescent="0.3">
      <c r="B62" s="5" t="s">
        <v>1</v>
      </c>
      <c r="C62" s="6" t="s">
        <v>2</v>
      </c>
      <c r="D62" s="6" t="s">
        <v>3</v>
      </c>
      <c r="E62" s="6" t="s">
        <v>920</v>
      </c>
      <c r="F62" s="6" t="s">
        <v>319</v>
      </c>
      <c r="G62" s="7" t="s">
        <v>4</v>
      </c>
      <c r="H62" s="7" t="s">
        <v>5</v>
      </c>
      <c r="I62" s="4"/>
      <c r="J62" s="8" t="s">
        <v>6</v>
      </c>
      <c r="K62" s="9">
        <f>SUM(Tabla1103453454455456479363848[Total costo])</f>
        <v>14774.117970070001</v>
      </c>
      <c r="M62" s="346" t="s">
        <v>1476</v>
      </c>
    </row>
    <row r="63" spans="2:13" x14ac:dyDescent="0.3">
      <c r="B63" s="10" t="s">
        <v>1091</v>
      </c>
      <c r="C63" s="11" t="s">
        <v>67</v>
      </c>
      <c r="D63" s="12">
        <v>1</v>
      </c>
      <c r="E63" s="12">
        <v>0</v>
      </c>
      <c r="F63" s="12">
        <v>1</v>
      </c>
      <c r="G63" s="13">
        <f>+VLOOKUP(Tabla1103453454455456479363848[[#This Row],[Ingrediente]],Tabla34[#All],3,0)</f>
        <v>73.78</v>
      </c>
      <c r="H63" s="14">
        <f>+Tabla1103453454455456479363848[[#This Row],[Costo]]*Tabla1103453454455456479363848[[#This Row],[Columna2]]</f>
        <v>73.78</v>
      </c>
      <c r="I63" s="4"/>
      <c r="J63" s="8" t="s">
        <v>12</v>
      </c>
      <c r="K63" s="15">
        <f>+K62*10%</f>
        <v>1477.4117970070001</v>
      </c>
      <c r="M63" s="346" t="s">
        <v>1477</v>
      </c>
    </row>
    <row r="64" spans="2:13" x14ac:dyDescent="0.3">
      <c r="B64" s="10" t="s">
        <v>837</v>
      </c>
      <c r="C64" s="11" t="s">
        <v>847</v>
      </c>
      <c r="D64" s="12">
        <v>6</v>
      </c>
      <c r="E64" s="12">
        <v>0</v>
      </c>
      <c r="F64" s="12">
        <v>6</v>
      </c>
      <c r="G64" s="13">
        <f>+VLOOKUP(Tabla1103453454455456479363848[[#This Row],[Ingrediente]],Tabla34[#All],3,0)</f>
        <v>514.28</v>
      </c>
      <c r="H64" s="14">
        <f>+Tabla1103453454455456479363848[[#This Row],[Costo]]*Tabla1103453454455456479363848[[#This Row],[Columna2]]</f>
        <v>3085.68</v>
      </c>
      <c r="I64" s="4"/>
      <c r="J64" s="8" t="s">
        <v>13</v>
      </c>
      <c r="K64" s="15">
        <f>+K62+K63</f>
        <v>16251.529767077001</v>
      </c>
    </row>
    <row r="65" spans="2:13" x14ac:dyDescent="0.3">
      <c r="B65" s="10" t="s">
        <v>669</v>
      </c>
      <c r="C65" s="11" t="s">
        <v>67</v>
      </c>
      <c r="D65" s="12">
        <v>20</v>
      </c>
      <c r="E65" s="12">
        <v>40</v>
      </c>
      <c r="F65" s="12">
        <v>33.332999999999998</v>
      </c>
      <c r="G65" s="13">
        <f>+VLOOKUP(Tabla1103453454455456479363848[[#This Row],[Ingrediente]],Tabla34[#All],3,0)</f>
        <v>6</v>
      </c>
      <c r="H65" s="14">
        <f>+Tabla1103453454455456479363848[[#This Row],[Costo]]*Tabla1103453454455456479363848[[#This Row],[Columna2]]</f>
        <v>199.99799999999999</v>
      </c>
      <c r="I65" s="4"/>
      <c r="J65" s="20" t="s">
        <v>14</v>
      </c>
      <c r="K65" s="21">
        <v>52000</v>
      </c>
      <c r="M65" s="377" t="s">
        <v>1377</v>
      </c>
    </row>
    <row r="66" spans="2:13" x14ac:dyDescent="0.3">
      <c r="B66" s="24" t="s">
        <v>620</v>
      </c>
      <c r="C66" s="11" t="s">
        <v>67</v>
      </c>
      <c r="D66" s="12">
        <v>120</v>
      </c>
      <c r="E66" s="12">
        <v>10</v>
      </c>
      <c r="F66" s="12">
        <v>133.333</v>
      </c>
      <c r="G66" s="13">
        <f>+VLOOKUP(Tabla1103453454455456479363848[[#This Row],[Ingrediente]],Tabla34[#All],3,0)</f>
        <v>39</v>
      </c>
      <c r="H66" s="14">
        <f>+Tabla1103453454455456479363848[[#This Row],[Costo]]*Tabla1103453454455456479363848[[#This Row],[Columna2]]</f>
        <v>5199.9870000000001</v>
      </c>
      <c r="I66" s="4"/>
      <c r="J66" s="8" t="s">
        <v>15</v>
      </c>
      <c r="K66" s="15">
        <f>+K65/1.08*0.08</f>
        <v>3851.8518518518517</v>
      </c>
      <c r="M66" s="346" t="s">
        <v>1478</v>
      </c>
    </row>
    <row r="67" spans="2:13" x14ac:dyDescent="0.3">
      <c r="B67" s="10" t="s">
        <v>312</v>
      </c>
      <c r="C67" s="11" t="s">
        <v>67</v>
      </c>
      <c r="D67" s="12">
        <v>10</v>
      </c>
      <c r="E67" s="12">
        <v>0</v>
      </c>
      <c r="F67" s="12">
        <v>10</v>
      </c>
      <c r="G67" s="13">
        <f>+VLOOKUP(Tabla1103453454455456479363848[[#This Row],[Ingrediente]],Tabla34[#All],3,0)</f>
        <v>4.2671999999999999</v>
      </c>
      <c r="H67" s="14">
        <f>+Tabla1103453454455456479363848[[#This Row],[Costo]]*Tabla1103453454455456479363848[[#This Row],[Columna2]]</f>
        <v>42.671999999999997</v>
      </c>
      <c r="I67" s="4"/>
      <c r="J67" s="8" t="s">
        <v>16</v>
      </c>
      <c r="K67" s="15">
        <f>+K65-K66</f>
        <v>48148.148148148146</v>
      </c>
      <c r="M67" s="346" t="s">
        <v>1479</v>
      </c>
    </row>
    <row r="68" spans="2:13" x14ac:dyDescent="0.3">
      <c r="B68" s="10" t="s">
        <v>835</v>
      </c>
      <c r="C68" s="11" t="s">
        <v>67</v>
      </c>
      <c r="D68" s="12">
        <v>40</v>
      </c>
      <c r="E68" s="12">
        <v>78</v>
      </c>
      <c r="F68" s="12">
        <v>181.81800000000001</v>
      </c>
      <c r="G68" s="13">
        <f>+VLOOKUP(Tabla1103453454455456479363848[[#This Row],[Ingrediente]],Tabla34[#All],3,0)</f>
        <v>4.5</v>
      </c>
      <c r="H68" s="14">
        <f>+Tabla1103453454455456479363848[[#This Row],[Costo]]*Tabla1103453454455456479363848[[#This Row],[Columna2]]</f>
        <v>818.18100000000004</v>
      </c>
      <c r="I68" s="4"/>
      <c r="J68" s="8" t="s">
        <v>17</v>
      </c>
      <c r="K68" s="22">
        <f>+K64/K67</f>
        <v>0.33753177208544544</v>
      </c>
      <c r="M68" s="346" t="s">
        <v>1480</v>
      </c>
    </row>
    <row r="69" spans="2:13" x14ac:dyDescent="0.3">
      <c r="B69" s="10" t="s">
        <v>692</v>
      </c>
      <c r="C69" s="11" t="s">
        <v>67</v>
      </c>
      <c r="D69" s="12">
        <v>30</v>
      </c>
      <c r="E69" s="12">
        <v>0</v>
      </c>
      <c r="F69" s="12">
        <v>30</v>
      </c>
      <c r="G69" s="13">
        <f>+VLOOKUP(Tabla1103453454455456479363848[[#This Row],[Ingrediente]],Tabla34[#All],3,0)</f>
        <v>18.698499999999999</v>
      </c>
      <c r="H69" s="14">
        <f>+Tabla1103453454455456479363848[[#This Row],[Costo]]*Tabla1103453454455456479363848[[#This Row],[Columna2]]</f>
        <v>560.95499999999993</v>
      </c>
      <c r="I69" s="4"/>
      <c r="J69" s="8" t="s">
        <v>18</v>
      </c>
      <c r="K69" s="23">
        <f>+K67-K64</f>
        <v>31896.618381071145</v>
      </c>
    </row>
    <row r="70" spans="2:13" x14ac:dyDescent="0.3">
      <c r="B70" s="24" t="s">
        <v>214</v>
      </c>
      <c r="C70" s="11" t="s">
        <v>67</v>
      </c>
      <c r="D70" s="12">
        <v>30</v>
      </c>
      <c r="E70" s="12">
        <v>0</v>
      </c>
      <c r="F70" s="12">
        <v>30</v>
      </c>
      <c r="G70" s="13">
        <f>+VLOOKUP(Tabla1103453454455456479363848[[#This Row],[Ingrediente]],Tabla34[#All],3,0)</f>
        <v>13.02</v>
      </c>
      <c r="H70" s="14">
        <f>+Tabla1103453454455456479363848[[#This Row],[Costo]]*Tabla1103453454455456479363848[[#This Row],[Columna2]]</f>
        <v>390.59999999999997</v>
      </c>
      <c r="I70" s="4"/>
      <c r="J70" s="8" t="s">
        <v>19</v>
      </c>
      <c r="K70" s="25">
        <f>+K69/K64</f>
        <v>1.962684057330319</v>
      </c>
    </row>
    <row r="71" spans="2:13" x14ac:dyDescent="0.3">
      <c r="B71" s="10" t="s">
        <v>641</v>
      </c>
      <c r="C71" s="11" t="s">
        <v>67</v>
      </c>
      <c r="D71" s="12">
        <v>30</v>
      </c>
      <c r="E71" s="12">
        <v>0</v>
      </c>
      <c r="F71" s="12">
        <v>30</v>
      </c>
      <c r="G71" s="13">
        <f>+VLOOKUP(Tabla1103453454455456479363848[[#This Row],[Ingrediente]],Tabla34[#All],3,0)</f>
        <v>8.9</v>
      </c>
      <c r="H71" s="14">
        <f>+Tabla1103453454455456479363848[[#This Row],[Costo]]*Tabla1103453454455456479363848[[#This Row],[Columna2]]</f>
        <v>267</v>
      </c>
      <c r="I71" s="4"/>
      <c r="J71" s="4"/>
      <c r="K71" s="31"/>
    </row>
    <row r="72" spans="2:13" x14ac:dyDescent="0.3">
      <c r="B72" s="10" t="s">
        <v>840</v>
      </c>
      <c r="C72" s="11" t="s">
        <v>67</v>
      </c>
      <c r="D72" s="12">
        <v>1</v>
      </c>
      <c r="E72" s="12">
        <v>0</v>
      </c>
      <c r="F72" s="12">
        <v>1</v>
      </c>
      <c r="G72" s="13">
        <f>+VLOOKUP(Tabla1103453454455456479363848[[#This Row],[Ingrediente]],Tabla34[#All],3,0)</f>
        <v>57.218061669999997</v>
      </c>
      <c r="H72" s="14">
        <f>+Tabla1103453454455456479363848[[#This Row],[Costo]]*Tabla1103453454455456479363848[[#This Row],[Columna2]]</f>
        <v>57.218061669999997</v>
      </c>
      <c r="I72" s="4"/>
      <c r="J72" s="4"/>
      <c r="K72" s="31"/>
    </row>
    <row r="73" spans="2:13" x14ac:dyDescent="0.3">
      <c r="B73" s="24" t="s">
        <v>89</v>
      </c>
      <c r="C73" s="11" t="s">
        <v>67</v>
      </c>
      <c r="D73" s="12">
        <v>2</v>
      </c>
      <c r="E73" s="12">
        <v>0</v>
      </c>
      <c r="F73" s="12">
        <v>2</v>
      </c>
      <c r="G73" s="13">
        <f>+VLOOKUP(Tabla1103453454455456479363848[[#This Row],[Ingrediente]],Tabla34[#All],3,0)</f>
        <v>2.4009999999999998</v>
      </c>
      <c r="H73" s="14">
        <f>+Tabla1103453454455456479363848[[#This Row],[Costo]]*Tabla1103453454455456479363848[[#This Row],[Columna2]]</f>
        <v>4.8019999999999996</v>
      </c>
      <c r="I73" s="4"/>
      <c r="J73" s="4"/>
      <c r="K73" s="31"/>
    </row>
    <row r="74" spans="2:13" x14ac:dyDescent="0.3">
      <c r="B74" s="24" t="s">
        <v>57</v>
      </c>
      <c r="C74" s="11" t="s">
        <v>67</v>
      </c>
      <c r="D74" s="12">
        <v>40</v>
      </c>
      <c r="E74" s="12">
        <v>0</v>
      </c>
      <c r="F74" s="12">
        <v>40</v>
      </c>
      <c r="G74" s="13">
        <f>+VLOOKUP(Tabla1103453454455456479363848[[#This Row],[Ingrediente]],Tabla34[#All],3,0)</f>
        <v>18.782608700000001</v>
      </c>
      <c r="H74" s="14">
        <f>+Tabla1103453454455456479363848[[#This Row],[Costo]]*Tabla1103453454455456479363848[[#This Row],[Columna2]]</f>
        <v>751.304348</v>
      </c>
      <c r="I74" s="4"/>
      <c r="J74" s="4"/>
      <c r="K74" s="31"/>
    </row>
    <row r="75" spans="2:13" x14ac:dyDescent="0.3">
      <c r="B75" s="24" t="s">
        <v>687</v>
      </c>
      <c r="C75" s="11" t="s">
        <v>67</v>
      </c>
      <c r="D75" s="12">
        <v>30</v>
      </c>
      <c r="E75" s="12">
        <v>10</v>
      </c>
      <c r="F75" s="12">
        <v>33.332999999999998</v>
      </c>
      <c r="G75" s="13">
        <f>+VLOOKUP(Tabla1103453454455456479363848[[#This Row],[Ingrediente]],Tabla34[#All],3,0)</f>
        <v>2.8</v>
      </c>
      <c r="H75" s="14">
        <f>+Tabla1103453454455456479363848[[#This Row],[Costo]]*Tabla1103453454455456479363848[[#This Row],[Columna2]]</f>
        <v>93.332399999999993</v>
      </c>
      <c r="I75" s="4"/>
      <c r="J75" s="4"/>
      <c r="K75" s="31"/>
    </row>
    <row r="76" spans="2:13" x14ac:dyDescent="0.3">
      <c r="B76" s="24" t="s">
        <v>187</v>
      </c>
      <c r="C76" s="11" t="s">
        <v>67</v>
      </c>
      <c r="D76" s="12">
        <v>30</v>
      </c>
      <c r="E76" s="12">
        <v>10</v>
      </c>
      <c r="F76" s="12">
        <v>33.332999999999998</v>
      </c>
      <c r="G76" s="13">
        <f>+VLOOKUP(Tabla1103453454455456479363848[[#This Row],[Ingrediente]],Tabla34[#All],3,0)</f>
        <v>4.7</v>
      </c>
      <c r="H76" s="14">
        <f>+Tabla1103453454455456479363848[[#This Row],[Costo]]*Tabla1103453454455456479363848[[#This Row],[Columna2]]</f>
        <v>156.6651</v>
      </c>
      <c r="I76" s="4"/>
      <c r="J76" s="4"/>
      <c r="K76" s="31"/>
    </row>
    <row r="77" spans="2:13" x14ac:dyDescent="0.3">
      <c r="B77" s="24" t="s">
        <v>108</v>
      </c>
      <c r="C77" s="11" t="s">
        <v>67</v>
      </c>
      <c r="D77" s="12">
        <v>10</v>
      </c>
      <c r="E77" s="12">
        <v>0</v>
      </c>
      <c r="F77" s="12">
        <v>10</v>
      </c>
      <c r="G77" s="13">
        <f>+VLOOKUP(Tabla1103453454455456479363848[[#This Row],[Ingrediente]],Tabla34[#All],3,0)</f>
        <v>202.10400000000001</v>
      </c>
      <c r="H77" s="14">
        <f>+Tabla1103453454455456479363848[[#This Row],[Costo]]*Tabla1103453454455456479363848[[#This Row],[Columna2]]</f>
        <v>2021.0400000000002</v>
      </c>
      <c r="I77" s="4"/>
      <c r="J77" s="4"/>
      <c r="K77" s="31"/>
    </row>
    <row r="78" spans="2:13" x14ac:dyDescent="0.3">
      <c r="B78" s="10" t="s">
        <v>619</v>
      </c>
      <c r="C78" s="11" t="s">
        <v>67</v>
      </c>
      <c r="D78" s="12">
        <v>40</v>
      </c>
      <c r="E78" s="12">
        <v>0</v>
      </c>
      <c r="F78" s="12">
        <v>40</v>
      </c>
      <c r="G78" s="13">
        <f>+VLOOKUP(Tabla1103453454455456479363848[[#This Row],[Ingrediente]],Tabla34[#All],3,0)</f>
        <v>26.27257651</v>
      </c>
      <c r="H78" s="14">
        <f>+Tabla1103453454455456479363848[[#This Row],[Costo]]*Tabla1103453454455456479363848[[#This Row],[Columna2]]</f>
        <v>1050.9030604</v>
      </c>
      <c r="I78" s="4"/>
      <c r="J78" s="4"/>
      <c r="K78" s="26"/>
    </row>
    <row r="79" spans="2:13" x14ac:dyDescent="0.3">
      <c r="B79" s="16"/>
      <c r="C79" s="17"/>
      <c r="D79" s="17"/>
      <c r="E79" s="17"/>
      <c r="F79" s="17"/>
      <c r="G79" s="18"/>
      <c r="H79" s="18">
        <f>SUBTOTAL(109,Tabla1103453454455456479363848[Total costo])</f>
        <v>14774.117970070001</v>
      </c>
      <c r="I79" s="4"/>
      <c r="J79" s="27"/>
      <c r="K79" s="27"/>
    </row>
    <row r="80" spans="2:13" x14ac:dyDescent="0.3">
      <c r="G80" s="27"/>
    </row>
    <row r="81" spans="2:13" ht="15.6" x14ac:dyDescent="0.3">
      <c r="B81" s="1" t="s">
        <v>63</v>
      </c>
      <c r="C81" s="2"/>
      <c r="D81" s="2"/>
      <c r="E81" s="3"/>
      <c r="F81" s="3"/>
      <c r="G81" s="3"/>
      <c r="H81" s="3"/>
      <c r="J81" s="399" t="s">
        <v>0</v>
      </c>
      <c r="K81" s="399"/>
      <c r="M81" s="377" t="s">
        <v>1394</v>
      </c>
    </row>
    <row r="82" spans="2:13" x14ac:dyDescent="0.3">
      <c r="B82" s="5" t="s">
        <v>1</v>
      </c>
      <c r="C82" s="6" t="s">
        <v>2</v>
      </c>
      <c r="D82" s="6" t="s">
        <v>3</v>
      </c>
      <c r="E82" s="6" t="s">
        <v>920</v>
      </c>
      <c r="F82" s="6" t="s">
        <v>319</v>
      </c>
      <c r="G82" s="7" t="s">
        <v>4</v>
      </c>
      <c r="H82" s="7" t="s">
        <v>5</v>
      </c>
      <c r="I82" s="4"/>
      <c r="J82" s="8" t="s">
        <v>6</v>
      </c>
      <c r="K82" s="9">
        <f>SUM(Tabla1103453454455456479363949[Total costo])</f>
        <v>11832.023283570001</v>
      </c>
      <c r="M82" s="346" t="s">
        <v>1481</v>
      </c>
    </row>
    <row r="83" spans="2:13" x14ac:dyDescent="0.3">
      <c r="B83" s="10" t="s">
        <v>683</v>
      </c>
      <c r="C83" s="11" t="s">
        <v>67</v>
      </c>
      <c r="D83" s="12">
        <v>40</v>
      </c>
      <c r="E83" s="12">
        <v>25</v>
      </c>
      <c r="F83" s="12">
        <v>53.332999999999998</v>
      </c>
      <c r="G83" s="13">
        <f>+VLOOKUP(Tabla1103453454455456479363949[[#This Row],[Ingrediente]],Tabla34[#All],3,0)</f>
        <v>8.5</v>
      </c>
      <c r="H83" s="14">
        <f>+Tabla1103453454455456479363949[[#This Row],[Costo]]*Tabla1103453454455456479363949[[#This Row],[Columna2]]</f>
        <v>453.33049999999997</v>
      </c>
      <c r="I83" s="4"/>
      <c r="J83" s="8" t="s">
        <v>12</v>
      </c>
      <c r="K83" s="15">
        <f>+K82*10%</f>
        <v>1183.2023283570002</v>
      </c>
      <c r="M83" s="346" t="s">
        <v>1482</v>
      </c>
    </row>
    <row r="84" spans="2:13" x14ac:dyDescent="0.3">
      <c r="B84" s="10" t="s">
        <v>824</v>
      </c>
      <c r="C84" s="11" t="s">
        <v>67</v>
      </c>
      <c r="D84" s="12">
        <v>2</v>
      </c>
      <c r="E84" s="12">
        <v>13</v>
      </c>
      <c r="F84" s="12">
        <v>2.2989999999999999</v>
      </c>
      <c r="G84" s="13">
        <f>+VLOOKUP(Tabla1103453454455456479363949[[#This Row],[Ingrediente]],Tabla34[#All],3,0)</f>
        <v>19</v>
      </c>
      <c r="H84" s="14">
        <f>+Tabla1103453454455456479363949[[#This Row],[Costo]]*Tabla1103453454455456479363949[[#This Row],[Columna2]]</f>
        <v>43.680999999999997</v>
      </c>
      <c r="I84" s="4"/>
      <c r="J84" s="8" t="s">
        <v>13</v>
      </c>
      <c r="K84" s="15">
        <f>+K82+K83</f>
        <v>13015.225611927001</v>
      </c>
      <c r="M84" s="346" t="s">
        <v>1483</v>
      </c>
    </row>
    <row r="85" spans="2:13" x14ac:dyDescent="0.3">
      <c r="B85" s="10" t="s">
        <v>838</v>
      </c>
      <c r="C85" s="11" t="s">
        <v>847</v>
      </c>
      <c r="D85" s="12">
        <v>1</v>
      </c>
      <c r="E85" s="12">
        <v>0</v>
      </c>
      <c r="F85" s="12">
        <v>1</v>
      </c>
      <c r="G85" s="13">
        <f>+VLOOKUP(Tabla1103453454455456479363949[[#This Row],[Ingrediente]],Tabla34[#All],3,0)</f>
        <v>4196.75</v>
      </c>
      <c r="H85" s="14">
        <f>+Tabla1103453454455456479363949[[#This Row],[Costo]]*Tabla1103453454455456479363949[[#This Row],[Columna2]]</f>
        <v>4196.75</v>
      </c>
      <c r="I85" s="4"/>
      <c r="J85" s="20" t="s">
        <v>14</v>
      </c>
      <c r="K85" s="21">
        <v>44000</v>
      </c>
      <c r="M85" s="346" t="s">
        <v>1484</v>
      </c>
    </row>
    <row r="86" spans="2:13" x14ac:dyDescent="0.3">
      <c r="B86" s="10" t="s">
        <v>837</v>
      </c>
      <c r="C86" s="11" t="s">
        <v>847</v>
      </c>
      <c r="D86" s="12">
        <v>7</v>
      </c>
      <c r="E86" s="12">
        <v>0</v>
      </c>
      <c r="F86" s="12">
        <v>7</v>
      </c>
      <c r="G86" s="13">
        <f>+VLOOKUP(Tabla1103453454455456479363949[[#This Row],[Ingrediente]],Tabla34[#All],3,0)</f>
        <v>514.28</v>
      </c>
      <c r="H86" s="14">
        <f>+Tabla1103453454455456479363949[[#This Row],[Costo]]*Tabla1103453454455456479363949[[#This Row],[Columna2]]</f>
        <v>3599.96</v>
      </c>
      <c r="I86" s="4"/>
      <c r="J86" s="8" t="s">
        <v>15</v>
      </c>
      <c r="K86" s="15">
        <f>+K85/1.08*0.08</f>
        <v>3259.2592592592591</v>
      </c>
      <c r="M86" s="346"/>
    </row>
    <row r="87" spans="2:13" x14ac:dyDescent="0.3">
      <c r="B87" s="10" t="s">
        <v>730</v>
      </c>
      <c r="C87" s="11" t="s">
        <v>67</v>
      </c>
      <c r="D87" s="12">
        <v>3</v>
      </c>
      <c r="E87" s="12">
        <v>40</v>
      </c>
      <c r="F87" s="12">
        <v>5</v>
      </c>
      <c r="G87" s="13">
        <f>+VLOOKUP(Tabla1103453454455456479363949[[#This Row],[Ingrediente]],Tabla34[#All],3,0)</f>
        <v>12</v>
      </c>
      <c r="H87" s="14">
        <f>+Tabla1103453454455456479363949[[#This Row],[Costo]]*Tabla1103453454455456479363949[[#This Row],[Columna2]]</f>
        <v>60</v>
      </c>
      <c r="I87" s="4"/>
      <c r="J87" s="8" t="s">
        <v>16</v>
      </c>
      <c r="K87" s="15">
        <f>+K85-K86</f>
        <v>40740.740740740745</v>
      </c>
      <c r="M87" s="377" t="s">
        <v>1377</v>
      </c>
    </row>
    <row r="88" spans="2:13" x14ac:dyDescent="0.3">
      <c r="B88" s="10" t="s">
        <v>835</v>
      </c>
      <c r="C88" s="11" t="s">
        <v>67</v>
      </c>
      <c r="D88" s="12">
        <v>50</v>
      </c>
      <c r="E88" s="12">
        <v>78</v>
      </c>
      <c r="F88" s="12">
        <v>227.273</v>
      </c>
      <c r="G88" s="13">
        <f>+VLOOKUP(Tabla1103453454455456479363949[[#This Row],[Ingrediente]],Tabla34[#All],3,0)</f>
        <v>4.5</v>
      </c>
      <c r="H88" s="14">
        <f>+Tabla1103453454455456479363949[[#This Row],[Costo]]*Tabla1103453454455456479363949[[#This Row],[Columna2]]</f>
        <v>1022.7284999999999</v>
      </c>
      <c r="I88" s="4"/>
      <c r="J88" s="8" t="s">
        <v>17</v>
      </c>
      <c r="K88" s="22">
        <f>+K84/K87</f>
        <v>0.31946462865638997</v>
      </c>
      <c r="M88" s="346" t="s">
        <v>1485</v>
      </c>
    </row>
    <row r="89" spans="2:13" x14ac:dyDescent="0.3">
      <c r="B89" s="10" t="s">
        <v>641</v>
      </c>
      <c r="C89" s="11" t="s">
        <v>67</v>
      </c>
      <c r="D89" s="12">
        <v>30</v>
      </c>
      <c r="E89" s="12">
        <v>0</v>
      </c>
      <c r="F89" s="12">
        <v>30</v>
      </c>
      <c r="G89" s="13">
        <f>+VLOOKUP(Tabla1103453454455456479363949[[#This Row],[Ingrediente]],Tabla34[#All],3,0)</f>
        <v>8.9</v>
      </c>
      <c r="H89" s="14">
        <f>+Tabla1103453454455456479363949[[#This Row],[Costo]]*Tabla1103453454455456479363949[[#This Row],[Columna2]]</f>
        <v>267</v>
      </c>
      <c r="I89" s="4"/>
      <c r="J89" s="8" t="s">
        <v>18</v>
      </c>
      <c r="K89" s="23">
        <f>+K87-K84</f>
        <v>27725.515128813742</v>
      </c>
      <c r="M89" s="346" t="s">
        <v>1486</v>
      </c>
    </row>
    <row r="90" spans="2:13" x14ac:dyDescent="0.3">
      <c r="B90" s="24" t="s">
        <v>220</v>
      </c>
      <c r="C90" s="11" t="s">
        <v>67</v>
      </c>
      <c r="D90" s="12">
        <v>120</v>
      </c>
      <c r="E90" s="12">
        <v>5</v>
      </c>
      <c r="F90" s="12">
        <v>126.316</v>
      </c>
      <c r="G90" s="13">
        <f>+VLOOKUP(Tabla1103453454455456479363949[[#This Row],[Ingrediente]],Tabla34[#All],3,0)</f>
        <v>4.5</v>
      </c>
      <c r="H90" s="14">
        <f>+Tabla1103453454455456479363949[[#This Row],[Costo]]*Tabla1103453454455456479363949[[#This Row],[Columna2]]</f>
        <v>568.42200000000003</v>
      </c>
      <c r="I90" s="4"/>
      <c r="J90" s="8" t="s">
        <v>19</v>
      </c>
      <c r="K90" s="25">
        <f>+K89/K84</f>
        <v>2.130236997459837</v>
      </c>
      <c r="M90" s="346" t="s">
        <v>1487</v>
      </c>
    </row>
    <row r="91" spans="2:13" x14ac:dyDescent="0.3">
      <c r="B91" s="10" t="s">
        <v>840</v>
      </c>
      <c r="C91" s="11" t="s">
        <v>67</v>
      </c>
      <c r="D91" s="12">
        <v>1</v>
      </c>
      <c r="E91" s="12">
        <v>0</v>
      </c>
      <c r="F91" s="12">
        <v>1</v>
      </c>
      <c r="G91" s="13">
        <f>+VLOOKUP(Tabla1103453454455456479363949[[#This Row],[Ingrediente]],Tabla34[#All],3,0)</f>
        <v>57.218061669999997</v>
      </c>
      <c r="H91" s="14">
        <f>+Tabla1103453454455456479363949[[#This Row],[Costo]]*Tabla1103453454455456479363949[[#This Row],[Columna2]]</f>
        <v>57.218061669999997</v>
      </c>
      <c r="I91" s="4"/>
      <c r="J91" s="4"/>
      <c r="K91" s="26"/>
      <c r="M91" s="346" t="s">
        <v>1488</v>
      </c>
    </row>
    <row r="92" spans="2:13" x14ac:dyDescent="0.3">
      <c r="B92" s="10" t="s">
        <v>451</v>
      </c>
      <c r="C92" s="11" t="s">
        <v>67</v>
      </c>
      <c r="D92" s="12">
        <v>5</v>
      </c>
      <c r="E92" s="12">
        <v>0</v>
      </c>
      <c r="F92" s="12">
        <v>5</v>
      </c>
      <c r="G92" s="13">
        <f>+VLOOKUP(Tabla1103453454455456479363949[[#This Row],[Ingrediente]],Tabla34[#All],3,0)</f>
        <v>60.987499999999997</v>
      </c>
      <c r="H92" s="14">
        <f>+Tabla1103453454455456479363949[[#This Row],[Costo]]*Tabla1103453454455456479363949[[#This Row],[Columna2]]</f>
        <v>304.9375</v>
      </c>
      <c r="I92" s="4"/>
      <c r="J92" s="4"/>
      <c r="K92" s="26"/>
    </row>
    <row r="93" spans="2:13" x14ac:dyDescent="0.3">
      <c r="B93" s="10" t="s">
        <v>89</v>
      </c>
      <c r="C93" s="11" t="s">
        <v>67</v>
      </c>
      <c r="D93" s="12">
        <v>2</v>
      </c>
      <c r="E93" s="12">
        <v>0</v>
      </c>
      <c r="F93" s="12">
        <v>2</v>
      </c>
      <c r="G93" s="13">
        <f>+VLOOKUP(Tabla1103453454455456479363949[[#This Row],[Ingrediente]],Tabla34[#All],3,0)</f>
        <v>2.4009999999999998</v>
      </c>
      <c r="H93" s="14">
        <f>+Tabla1103453454455456479363949[[#This Row],[Costo]]*Tabla1103453454455456479363949[[#This Row],[Columna2]]</f>
        <v>4.8019999999999996</v>
      </c>
      <c r="I93" s="4"/>
      <c r="J93" s="4"/>
      <c r="K93" s="26"/>
    </row>
    <row r="94" spans="2:13" x14ac:dyDescent="0.3">
      <c r="B94" s="10" t="s">
        <v>1223</v>
      </c>
      <c r="C94" s="11" t="s">
        <v>67</v>
      </c>
      <c r="D94" s="12">
        <v>70</v>
      </c>
      <c r="E94" s="12">
        <v>0</v>
      </c>
      <c r="F94" s="12">
        <v>70</v>
      </c>
      <c r="G94" s="13">
        <f>+VLOOKUP(Tabla1103453454455456479363949[[#This Row],[Ingrediente]],Tabla34[#All],3,0)</f>
        <v>8.6245170299999998</v>
      </c>
      <c r="H94" s="14">
        <f>+Tabla1103453454455456479363949[[#This Row],[Costo]]*Tabla1103453454455456479363949[[#This Row],[Columna2]]</f>
        <v>603.71619209999994</v>
      </c>
      <c r="I94" s="4"/>
      <c r="J94" s="4"/>
      <c r="K94" s="26"/>
    </row>
    <row r="95" spans="2:13" x14ac:dyDescent="0.3">
      <c r="B95" s="10" t="s">
        <v>141</v>
      </c>
      <c r="C95" s="11" t="s">
        <v>67</v>
      </c>
      <c r="D95" s="12">
        <v>20</v>
      </c>
      <c r="E95" s="12">
        <v>0</v>
      </c>
      <c r="F95" s="12">
        <v>20</v>
      </c>
      <c r="G95" s="13">
        <f>+VLOOKUP(Tabla1103453454455456479363949[[#This Row],[Ingrediente]],Tabla34[#All],3,0)</f>
        <v>18.392951490000002</v>
      </c>
      <c r="H95" s="14">
        <f>+Tabla1103453454455456479363949[[#This Row],[Costo]]*Tabla1103453454455456479363949[[#This Row],[Columna2]]</f>
        <v>367.85902980000003</v>
      </c>
      <c r="I95" s="4"/>
      <c r="J95" s="4"/>
      <c r="K95" s="26"/>
    </row>
    <row r="96" spans="2:13" x14ac:dyDescent="0.3">
      <c r="B96" s="10" t="s">
        <v>674</v>
      </c>
      <c r="C96" s="11" t="s">
        <v>67</v>
      </c>
      <c r="D96" s="12">
        <v>20</v>
      </c>
      <c r="E96" s="12">
        <v>15</v>
      </c>
      <c r="F96" s="12">
        <v>23.529</v>
      </c>
      <c r="G96" s="13">
        <f>+VLOOKUP(Tabla1103453454455456479363949[[#This Row],[Ingrediente]],Tabla34[#All],3,0)</f>
        <v>4</v>
      </c>
      <c r="H96" s="14">
        <f>+Tabla1103453454455456479363949[[#This Row],[Costo]]*Tabla1103453454455456479363949[[#This Row],[Columna2]]</f>
        <v>94.116</v>
      </c>
      <c r="I96" s="4"/>
      <c r="J96" s="4"/>
      <c r="K96" s="26"/>
    </row>
    <row r="97" spans="2:11" x14ac:dyDescent="0.3">
      <c r="B97" s="10" t="s">
        <v>710</v>
      </c>
      <c r="C97" s="11" t="s">
        <v>67</v>
      </c>
      <c r="D97" s="12">
        <v>20</v>
      </c>
      <c r="E97" s="12">
        <v>20</v>
      </c>
      <c r="F97" s="12">
        <v>25</v>
      </c>
      <c r="G97" s="13">
        <f>+VLOOKUP(Tabla1103453454455456479363949[[#This Row],[Ingrediente]],Tabla34[#All],3,0)</f>
        <v>2.5</v>
      </c>
      <c r="H97" s="14">
        <f>+Tabla1103453454455456479363949[[#This Row],[Costo]]*Tabla1103453454455456479363949[[#This Row],[Columna2]]</f>
        <v>62.5</v>
      </c>
      <c r="I97" s="4"/>
      <c r="J97" s="27"/>
      <c r="K97" s="27"/>
    </row>
    <row r="98" spans="2:11" x14ac:dyDescent="0.3">
      <c r="B98" s="10" t="s">
        <v>687</v>
      </c>
      <c r="C98" s="11" t="s">
        <v>67</v>
      </c>
      <c r="D98" s="12">
        <v>15</v>
      </c>
      <c r="E98" s="12">
        <v>10</v>
      </c>
      <c r="F98" s="12">
        <v>16.667000000000002</v>
      </c>
      <c r="G98" s="13">
        <f>+VLOOKUP(Tabla1103453454455456479363949[[#This Row],[Ingrediente]],Tabla34[#All],3,0)</f>
        <v>2.8</v>
      </c>
      <c r="H98" s="14">
        <f>+Tabla1103453454455456479363949[[#This Row],[Costo]]*Tabla1103453454455456479363949[[#This Row],[Columna2]]</f>
        <v>46.6676</v>
      </c>
      <c r="I98" s="4"/>
      <c r="J98" s="27"/>
      <c r="K98" s="27"/>
    </row>
    <row r="99" spans="2:11" x14ac:dyDescent="0.3">
      <c r="B99" s="10" t="s">
        <v>187</v>
      </c>
      <c r="C99" s="11" t="s">
        <v>67</v>
      </c>
      <c r="D99" s="12">
        <v>15</v>
      </c>
      <c r="E99" s="12">
        <v>10</v>
      </c>
      <c r="F99" s="12">
        <v>16.667000000000002</v>
      </c>
      <c r="G99" s="13">
        <f>+VLOOKUP(Tabla1103453454455456479363949[[#This Row],[Ingrediente]],Tabla34[#All],3,0)</f>
        <v>4.7</v>
      </c>
      <c r="H99" s="14">
        <f>+Tabla1103453454455456479363949[[#This Row],[Costo]]*Tabla1103453454455456479363949[[#This Row],[Columna2]]</f>
        <v>78.334900000000005</v>
      </c>
      <c r="I99" s="27"/>
    </row>
    <row r="100" spans="2:11" x14ac:dyDescent="0.3">
      <c r="B100" s="16"/>
      <c r="C100" s="17"/>
      <c r="D100" s="17"/>
      <c r="E100" s="17"/>
      <c r="F100" s="17"/>
      <c r="G100" s="18"/>
      <c r="H100" s="18">
        <f>SUBTOTAL(109,Tabla1103453454455456479363949[Total costo])</f>
        <v>11832.023283570001</v>
      </c>
    </row>
  </sheetData>
  <mergeCells count="5">
    <mergeCell ref="J6:K6"/>
    <mergeCell ref="J27:K27"/>
    <mergeCell ref="J41:K41"/>
    <mergeCell ref="J61:K61"/>
    <mergeCell ref="J81:K81"/>
  </mergeCells>
  <phoneticPr fontId="16" type="noConversion"/>
  <conditionalFormatting sqref="K13">
    <cfRule type="cellIs" dxfId="2583" priority="17" operator="lessThan">
      <formula>0.3</formula>
    </cfRule>
    <cfRule type="cellIs" dxfId="2582" priority="18" operator="greaterThan">
      <formula>0.3</formula>
    </cfRule>
  </conditionalFormatting>
  <conditionalFormatting sqref="K34">
    <cfRule type="cellIs" dxfId="2581" priority="15" operator="lessThan">
      <formula>0.3</formula>
    </cfRule>
    <cfRule type="cellIs" dxfId="2580" priority="16" operator="greaterThan">
      <formula>0.3</formula>
    </cfRule>
  </conditionalFormatting>
  <conditionalFormatting sqref="K48">
    <cfRule type="cellIs" dxfId="2579" priority="13" operator="lessThan">
      <formula>0.3</formula>
    </cfRule>
    <cfRule type="cellIs" dxfId="2578" priority="14" operator="greaterThan">
      <formula>0.3</formula>
    </cfRule>
  </conditionalFormatting>
  <conditionalFormatting sqref="K68">
    <cfRule type="cellIs" dxfId="2577" priority="11" operator="lessThan">
      <formula>0.3</formula>
    </cfRule>
    <cfRule type="cellIs" dxfId="2576" priority="12" operator="greaterThan">
      <formula>0.3</formula>
    </cfRule>
  </conditionalFormatting>
  <conditionalFormatting sqref="K88">
    <cfRule type="cellIs" dxfId="2575" priority="9" operator="lessThan">
      <formula>0.3</formula>
    </cfRule>
    <cfRule type="cellIs" dxfId="2574" priority="10" operator="greaterThan">
      <formula>0.3</formula>
    </cfRule>
  </conditionalFormatting>
  <pageMargins left="0.7" right="0.7" top="0.75" bottom="0.75" header="0.3" footer="0.3"/>
  <pageSetup orientation="portrait" horizontalDpi="1200" verticalDpi="1200" r:id="rId1"/>
  <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6E64-41FD-45E2-8AB2-FE8EC2804B0E}">
  <dimension ref="B5:M115"/>
  <sheetViews>
    <sheetView showGridLines="0" zoomScale="98" zoomScaleNormal="98" workbookViewId="0">
      <selection activeCell="I18" sqref="I18"/>
    </sheetView>
  </sheetViews>
  <sheetFormatPr baseColWidth="10" defaultRowHeight="14.4" x14ac:dyDescent="0.3"/>
  <cols>
    <col min="1" max="1" width="4" customWidth="1"/>
    <col min="2" max="2" width="41" customWidth="1"/>
    <col min="3" max="6" width="7.77734375" customWidth="1"/>
    <col min="7" max="7" width="9.44140625" customWidth="1"/>
    <col min="8" max="8" width="10.109375" customWidth="1"/>
    <col min="9" max="9" width="9.44140625" bestFit="1" customWidth="1"/>
    <col min="10" max="10" width="27.44140625" bestFit="1" customWidth="1"/>
    <col min="12" max="12" width="2.109375" customWidth="1"/>
    <col min="13" max="13" width="40.77734375" bestFit="1" customWidth="1"/>
  </cols>
  <sheetData>
    <row r="5" spans="2:13" ht="15.6" x14ac:dyDescent="0.3">
      <c r="B5" s="1" t="s">
        <v>593</v>
      </c>
      <c r="C5" s="2"/>
      <c r="D5" s="2"/>
      <c r="E5" s="3"/>
      <c r="F5" s="3"/>
      <c r="G5" s="3"/>
      <c r="H5" s="3"/>
      <c r="I5" s="283"/>
      <c r="J5" s="399" t="s">
        <v>0</v>
      </c>
      <c r="K5" s="399"/>
      <c r="M5" s="377" t="s">
        <v>1394</v>
      </c>
    </row>
    <row r="6" spans="2:13" x14ac:dyDescent="0.3">
      <c r="B6" s="16" t="s">
        <v>857</v>
      </c>
      <c r="C6" s="17" t="s">
        <v>895</v>
      </c>
      <c r="D6" s="17" t="s">
        <v>892</v>
      </c>
      <c r="E6" s="17" t="s">
        <v>893</v>
      </c>
      <c r="F6" s="17" t="s">
        <v>894</v>
      </c>
      <c r="G6" s="76" t="s">
        <v>4</v>
      </c>
      <c r="H6" s="76" t="s">
        <v>5</v>
      </c>
      <c r="I6" s="40"/>
      <c r="J6" s="8" t="s">
        <v>6</v>
      </c>
      <c r="K6" s="9">
        <f>SUM(Tabla110345345445545647945586877869510811712713622823724627233260269297315316348494493497502[Total costo])</f>
        <v>23982.653200539997</v>
      </c>
      <c r="M6" s="346" t="s">
        <v>1435</v>
      </c>
    </row>
    <row r="7" spans="2:13" x14ac:dyDescent="0.3">
      <c r="B7" s="10" t="s">
        <v>602</v>
      </c>
      <c r="C7" s="11" t="s">
        <v>847</v>
      </c>
      <c r="D7" s="12">
        <v>1</v>
      </c>
      <c r="E7" s="12">
        <v>0</v>
      </c>
      <c r="F7" s="12">
        <v>1</v>
      </c>
      <c r="G7" s="13">
        <f>+VLOOKUP(Tabla110345345445545647945586877869510811712713622823724627233260269297315316348494493497502[[#This Row],[ArtÃ­culo]],Tabla34[#All],3,0)</f>
        <v>12500</v>
      </c>
      <c r="H7" s="14">
        <f>+Tabla110345345445545647945586877869510811712713622823724627233260269297315316348494493497502[[#This Row],[Costo]]*Tabla110345345445545647945586877869510811712713622823724627233260269297315316348494493497502[[#This Row],[Unidades]]</f>
        <v>12500</v>
      </c>
      <c r="I7" s="40"/>
      <c r="J7" s="8" t="s">
        <v>533</v>
      </c>
      <c r="K7" s="15">
        <f>+K6*5%</f>
        <v>1199.1326600269999</v>
      </c>
      <c r="M7" s="346" t="s">
        <v>1436</v>
      </c>
    </row>
    <row r="8" spans="2:13" x14ac:dyDescent="0.3">
      <c r="B8" s="10" t="s">
        <v>837</v>
      </c>
      <c r="C8" s="11" t="s">
        <v>847</v>
      </c>
      <c r="D8" s="12">
        <v>7</v>
      </c>
      <c r="E8" s="12">
        <v>0</v>
      </c>
      <c r="F8" s="12">
        <v>7</v>
      </c>
      <c r="G8" s="13">
        <f>+VLOOKUP(Tabla110345345445545647945586877869510811712713622823724627233260269297315316348494493497502[[#This Row],[ArtÃ­culo]],Tabla34[#All],3,0)</f>
        <v>514.28</v>
      </c>
      <c r="H8" s="14">
        <f>+Tabla110345345445545647945586877869510811712713622823724627233260269297315316348494493497502[[#This Row],[Costo]]*Tabla110345345445545647945586877869510811712713622823724627233260269297315316348494493497502[[#This Row],[Unidades]]</f>
        <v>3599.96</v>
      </c>
      <c r="I8" s="40"/>
      <c r="J8" s="8" t="s">
        <v>13</v>
      </c>
      <c r="K8" s="15">
        <f>+K6+K7</f>
        <v>25181.785860566997</v>
      </c>
      <c r="M8" s="346" t="s">
        <v>1437</v>
      </c>
    </row>
    <row r="9" spans="2:13" x14ac:dyDescent="0.3">
      <c r="B9" s="10" t="s">
        <v>145</v>
      </c>
      <c r="C9" s="11" t="s">
        <v>67</v>
      </c>
      <c r="D9" s="12">
        <v>50</v>
      </c>
      <c r="E9" s="12">
        <v>0</v>
      </c>
      <c r="F9" s="12">
        <v>50</v>
      </c>
      <c r="G9" s="13">
        <f>+VLOOKUP(Tabla110345345445545647945586877869510811712713622823724627233260269297315316348494493497502[[#This Row],[ArtÃ­culo]],Tabla34[#All],3,0)</f>
        <v>40.425119780000003</v>
      </c>
      <c r="H9" s="14">
        <f>+Tabla110345345445545647945586877869510811712713622823724627233260269297315316348494493497502[[#This Row],[Costo]]*Tabla110345345445545647945586877869510811712713622823724627233260269297315316348494493497502[[#This Row],[Unidades]]</f>
        <v>2021.2559890000002</v>
      </c>
      <c r="I9" s="40"/>
      <c r="J9" s="20" t="s">
        <v>14</v>
      </c>
      <c r="K9" s="21">
        <v>63000</v>
      </c>
    </row>
    <row r="10" spans="2:13" x14ac:dyDescent="0.3">
      <c r="B10" s="10" t="s">
        <v>682</v>
      </c>
      <c r="C10" s="11" t="s">
        <v>67</v>
      </c>
      <c r="D10" s="12">
        <v>30</v>
      </c>
      <c r="E10" s="12">
        <v>0</v>
      </c>
      <c r="F10" s="12">
        <v>30</v>
      </c>
      <c r="G10" s="13">
        <f>+VLOOKUP(Tabla110345345445545647945586877869510811712713622823724627233260269297315316348494493497502[[#This Row],[ArtÃ­culo]],Tabla34[#All],3,0)</f>
        <v>39.071701390000001</v>
      </c>
      <c r="H10" s="14">
        <f>+Tabla110345345445545647945586877869510811712713622823724627233260269297315316348494493497502[[#This Row],[Costo]]*Tabla110345345445545647945586877869510811712713622823724627233260269297315316348494493497502[[#This Row],[Unidades]]</f>
        <v>1172.1510417</v>
      </c>
      <c r="I10" s="40"/>
      <c r="J10" s="8" t="s">
        <v>15</v>
      </c>
      <c r="K10" s="15">
        <f>+K9/1.08*0.08</f>
        <v>4666.6666666666661</v>
      </c>
      <c r="M10" s="377" t="s">
        <v>1377</v>
      </c>
    </row>
    <row r="11" spans="2:13" x14ac:dyDescent="0.3">
      <c r="B11" s="10" t="s">
        <v>683</v>
      </c>
      <c r="C11" s="11" t="s">
        <v>67</v>
      </c>
      <c r="D11" s="12">
        <v>100</v>
      </c>
      <c r="E11" s="12">
        <v>25</v>
      </c>
      <c r="F11" s="12">
        <v>133.333</v>
      </c>
      <c r="G11" s="13">
        <f>+VLOOKUP(Tabla110345345445545647945586877869510811712713622823724627233260269297315316348494493497502[[#This Row],[ArtÃ­culo]],Tabla34[#All],3,0)</f>
        <v>8.5</v>
      </c>
      <c r="H11" s="14">
        <f>+Tabla110345345445545647945586877869510811712713622823724627233260269297315316348494493497502[[#This Row],[Costo]]*Tabla110345345445545647945586877869510811712713622823724627233260269297315316348494493497502[[#This Row],[Unidades]]</f>
        <v>1133.3305</v>
      </c>
      <c r="I11" s="40"/>
      <c r="J11" s="8" t="s">
        <v>16</v>
      </c>
      <c r="K11" s="15">
        <f>+K9-K10</f>
        <v>58333.333333333336</v>
      </c>
      <c r="M11" s="346"/>
    </row>
    <row r="12" spans="2:13" x14ac:dyDescent="0.3">
      <c r="B12" s="10" t="s">
        <v>106</v>
      </c>
      <c r="C12" s="11" t="s">
        <v>67</v>
      </c>
      <c r="D12" s="12">
        <v>50</v>
      </c>
      <c r="E12" s="12">
        <v>0</v>
      </c>
      <c r="F12" s="12">
        <v>50</v>
      </c>
      <c r="G12" s="13">
        <f>+VLOOKUP(Tabla110345345445545647945586877869510811712713622823724627233260269297315316348494493497502[[#This Row],[ArtÃ­culo]],Tabla34[#All],3,0)</f>
        <v>19.804166670000001</v>
      </c>
      <c r="H12" s="14">
        <f>+Tabla110345345445545647945586877869510811712713622823724627233260269297315316348494493497502[[#This Row],[Costo]]*Tabla110345345445545647945586877869510811712713622823724627233260269297315316348494493497502[[#This Row],[Unidades]]</f>
        <v>990.20833349999998</v>
      </c>
      <c r="I12" s="40"/>
      <c r="J12" s="8" t="s">
        <v>17</v>
      </c>
      <c r="K12" s="41">
        <f>+K8/K11</f>
        <v>0.43168775760971995</v>
      </c>
      <c r="M12" s="346"/>
    </row>
    <row r="13" spans="2:13" x14ac:dyDescent="0.3">
      <c r="B13" s="10" t="s">
        <v>119</v>
      </c>
      <c r="C13" s="11" t="s">
        <v>67</v>
      </c>
      <c r="D13" s="12">
        <v>150</v>
      </c>
      <c r="E13" s="12">
        <v>0</v>
      </c>
      <c r="F13" s="12">
        <v>150</v>
      </c>
      <c r="G13" s="13">
        <f>+VLOOKUP(Tabla110345345445545647945586877869510811712713622823724627233260269297315316348494493497502[[#This Row],[ArtÃ­culo]],Tabla34[#All],3,0)</f>
        <v>5.8053971600000001</v>
      </c>
      <c r="H13" s="14">
        <f>+Tabla110345345445545647945586877869510811712713622823724627233260269297315316348494493497502[[#This Row],[Costo]]*Tabla110345345445545647945586877869510811712713622823724627233260269297315316348494493497502[[#This Row],[Unidades]]</f>
        <v>870.809574</v>
      </c>
      <c r="I13" s="40"/>
      <c r="J13" s="8" t="s">
        <v>18</v>
      </c>
      <c r="K13" s="42">
        <f>+K11-K8</f>
        <v>33151.547472766339</v>
      </c>
      <c r="M13" s="346"/>
    </row>
    <row r="14" spans="2:13" x14ac:dyDescent="0.3">
      <c r="B14" s="10" t="s">
        <v>451</v>
      </c>
      <c r="C14" s="11" t="s">
        <v>67</v>
      </c>
      <c r="D14" s="12">
        <v>10</v>
      </c>
      <c r="E14" s="12">
        <v>0</v>
      </c>
      <c r="F14" s="12">
        <v>10</v>
      </c>
      <c r="G14" s="13">
        <f>+VLOOKUP(Tabla110345345445545647945586877869510811712713622823724627233260269297315316348494493497502[[#This Row],[ArtÃ­culo]],Tabla34[#All],3,0)</f>
        <v>60.987499999999997</v>
      </c>
      <c r="H14" s="14">
        <f>+Tabla110345345445545647945586877869510811712713622823724627233260269297315316348494493497502[[#This Row],[Costo]]*Tabla110345345445545647945586877869510811712713622823724627233260269297315316348494493497502[[#This Row],[Unidades]]</f>
        <v>609.875</v>
      </c>
      <c r="I14" s="40"/>
      <c r="J14" s="8" t="s">
        <v>19</v>
      </c>
      <c r="K14" s="43">
        <f>+K13/K8</f>
        <v>1.3164891345009593</v>
      </c>
      <c r="M14" s="346"/>
    </row>
    <row r="15" spans="2:13" x14ac:dyDescent="0.3">
      <c r="B15" s="10" t="s">
        <v>833</v>
      </c>
      <c r="C15" s="11" t="s">
        <v>67</v>
      </c>
      <c r="D15" s="12">
        <v>1</v>
      </c>
      <c r="E15" s="12">
        <v>0</v>
      </c>
      <c r="F15" s="12">
        <v>1</v>
      </c>
      <c r="G15" s="13">
        <f>+VLOOKUP(Tabla110345345445545647945586877869510811712713622823724627233260269297315316348494493497502[[#This Row],[ArtÃ­culo]],Tabla34[#All],3,0)</f>
        <v>307.5</v>
      </c>
      <c r="H15" s="14">
        <f>+Tabla110345345445545647945586877869510811712713622823724627233260269297315316348494493497502[[#This Row],[Costo]]*Tabla110345345445545647945586877869510811712713622823724627233260269297315316348494493497502[[#This Row],[Unidades]]</f>
        <v>307.5</v>
      </c>
      <c r="I15" s="40"/>
      <c r="J15" s="40"/>
      <c r="K15" s="40"/>
    </row>
    <row r="16" spans="2:13" x14ac:dyDescent="0.3">
      <c r="B16" s="10" t="s">
        <v>118</v>
      </c>
      <c r="C16" s="11" t="s">
        <v>67</v>
      </c>
      <c r="D16" s="12">
        <v>10</v>
      </c>
      <c r="E16" s="12">
        <v>0</v>
      </c>
      <c r="F16" s="12">
        <v>10</v>
      </c>
      <c r="G16" s="13">
        <f>+VLOOKUP(Tabla110345345445545647945586877869510811712713622823724627233260269297315316348494493497502[[#This Row],[ArtÃ­culo]],Tabla34[#All],3,0)</f>
        <v>30.25466445</v>
      </c>
      <c r="H16" s="14">
        <f>+Tabla110345345445545647945586877869510811712713622823724627233260269297315316348494493497502[[#This Row],[Costo]]*Tabla110345345445545647945586877869510811712713622823724627233260269297315316348494493497502[[#This Row],[Unidades]]</f>
        <v>302.54664450000001</v>
      </c>
      <c r="I16" s="40"/>
      <c r="J16" s="40"/>
      <c r="K16" s="40"/>
    </row>
    <row r="17" spans="2:13" x14ac:dyDescent="0.3">
      <c r="B17" s="10" t="s">
        <v>708</v>
      </c>
      <c r="C17" s="11" t="s">
        <v>67</v>
      </c>
      <c r="D17" s="12">
        <v>20</v>
      </c>
      <c r="E17" s="12">
        <v>0</v>
      </c>
      <c r="F17" s="12">
        <v>20</v>
      </c>
      <c r="G17" s="13">
        <f>+VLOOKUP(Tabla110345345445545647945586877869510811712713622823724627233260269297315316348494493497502[[#This Row],[ArtÃ­culo]],Tabla34[#All],3,0)</f>
        <v>11</v>
      </c>
      <c r="H17" s="14">
        <f>+Tabla110345345445545647945586877869510811712713622823724627233260269297315316348494493497502[[#This Row],[Costo]]*Tabla110345345445545647945586877869510811712713622823724627233260269297315316348494493497502[[#This Row],[Unidades]]</f>
        <v>220</v>
      </c>
      <c r="I17" s="40"/>
      <c r="J17" s="40"/>
      <c r="K17" s="40"/>
    </row>
    <row r="18" spans="2:13" x14ac:dyDescent="0.3">
      <c r="B18" s="10" t="s">
        <v>187</v>
      </c>
      <c r="C18" s="11" t="s">
        <v>67</v>
      </c>
      <c r="D18" s="12">
        <v>15</v>
      </c>
      <c r="E18" s="12">
        <v>25</v>
      </c>
      <c r="F18" s="12">
        <v>20</v>
      </c>
      <c r="G18" s="13">
        <f>+VLOOKUP(Tabla110345345445545647945586877869510811712713622823724627233260269297315316348494493497502[[#This Row],[ArtÃ­culo]],Tabla34[#All],3,0)</f>
        <v>4.7</v>
      </c>
      <c r="H18" s="14">
        <f>+Tabla110345345445545647945586877869510811712713622823724627233260269297315316348494493497502[[#This Row],[Costo]]*Tabla110345345445545647945586877869510811712713622823724627233260269297315316348494493497502[[#This Row],[Unidades]]</f>
        <v>94</v>
      </c>
      <c r="I18" s="40"/>
      <c r="J18" s="40"/>
      <c r="K18" s="40"/>
    </row>
    <row r="19" spans="2:13" x14ac:dyDescent="0.3">
      <c r="B19" s="10" t="s">
        <v>840</v>
      </c>
      <c r="C19" s="11" t="s">
        <v>67</v>
      </c>
      <c r="D19" s="12">
        <v>1</v>
      </c>
      <c r="E19" s="12">
        <v>0</v>
      </c>
      <c r="F19" s="12">
        <v>1</v>
      </c>
      <c r="G19" s="13">
        <f>+VLOOKUP(Tabla110345345445545647945586877869510811712713622823724627233260269297315316348494493497502[[#This Row],[ArtÃ­culo]],Tabla34[#All],3,0)</f>
        <v>57.218061669999997</v>
      </c>
      <c r="H19" s="14">
        <f>+Tabla110345345445545647945586877869510811712713622823724627233260269297315316348494493497502[[#This Row],[Costo]]*Tabla110345345445545647945586877869510811712713622823724627233260269297315316348494493497502[[#This Row],[Unidades]]</f>
        <v>57.218061669999997</v>
      </c>
      <c r="I19" s="40"/>
      <c r="J19" s="40"/>
      <c r="K19" s="40"/>
    </row>
    <row r="20" spans="2:13" x14ac:dyDescent="0.3">
      <c r="B20" s="10" t="s">
        <v>37</v>
      </c>
      <c r="C20" s="11" t="s">
        <v>67</v>
      </c>
      <c r="D20" s="12">
        <v>3</v>
      </c>
      <c r="E20" s="12">
        <v>0</v>
      </c>
      <c r="F20" s="12">
        <v>3</v>
      </c>
      <c r="G20" s="13">
        <f>+VLOOKUP(Tabla110345345445545647945586877869510811712713622823724627233260269297315316348494493497502[[#This Row],[ArtÃ­culo]],Tabla34[#All],3,0)</f>
        <v>14.25783539</v>
      </c>
      <c r="H20" s="14">
        <f>+Tabla110345345445545647945586877869510811712713622823724627233260269297315316348494493497502[[#This Row],[Costo]]*Tabla110345345445545647945586877869510811712713622823724627233260269297315316348494493497502[[#This Row],[Unidades]]</f>
        <v>42.773506170000005</v>
      </c>
      <c r="I20" s="40"/>
      <c r="J20" s="40"/>
      <c r="K20" s="40"/>
    </row>
    <row r="21" spans="2:13" x14ac:dyDescent="0.3">
      <c r="B21" s="10" t="s">
        <v>219</v>
      </c>
      <c r="C21" s="11" t="s">
        <v>67</v>
      </c>
      <c r="D21" s="12">
        <v>1</v>
      </c>
      <c r="E21" s="12">
        <v>0</v>
      </c>
      <c r="F21" s="12">
        <v>1</v>
      </c>
      <c r="G21" s="13">
        <f>+VLOOKUP(Tabla110345345445545647945586877869510811712713622823724627233260269297315316348494493497502[[#This Row],[ArtÃ­culo]],Tabla34[#All],3,0)</f>
        <v>30.77</v>
      </c>
      <c r="H21" s="14">
        <f>+Tabla110345345445545647945586877869510811712713622823724627233260269297315316348494493497502[[#This Row],[Costo]]*Tabla110345345445545647945586877869510811712713622823724627233260269297315316348494493497502[[#This Row],[Unidades]]</f>
        <v>30.77</v>
      </c>
      <c r="I21" s="40"/>
      <c r="J21" s="40"/>
      <c r="K21" s="40"/>
    </row>
    <row r="22" spans="2:13" x14ac:dyDescent="0.3">
      <c r="B22" s="10" t="s">
        <v>313</v>
      </c>
      <c r="C22" s="11" t="s">
        <v>67</v>
      </c>
      <c r="D22" s="12">
        <v>3</v>
      </c>
      <c r="E22" s="12">
        <v>0</v>
      </c>
      <c r="F22" s="12">
        <v>3</v>
      </c>
      <c r="G22" s="13">
        <f>+VLOOKUP(Tabla110345345445545647945586877869510811712713622823724627233260269297315316348494493497502[[#This Row],[ArtÃ­culo]],Tabla34[#All],3,0)</f>
        <v>7.6838499999999996</v>
      </c>
      <c r="H22" s="14">
        <f>+Tabla110345345445545647945586877869510811712713622823724627233260269297315316348494493497502[[#This Row],[Costo]]*Tabla110345345445545647945586877869510811712713622823724627233260269297315316348494493497502[[#This Row],[Unidades]]</f>
        <v>23.051549999999999</v>
      </c>
      <c r="I22" s="50"/>
      <c r="J22" s="40"/>
      <c r="K22" s="40"/>
    </row>
    <row r="23" spans="2:13" x14ac:dyDescent="0.3">
      <c r="B23" s="10" t="s">
        <v>89</v>
      </c>
      <c r="C23" s="11" t="s">
        <v>67</v>
      </c>
      <c r="D23" s="12">
        <v>3</v>
      </c>
      <c r="E23" s="12">
        <v>0</v>
      </c>
      <c r="F23" s="12">
        <v>3</v>
      </c>
      <c r="G23" s="13">
        <f>+VLOOKUP(Tabla110345345445545647945586877869510811712713622823724627233260269297315316348494493497502[[#This Row],[ArtÃ­culo]],Tabla34[#All],3,0)</f>
        <v>2.4009999999999998</v>
      </c>
      <c r="H23" s="14">
        <f>+Tabla110345345445545647945586877869510811712713622823724627233260269297315316348494493497502[[#This Row],[Costo]]*Tabla110345345445545647945586877869510811712713622823724627233260269297315316348494493497502[[#This Row],[Unidades]]</f>
        <v>7.2029999999999994</v>
      </c>
      <c r="I23" s="50"/>
      <c r="J23" s="40"/>
      <c r="K23" s="40"/>
    </row>
    <row r="24" spans="2:13" x14ac:dyDescent="0.3">
      <c r="B24" s="10" t="s">
        <v>795</v>
      </c>
      <c r="C24" s="11" t="s">
        <v>67</v>
      </c>
      <c r="D24" s="12">
        <v>1</v>
      </c>
      <c r="E24" s="12">
        <v>0</v>
      </c>
      <c r="F24" s="12">
        <v>1</v>
      </c>
      <c r="G24" s="13">
        <f>+VLOOKUP(Tabla110345345445545647945586877869510811712713622823724627233260269297315316348494493497502[[#This Row],[ArtÃ­culo]],Tabla34[#All],3,0)</f>
        <v>0</v>
      </c>
      <c r="H24" s="14">
        <f>+Tabla110345345445545647945586877869510811712713622823724627233260269297315316348494493497502[[#This Row],[Costo]]*Tabla110345345445545647945586877869510811712713622823724627233260269297315316348494493497502[[#This Row],[Unidades]]</f>
        <v>0</v>
      </c>
      <c r="I24" s="4"/>
      <c r="J24" s="40"/>
      <c r="K24" s="40"/>
    </row>
    <row r="25" spans="2:13" x14ac:dyDescent="0.3">
      <c r="B25" s="16"/>
      <c r="C25" s="17"/>
      <c r="D25" s="17"/>
      <c r="E25" s="17"/>
      <c r="F25" s="17"/>
      <c r="G25" s="18"/>
      <c r="H25" s="18">
        <f>SUBTOTAL(109,Tabla110345345445545647945586877869510811712713622823724627233260269297315316348494493497502[Total costo])</f>
        <v>23982.653200539997</v>
      </c>
      <c r="I25" s="4"/>
      <c r="J25" s="40"/>
      <c r="K25" s="40"/>
    </row>
    <row r="29" spans="2:13" ht="15.6" x14ac:dyDescent="0.3">
      <c r="B29" s="1" t="s">
        <v>601</v>
      </c>
      <c r="C29" s="2"/>
      <c r="D29" s="2"/>
      <c r="E29" s="3"/>
      <c r="F29" s="3"/>
      <c r="G29" s="3"/>
      <c r="H29" s="3"/>
      <c r="I29" s="242"/>
      <c r="J29" s="399" t="s">
        <v>0</v>
      </c>
      <c r="K29" s="399"/>
      <c r="M29" s="377" t="s">
        <v>1394</v>
      </c>
    </row>
    <row r="30" spans="2:13" x14ac:dyDescent="0.3">
      <c r="B30" s="16" t="s">
        <v>857</v>
      </c>
      <c r="C30" s="17" t="s">
        <v>895</v>
      </c>
      <c r="D30" s="17" t="s">
        <v>892</v>
      </c>
      <c r="E30" s="17" t="s">
        <v>893</v>
      </c>
      <c r="F30" s="17" t="s">
        <v>894</v>
      </c>
      <c r="G30" s="76" t="s">
        <v>4</v>
      </c>
      <c r="H30" s="76" t="s">
        <v>5</v>
      </c>
      <c r="I30" s="40"/>
      <c r="J30" s="8" t="s">
        <v>6</v>
      </c>
      <c r="K30" s="9">
        <f>SUM(Tabla110345345445545647945586877869510811712713622823724627233260269297315316348494493499527352[Total costo])</f>
        <v>20422.329062380002</v>
      </c>
      <c r="M30" s="346"/>
    </row>
    <row r="31" spans="2:13" x14ac:dyDescent="0.3">
      <c r="B31" s="10" t="s">
        <v>602</v>
      </c>
      <c r="C31" s="11" t="s">
        <v>847</v>
      </c>
      <c r="D31" s="12">
        <v>1</v>
      </c>
      <c r="E31" s="12">
        <v>0</v>
      </c>
      <c r="F31" s="12">
        <v>1</v>
      </c>
      <c r="G31" s="13">
        <f>+VLOOKUP(Tabla110345345445545647945586877869510811712713622823724627233260269297315316348494493499527352[[#This Row],[ArtÃ­culo]],Tabla34[#All],3,0)</f>
        <v>12500</v>
      </c>
      <c r="H31" s="14">
        <f>+Tabla110345345445545647945586877869510811712713622823724627233260269297315316348494493499527352[[#This Row],[Costo]]*Tabla110345345445545647945586877869510811712713622823724627233260269297315316348494493499527352[[#This Row],[Unidades]]</f>
        <v>12500</v>
      </c>
      <c r="I31" s="40"/>
      <c r="J31" s="8" t="s">
        <v>533</v>
      </c>
      <c r="K31" s="15">
        <f>+K30*5%</f>
        <v>1021.1164531190002</v>
      </c>
      <c r="M31" s="346"/>
    </row>
    <row r="32" spans="2:13" x14ac:dyDescent="0.3">
      <c r="B32" s="10" t="s">
        <v>106</v>
      </c>
      <c r="C32" s="11" t="s">
        <v>67</v>
      </c>
      <c r="D32" s="12">
        <v>100</v>
      </c>
      <c r="E32" s="12">
        <v>0</v>
      </c>
      <c r="F32" s="12">
        <v>100</v>
      </c>
      <c r="G32" s="13">
        <f>+VLOOKUP(Tabla110345345445545647945586877869510811712713622823724627233260269297315316348494493499527352[[#This Row],[ArtÃ­culo]],Tabla34[#All],3,0)</f>
        <v>19.804166670000001</v>
      </c>
      <c r="H32" s="14">
        <f>+Tabla110345345445545647945586877869510811712713622823724627233260269297315316348494493499527352[[#This Row],[Costo]]*Tabla110345345445545647945586877869510811712713622823724627233260269297315316348494493499527352[[#This Row],[Unidades]]</f>
        <v>1980.416667</v>
      </c>
      <c r="I32" s="40"/>
      <c r="J32" s="8" t="s">
        <v>13</v>
      </c>
      <c r="K32" s="15">
        <f>+K30+K31</f>
        <v>21443.445515499003</v>
      </c>
      <c r="M32" s="346"/>
    </row>
    <row r="33" spans="2:13" x14ac:dyDescent="0.3">
      <c r="B33" s="10" t="s">
        <v>144</v>
      </c>
      <c r="C33" s="11" t="s">
        <v>67</v>
      </c>
      <c r="D33" s="12">
        <v>130</v>
      </c>
      <c r="E33" s="12">
        <v>0</v>
      </c>
      <c r="F33" s="12">
        <v>130</v>
      </c>
      <c r="G33" s="13">
        <f>+VLOOKUP(Tabla110345345445545647945586877869510811712713622823724627233260269297315316348494493499527352[[#This Row],[ArtÃ­culo]],Tabla34[#All],3,0)</f>
        <v>12.23679763</v>
      </c>
      <c r="H33" s="14">
        <f>+Tabla110345345445545647945586877869510811712713622823724627233260269297315316348494493499527352[[#This Row],[Costo]]*Tabla110345345445545647945586877869510811712713622823724627233260269297315316348494493499527352[[#This Row],[Unidades]]</f>
        <v>1590.7836918999999</v>
      </c>
      <c r="I33" s="40"/>
      <c r="J33" s="20" t="s">
        <v>14</v>
      </c>
      <c r="K33" s="21">
        <v>74000</v>
      </c>
      <c r="M33" s="346"/>
    </row>
    <row r="34" spans="2:13" x14ac:dyDescent="0.3">
      <c r="B34" s="10" t="s">
        <v>451</v>
      </c>
      <c r="C34" s="11" t="s">
        <v>67</v>
      </c>
      <c r="D34" s="12">
        <v>20</v>
      </c>
      <c r="E34" s="12">
        <v>0</v>
      </c>
      <c r="F34" s="12">
        <v>20</v>
      </c>
      <c r="G34" s="13">
        <f>+VLOOKUP(Tabla110345345445545647945586877869510811712713622823724627233260269297315316348494493499527352[[#This Row],[ArtÃ­culo]],Tabla34[#All],3,0)</f>
        <v>60.987499999999997</v>
      </c>
      <c r="H34" s="14">
        <f>+Tabla110345345445545647945586877869510811712713622823724627233260269297315316348494493499527352[[#This Row],[Costo]]*Tabla110345345445545647945586877869510811712713622823724627233260269297315316348494493499527352[[#This Row],[Unidades]]</f>
        <v>1219.75</v>
      </c>
      <c r="I34" s="40"/>
      <c r="J34" s="8" t="s">
        <v>15</v>
      </c>
      <c r="K34" s="15">
        <f>+K33/1.08*0.08</f>
        <v>5481.4814814814808</v>
      </c>
    </row>
    <row r="35" spans="2:13" x14ac:dyDescent="0.3">
      <c r="B35" s="10" t="s">
        <v>682</v>
      </c>
      <c r="C35" s="11" t="s">
        <v>67</v>
      </c>
      <c r="D35" s="12">
        <v>20</v>
      </c>
      <c r="E35" s="12">
        <v>0</v>
      </c>
      <c r="F35" s="12">
        <v>20</v>
      </c>
      <c r="G35" s="13">
        <f>+VLOOKUP(Tabla110345345445545647945586877869510811712713622823724627233260269297315316348494493499527352[[#This Row],[ArtÃ­culo]],Tabla34[#All],3,0)</f>
        <v>39.071701390000001</v>
      </c>
      <c r="H35" s="14">
        <f>+Tabla110345345445545647945586877869510811712713622823724627233260269297315316348494493499527352[[#This Row],[Costo]]*Tabla110345345445545647945586877869510811712713622823724627233260269297315316348494493499527352[[#This Row],[Unidades]]</f>
        <v>781.43402779999997</v>
      </c>
      <c r="I35" s="40"/>
      <c r="J35" s="8" t="s">
        <v>16</v>
      </c>
      <c r="K35" s="15">
        <f>+K33-K34</f>
        <v>68518.518518518526</v>
      </c>
      <c r="M35" s="377" t="s">
        <v>1377</v>
      </c>
    </row>
    <row r="36" spans="2:13" x14ac:dyDescent="0.3">
      <c r="B36" s="10" t="s">
        <v>631</v>
      </c>
      <c r="C36" s="11" t="s">
        <v>67</v>
      </c>
      <c r="D36" s="12">
        <v>10</v>
      </c>
      <c r="E36" s="12">
        <v>0</v>
      </c>
      <c r="F36" s="12">
        <v>10</v>
      </c>
      <c r="G36" s="13">
        <f>+VLOOKUP(Tabla110345345445545647945586877869510811712713622823724627233260269297315316348494493499527352[[#This Row],[ArtÃ­culo]],Tabla34[#All],3,0)</f>
        <v>34.714285709999999</v>
      </c>
      <c r="H36" s="14">
        <f>+Tabla110345345445545647945586877869510811712713622823724627233260269297315316348494493499527352[[#This Row],[Costo]]*Tabla110345345445545647945586877869510811712713622823724627233260269297315316348494493499527352[[#This Row],[Unidades]]</f>
        <v>347.14285710000001</v>
      </c>
      <c r="I36" s="40"/>
      <c r="J36" s="8" t="s">
        <v>17</v>
      </c>
      <c r="K36" s="41">
        <f>+K32/K35</f>
        <v>0.31295839400998543</v>
      </c>
      <c r="M36" s="346"/>
    </row>
    <row r="37" spans="2:13" x14ac:dyDescent="0.3">
      <c r="B37" s="10" t="s">
        <v>833</v>
      </c>
      <c r="C37" s="11" t="s">
        <v>67</v>
      </c>
      <c r="D37" s="12">
        <v>1</v>
      </c>
      <c r="E37" s="12">
        <v>0</v>
      </c>
      <c r="F37" s="12">
        <v>1</v>
      </c>
      <c r="G37" s="13">
        <f>+VLOOKUP(Tabla110345345445545647945586877869510811712713622823724627233260269297315316348494493499527352[[#This Row],[ArtÃ­culo]],Tabla34[#All],3,0)</f>
        <v>307.5</v>
      </c>
      <c r="H37" s="14">
        <f>+Tabla110345345445545647945586877869510811712713622823724627233260269297315316348494493499527352[[#This Row],[Costo]]*Tabla110345345445545647945586877869510811712713622823724627233260269297315316348494493499527352[[#This Row],[Unidades]]</f>
        <v>307.5</v>
      </c>
      <c r="I37" s="40"/>
      <c r="J37" s="8" t="s">
        <v>18</v>
      </c>
      <c r="K37" s="42">
        <f>+K35-K32</f>
        <v>47075.073003019526</v>
      </c>
      <c r="M37" s="346"/>
    </row>
    <row r="38" spans="2:13" x14ac:dyDescent="0.3">
      <c r="B38" s="10" t="s">
        <v>805</v>
      </c>
      <c r="C38" s="11" t="s">
        <v>67</v>
      </c>
      <c r="D38" s="12">
        <v>10</v>
      </c>
      <c r="E38" s="12">
        <v>0</v>
      </c>
      <c r="F38" s="12">
        <v>10</v>
      </c>
      <c r="G38" s="13">
        <f>+VLOOKUP(Tabla110345345445545647945586877869510811712713622823724627233260269297315316348494493499527352[[#This Row],[ArtÃ­culo]],Tabla34[#All],3,0)</f>
        <v>28</v>
      </c>
      <c r="H38" s="14">
        <f>+Tabla110345345445545647945586877869510811712713622823724627233260269297315316348494493499527352[[#This Row],[Costo]]*Tabla110345345445545647945586877869510811712713622823724627233260269297315316348494493499527352[[#This Row],[Unidades]]</f>
        <v>280</v>
      </c>
      <c r="I38" s="40"/>
      <c r="J38" s="8" t="s">
        <v>19</v>
      </c>
      <c r="K38" s="43">
        <f>+K37/K32</f>
        <v>2.1953129206308923</v>
      </c>
      <c r="M38" s="346"/>
    </row>
    <row r="39" spans="2:13" x14ac:dyDescent="0.3">
      <c r="B39" s="10" t="s">
        <v>162</v>
      </c>
      <c r="C39" s="11" t="s">
        <v>67</v>
      </c>
      <c r="D39" s="12">
        <v>20</v>
      </c>
      <c r="E39" s="12">
        <v>0</v>
      </c>
      <c r="F39" s="12">
        <v>20</v>
      </c>
      <c r="G39" s="13">
        <f>+VLOOKUP(Tabla110345345445545647945586877869510811712713622823724627233260269297315316348494493499527352[[#This Row],[ArtÃ­culo]],Tabla34[#All],3,0)</f>
        <v>11.044796529999999</v>
      </c>
      <c r="H39" s="14">
        <f>+Tabla110345345445545647945586877869510811712713622823724627233260269297315316348494493499527352[[#This Row],[Costo]]*Tabla110345345445545647945586877869510811712713622823724627233260269297315316348494493499527352[[#This Row],[Unidades]]</f>
        <v>220.89593059999999</v>
      </c>
      <c r="I39" s="40"/>
      <c r="J39" s="40"/>
      <c r="K39" s="40"/>
      <c r="M39" s="346"/>
    </row>
    <row r="40" spans="2:13" x14ac:dyDescent="0.3">
      <c r="B40" s="10" t="s">
        <v>827</v>
      </c>
      <c r="C40" s="11" t="s">
        <v>67</v>
      </c>
      <c r="D40" s="12">
        <v>1</v>
      </c>
      <c r="E40" s="12">
        <v>0</v>
      </c>
      <c r="F40" s="12">
        <v>1</v>
      </c>
      <c r="G40" s="13">
        <f>+VLOOKUP(Tabla110345345445545647945586877869510811712713622823724627233260269297315316348494493499527352[[#This Row],[ArtÃ­culo]],Tabla34[#All],3,0)</f>
        <v>511</v>
      </c>
      <c r="H40" s="14">
        <f>+Tabla110345345445545647945586877869510811712713622823724627233260269297315316348494493499527352[[#This Row],[Costo]]*Tabla110345345445545647945586877869510811712713622823724627233260269297315316348494493499527352[[#This Row],[Unidades]]</f>
        <v>511</v>
      </c>
      <c r="I40" s="40"/>
      <c r="J40" s="40"/>
      <c r="K40" s="40"/>
    </row>
    <row r="41" spans="2:13" x14ac:dyDescent="0.3">
      <c r="B41" s="10" t="s">
        <v>708</v>
      </c>
      <c r="C41" s="11" t="s">
        <v>67</v>
      </c>
      <c r="D41" s="12">
        <v>10</v>
      </c>
      <c r="E41" s="12">
        <v>0</v>
      </c>
      <c r="F41" s="12">
        <v>10</v>
      </c>
      <c r="G41" s="13">
        <f>+VLOOKUP(Tabla110345345445545647945586877869510811712713622823724627233260269297315316348494493499527352[[#This Row],[ArtÃ­culo]],Tabla34[#All],3,0)</f>
        <v>11</v>
      </c>
      <c r="H41" s="14">
        <f>+Tabla110345345445545647945586877869510811712713622823724627233260269297315316348494493499527352[[#This Row],[Costo]]*Tabla110345345445545647945586877869510811712713622823724627233260269297315316348494493499527352[[#This Row],[Unidades]]</f>
        <v>110</v>
      </c>
      <c r="I41" s="40"/>
      <c r="J41" s="40"/>
      <c r="K41" s="40"/>
    </row>
    <row r="42" spans="2:13" x14ac:dyDescent="0.3">
      <c r="B42" s="10" t="s">
        <v>745</v>
      </c>
      <c r="C42" s="11" t="s">
        <v>67</v>
      </c>
      <c r="D42" s="12">
        <v>3</v>
      </c>
      <c r="E42" s="12">
        <v>0</v>
      </c>
      <c r="F42" s="12">
        <v>3</v>
      </c>
      <c r="G42" s="13">
        <f>+VLOOKUP(Tabla110345345445545647945586877869510811712713622823724627233260269297315316348494493499527352[[#This Row],[ArtÃ­culo]],Tabla34[#All],3,0)</f>
        <v>37.5</v>
      </c>
      <c r="H42" s="14">
        <f>+Tabla110345345445545647945586877869510811712713622823724627233260269297315316348494493499527352[[#This Row],[Costo]]*Tabla110345345445545647945586877869510811712713622823724627233260269297315316348494493499527352[[#This Row],[Unidades]]</f>
        <v>112.5</v>
      </c>
      <c r="I42" s="40"/>
      <c r="J42" s="40"/>
      <c r="K42" s="40"/>
    </row>
    <row r="43" spans="2:13" x14ac:dyDescent="0.3">
      <c r="B43" s="10" t="s">
        <v>634</v>
      </c>
      <c r="C43" s="11" t="s">
        <v>67</v>
      </c>
      <c r="D43" s="12">
        <v>10</v>
      </c>
      <c r="E43" s="12">
        <v>0</v>
      </c>
      <c r="F43" s="12">
        <v>10</v>
      </c>
      <c r="G43" s="13">
        <f>+VLOOKUP(Tabla110345345445545647945586877869510811712713622823724627233260269297315316348494493499527352[[#This Row],[ArtÃ­culo]],Tabla34[#All],3,0)</f>
        <v>8.9250000000000007</v>
      </c>
      <c r="H43" s="14">
        <f>+Tabla110345345445545647945586877869510811712713622823724627233260269297315316348494493499527352[[#This Row],[Costo]]*Tabla110345345445545647945586877869510811712713622823724627233260269297315316348494493499527352[[#This Row],[Unidades]]</f>
        <v>89.25</v>
      </c>
      <c r="I43" s="40"/>
      <c r="J43" s="40"/>
      <c r="K43" s="40"/>
    </row>
    <row r="44" spans="2:13" x14ac:dyDescent="0.3">
      <c r="B44" s="10" t="s">
        <v>37</v>
      </c>
      <c r="C44" s="11" t="s">
        <v>67</v>
      </c>
      <c r="D44" s="12">
        <v>5</v>
      </c>
      <c r="E44" s="12">
        <v>0</v>
      </c>
      <c r="F44" s="12">
        <v>5</v>
      </c>
      <c r="G44" s="13">
        <f>+VLOOKUP(Tabla110345345445545647945586877869510811712713622823724627233260269297315316348494493499527352[[#This Row],[ArtÃ­culo]],Tabla34[#All],3,0)</f>
        <v>14.25783539</v>
      </c>
      <c r="H44" s="14">
        <f>+Tabla110345345445545647945586877869510811712713622823724627233260269297315316348494493499527352[[#This Row],[Costo]]*Tabla110345345445545647945586877869510811712713622823724627233260269297315316348494493499527352[[#This Row],[Unidades]]</f>
        <v>71.289176949999998</v>
      </c>
      <c r="I44" s="40"/>
      <c r="J44" s="40"/>
      <c r="K44" s="40"/>
    </row>
    <row r="45" spans="2:13" x14ac:dyDescent="0.3">
      <c r="B45" s="10" t="s">
        <v>142</v>
      </c>
      <c r="C45" s="11" t="s">
        <v>67</v>
      </c>
      <c r="D45" s="12">
        <v>10</v>
      </c>
      <c r="E45" s="12">
        <v>0</v>
      </c>
      <c r="F45" s="12">
        <v>10</v>
      </c>
      <c r="G45" s="13">
        <f>+VLOOKUP(Tabla110345345445545647945586877869510811712713622823724627233260269297315316348494493499527352[[#This Row],[ArtÃ­culo]],Tabla34[#All],3,0)</f>
        <v>8.4010542600000004</v>
      </c>
      <c r="H45" s="14">
        <f>+Tabla110345345445545647945586877869510811712713622823724627233260269297315316348494493499527352[[#This Row],[Costo]]*Tabla110345345445545647945586877869510811712713622823724627233260269297315316348494493499527352[[#This Row],[Unidades]]</f>
        <v>84.010542600000008</v>
      </c>
      <c r="I45" s="40"/>
      <c r="J45" s="40"/>
      <c r="K45" s="40"/>
    </row>
    <row r="46" spans="2:13" x14ac:dyDescent="0.3">
      <c r="B46" s="10" t="s">
        <v>728</v>
      </c>
      <c r="C46" s="11" t="s">
        <v>67</v>
      </c>
      <c r="D46" s="12">
        <v>10</v>
      </c>
      <c r="E46" s="12">
        <v>20</v>
      </c>
      <c r="F46" s="12">
        <v>12.5</v>
      </c>
      <c r="G46" s="13">
        <f>+VLOOKUP(Tabla110345345445545647945586877869510811712713622823724627233260269297315316348494493499527352[[#This Row],[ArtÃ­culo]],Tabla34[#All],3,0)</f>
        <v>4.5</v>
      </c>
      <c r="H46" s="14">
        <f>+Tabla110345345445545647945586877869510811712713622823724627233260269297315316348494493499527352[[#This Row],[Costo]]*Tabla110345345445545647945586877869510811712713622823724627233260269297315316348494493499527352[[#This Row],[Unidades]]</f>
        <v>56.25</v>
      </c>
      <c r="I46" s="40"/>
      <c r="J46" s="40"/>
      <c r="K46" s="40"/>
    </row>
    <row r="47" spans="2:13" x14ac:dyDescent="0.3">
      <c r="B47" s="10" t="s">
        <v>840</v>
      </c>
      <c r="C47" s="11" t="s">
        <v>67</v>
      </c>
      <c r="D47" s="12">
        <v>1</v>
      </c>
      <c r="E47" s="12">
        <v>0</v>
      </c>
      <c r="F47" s="12">
        <v>1</v>
      </c>
      <c r="G47" s="13">
        <f>+VLOOKUP(Tabla110345345445545647945586877869510811712713622823724627233260269297315316348494493499527352[[#This Row],[ArtÃ­culo]],Tabla34[#All],3,0)</f>
        <v>57.218061669999997</v>
      </c>
      <c r="H47" s="14">
        <f>+Tabla110345345445545647945586877869510811712713622823724627233260269297315316348494493499527352[[#This Row],[Costo]]*Tabla110345345445545647945586877869510811712713622823724627233260269297315316348494493499527352[[#This Row],[Unidades]]</f>
        <v>57.218061669999997</v>
      </c>
      <c r="I47" s="40"/>
      <c r="J47" s="40"/>
      <c r="K47" s="40"/>
    </row>
    <row r="48" spans="2:13" x14ac:dyDescent="0.3">
      <c r="B48" s="10" t="s">
        <v>687</v>
      </c>
      <c r="C48" s="11" t="s">
        <v>67</v>
      </c>
      <c r="D48" s="12">
        <v>10.00000019</v>
      </c>
      <c r="E48" s="12">
        <v>17</v>
      </c>
      <c r="F48" s="12">
        <v>12.048192999999999</v>
      </c>
      <c r="G48" s="13">
        <f>+VLOOKUP(Tabla110345345445545647945586877869510811712713622823724627233260269297315316348494493499527352[[#This Row],[ArtÃ­culo]],Tabla34[#All],3,0)</f>
        <v>2.8</v>
      </c>
      <c r="H48" s="14">
        <f>+Tabla110345345445545647945586877869510811712713622823724627233260269297315316348494493499527352[[#This Row],[Costo]]*Tabla110345345445545647945586877869510811712713622823724627233260269297315316348494493499527352[[#This Row],[Unidades]]</f>
        <v>33.734940399999999</v>
      </c>
      <c r="I48" s="40"/>
      <c r="J48" s="40"/>
      <c r="K48" s="40"/>
    </row>
    <row r="49" spans="2:13" x14ac:dyDescent="0.3">
      <c r="B49" s="10" t="s">
        <v>219</v>
      </c>
      <c r="C49" s="11" t="s">
        <v>67</v>
      </c>
      <c r="D49" s="12">
        <v>1</v>
      </c>
      <c r="E49" s="12">
        <v>0</v>
      </c>
      <c r="F49" s="12">
        <v>1</v>
      </c>
      <c r="G49" s="13">
        <f>+VLOOKUP(Tabla110345345445545647945586877869510811712713622823724627233260269297315316348494493499527352[[#This Row],[ArtÃ­culo]],Tabla34[#All],3,0)</f>
        <v>30.77</v>
      </c>
      <c r="H49" s="14">
        <f>+Tabla110345345445545647945586877869510811712713622823724627233260269297315316348494493499527352[[#This Row],[Costo]]*Tabla110345345445545647945586877869510811712713622823724627233260269297315316348494493499527352[[#This Row],[Unidades]]</f>
        <v>30.77</v>
      </c>
      <c r="I49" s="40"/>
      <c r="J49" s="40"/>
      <c r="K49" s="40"/>
    </row>
    <row r="50" spans="2:13" x14ac:dyDescent="0.3">
      <c r="B50" s="10" t="s">
        <v>134</v>
      </c>
      <c r="C50" s="11" t="s">
        <v>67</v>
      </c>
      <c r="D50" s="12">
        <v>4</v>
      </c>
      <c r="E50" s="12">
        <v>0</v>
      </c>
      <c r="F50" s="12">
        <v>4</v>
      </c>
      <c r="G50" s="13">
        <f>+VLOOKUP(Tabla110345345445545647945586877869510811712713622823724627233260269297315316348494493499527352[[#This Row],[ArtÃ­culo]],Tabla34[#All],3,0)</f>
        <v>5.7702915900000002</v>
      </c>
      <c r="H50" s="14">
        <f>+Tabla110345345445545647945586877869510811712713622823724627233260269297315316348494493499527352[[#This Row],[Costo]]*Tabla110345345445545647945586877869510811712713622823724627233260269297315316348494493499527352[[#This Row],[Unidades]]</f>
        <v>23.081166360000001</v>
      </c>
      <c r="I50" s="40"/>
      <c r="J50" s="40"/>
      <c r="K50" s="40"/>
    </row>
    <row r="51" spans="2:13" x14ac:dyDescent="0.3">
      <c r="B51" s="10" t="s">
        <v>795</v>
      </c>
      <c r="C51" s="11" t="s">
        <v>67</v>
      </c>
      <c r="D51" s="12">
        <v>1</v>
      </c>
      <c r="E51" s="12">
        <v>0</v>
      </c>
      <c r="F51" s="12">
        <v>1</v>
      </c>
      <c r="G51" s="13">
        <f>+VLOOKUP(Tabla110345345445545647945586877869510811712713622823724627233260269297315316348494493499527352[[#This Row],[ArtÃ­culo]],Tabla34[#All],3,0)</f>
        <v>0</v>
      </c>
      <c r="H51" s="14">
        <f>+Tabla110345345445545647945586877869510811712713622823724627233260269297315316348494493499527352[[#This Row],[Costo]]*Tabla110345345445545647945586877869510811712713622823724627233260269297315316348494493499527352[[#This Row],[Unidades]]</f>
        <v>0</v>
      </c>
      <c r="I51" s="40"/>
      <c r="J51" s="40"/>
      <c r="K51" s="40"/>
    </row>
    <row r="52" spans="2:13" x14ac:dyDescent="0.3">
      <c r="B52" s="10" t="s">
        <v>748</v>
      </c>
      <c r="C52" s="11" t="s">
        <v>67</v>
      </c>
      <c r="D52" s="12">
        <v>1</v>
      </c>
      <c r="E52" s="12">
        <v>0</v>
      </c>
      <c r="F52" s="12">
        <v>1</v>
      </c>
      <c r="G52" s="13">
        <f>+VLOOKUP(Tabla110345345445545647945586877869510811712713622823724627233260269297315316348494493499527352[[#This Row],[ArtÃ­culo]],Tabla34[#All],3,0)</f>
        <v>10.5</v>
      </c>
      <c r="H52" s="14">
        <f>+Tabla110345345445545647945586877869510811712713622823724627233260269297315316348494493499527352[[#This Row],[Costo]]*Tabla110345345445545647945586877869510811712713622823724627233260269297315316348494493499527352[[#This Row],[Unidades]]</f>
        <v>10.5</v>
      </c>
      <c r="I52" s="40"/>
      <c r="J52" s="40"/>
      <c r="K52" s="40"/>
    </row>
    <row r="53" spans="2:13" x14ac:dyDescent="0.3">
      <c r="B53" s="10" t="s">
        <v>89</v>
      </c>
      <c r="C53" s="11" t="s">
        <v>67</v>
      </c>
      <c r="D53" s="12">
        <v>2</v>
      </c>
      <c r="E53" s="12">
        <v>0</v>
      </c>
      <c r="F53" s="12">
        <v>2</v>
      </c>
      <c r="G53" s="13">
        <f>+VLOOKUP(Tabla110345345445545647945586877869510811712713622823724627233260269297315316348494493499527352[[#This Row],[ArtÃ­culo]],Tabla34[#All],3,0)</f>
        <v>2.4009999999999998</v>
      </c>
      <c r="H53" s="14">
        <f>+Tabla110345345445545647945586877869510811712713622823724627233260269297315316348494493499527352[[#This Row],[Costo]]*Tabla110345345445545647945586877869510811712713622823724627233260269297315316348494493499527352[[#This Row],[Unidades]]</f>
        <v>4.8019999999999996</v>
      </c>
      <c r="I53" s="40"/>
      <c r="J53" s="40"/>
      <c r="K53" s="40"/>
    </row>
    <row r="54" spans="2:13" x14ac:dyDescent="0.3">
      <c r="B54" s="16"/>
      <c r="C54" s="17"/>
      <c r="D54" s="17"/>
      <c r="E54" s="17"/>
      <c r="F54" s="17"/>
      <c r="G54" s="18"/>
      <c r="H54" s="18">
        <f>SUBTOTAL(109,Tabla110345345445545647945586877869510811712713622823724627233260269297315316348494493499527352[Total costo])</f>
        <v>20422.329062380002</v>
      </c>
      <c r="I54" s="40"/>
      <c r="J54" s="40"/>
      <c r="K54" s="40"/>
    </row>
    <row r="55" spans="2:13" x14ac:dyDescent="0.3">
      <c r="B55" s="40"/>
      <c r="C55" s="40"/>
      <c r="D55" s="40"/>
      <c r="E55" s="40"/>
      <c r="F55" s="40"/>
      <c r="G55" s="40"/>
      <c r="H55" s="40"/>
      <c r="I55" s="40"/>
    </row>
    <row r="57" spans="2:13" x14ac:dyDescent="0.3">
      <c r="I57" s="40"/>
      <c r="J57" s="40"/>
      <c r="K57" s="40"/>
    </row>
    <row r="58" spans="2:13" ht="15.6" x14ac:dyDescent="0.3">
      <c r="B58" s="1" t="s">
        <v>326</v>
      </c>
      <c r="C58" s="2"/>
      <c r="D58" s="2"/>
      <c r="E58" s="3"/>
      <c r="F58" s="3"/>
      <c r="G58" s="3"/>
      <c r="H58" s="3"/>
      <c r="I58" s="242"/>
      <c r="J58" s="399" t="s">
        <v>0</v>
      </c>
      <c r="K58" s="399"/>
      <c r="M58" s="377" t="s">
        <v>1394</v>
      </c>
    </row>
    <row r="59" spans="2:13" x14ac:dyDescent="0.3">
      <c r="B59" s="16" t="s">
        <v>857</v>
      </c>
      <c r="C59" s="17" t="s">
        <v>895</v>
      </c>
      <c r="D59" s="17" t="s">
        <v>892</v>
      </c>
      <c r="E59" s="17" t="s">
        <v>893</v>
      </c>
      <c r="F59" s="17" t="s">
        <v>894</v>
      </c>
      <c r="G59" s="76" t="s">
        <v>4</v>
      </c>
      <c r="H59" s="76" t="s">
        <v>5</v>
      </c>
      <c r="I59" s="40"/>
      <c r="J59" s="8" t="s">
        <v>6</v>
      </c>
      <c r="K59" s="9">
        <f>SUM(Tabla110345345445545647945586877869510811712713622823724627233260269297315316348494493499527528374243440[Total costo])</f>
        <v>13966.663454069998</v>
      </c>
      <c r="M59" s="346"/>
    </row>
    <row r="60" spans="2:13" x14ac:dyDescent="0.3">
      <c r="B60" s="10" t="s">
        <v>620</v>
      </c>
      <c r="C60" s="11" t="s">
        <v>67</v>
      </c>
      <c r="D60" s="12">
        <v>200.00000700000001</v>
      </c>
      <c r="E60" s="12">
        <v>10</v>
      </c>
      <c r="F60" s="12">
        <v>222.22223</v>
      </c>
      <c r="G60" s="13">
        <f>+VLOOKUP(Tabla110345345445545647945586877869510811712713622823724627233260269297315316348494493499527528374243440[[#This Row],[ArtÃ­culo]],Tabla34[#All],3,0)</f>
        <v>39</v>
      </c>
      <c r="H60" s="14">
        <f>+Tabla110345345445545647945586877869510811712713622823724627233260269297315316348494493499527528374243440[[#This Row],[Costo]]*Tabla110345345445545647945586877869510811712713622823724627233260269297315316348494493499527528374243440[[#This Row],[Unidades]]</f>
        <v>8666.6669700000002</v>
      </c>
      <c r="I60" s="40"/>
      <c r="J60" s="8" t="s">
        <v>533</v>
      </c>
      <c r="K60" s="15">
        <f>+K59*5%</f>
        <v>698.33317270349994</v>
      </c>
      <c r="M60" s="346"/>
    </row>
    <row r="61" spans="2:13" x14ac:dyDescent="0.3">
      <c r="B61" s="10" t="s">
        <v>451</v>
      </c>
      <c r="C61" s="11" t="s">
        <v>67</v>
      </c>
      <c r="D61" s="12">
        <v>20</v>
      </c>
      <c r="E61" s="12">
        <v>0</v>
      </c>
      <c r="F61" s="12">
        <v>20</v>
      </c>
      <c r="G61" s="13">
        <f>+VLOOKUP(Tabla110345345445545647945586877869510811712713622823724627233260269297315316348494493499527528374243440[[#This Row],[ArtÃ­culo]],Tabla34[#All],3,0)</f>
        <v>60.987499999999997</v>
      </c>
      <c r="H61" s="14">
        <f>+Tabla110345345445545647945586877869510811712713622823724627233260269297315316348494493499527528374243440[[#This Row],[Costo]]*Tabla110345345445545647945586877869510811712713622823724627233260269297315316348494493499527528374243440[[#This Row],[Unidades]]</f>
        <v>1219.75</v>
      </c>
      <c r="I61" s="40"/>
      <c r="J61" s="8" t="s">
        <v>13</v>
      </c>
      <c r="K61" s="15">
        <f>+K59+K60</f>
        <v>14664.996626773498</v>
      </c>
      <c r="M61" s="346"/>
    </row>
    <row r="62" spans="2:13" x14ac:dyDescent="0.3">
      <c r="B62" s="10" t="s">
        <v>633</v>
      </c>
      <c r="C62" s="11" t="s">
        <v>67</v>
      </c>
      <c r="D62" s="12">
        <v>29.999999649999999</v>
      </c>
      <c r="E62" s="12">
        <v>5</v>
      </c>
      <c r="F62" s="12">
        <v>31.578946999999999</v>
      </c>
      <c r="G62" s="13">
        <f>+VLOOKUP(Tabla110345345445545647945586877869510811712713622823724627233260269297315316348494493499527528374243440[[#This Row],[ArtÃ­culo]],Tabla34[#All],3,0)</f>
        <v>27</v>
      </c>
      <c r="H62" s="14">
        <f>+Tabla110345345445545647945586877869510811712713622823724627233260269297315316348494493499527528374243440[[#This Row],[Costo]]*Tabla110345345445545647945586877869510811712713622823724627233260269297315316348494493499527528374243440[[#This Row],[Unidades]]</f>
        <v>852.63156900000001</v>
      </c>
      <c r="I62" s="40"/>
      <c r="J62" s="20" t="s">
        <v>14</v>
      </c>
      <c r="K62" s="21">
        <v>61000</v>
      </c>
      <c r="M62" s="346"/>
    </row>
    <row r="63" spans="2:13" x14ac:dyDescent="0.3">
      <c r="B63" s="10" t="s">
        <v>634</v>
      </c>
      <c r="C63" s="11" t="s">
        <v>67</v>
      </c>
      <c r="D63" s="12">
        <v>50</v>
      </c>
      <c r="E63" s="12">
        <v>0</v>
      </c>
      <c r="F63" s="12">
        <v>50</v>
      </c>
      <c r="G63" s="13">
        <f>+VLOOKUP(Tabla110345345445545647945586877869510811712713622823724627233260269297315316348494493499527528374243440[[#This Row],[ArtÃ­culo]],Tabla34[#All],3,0)</f>
        <v>8.9250000000000007</v>
      </c>
      <c r="H63" s="14">
        <f>+Tabla110345345445545647945586877869510811712713622823724627233260269297315316348494493499527528374243440[[#This Row],[Costo]]*Tabla110345345445545647945586877869510811712713622823724627233260269297315316348494493499527528374243440[[#This Row],[Unidades]]</f>
        <v>446.25000000000006</v>
      </c>
      <c r="I63" s="40"/>
      <c r="J63" s="8" t="s">
        <v>15</v>
      </c>
      <c r="K63" s="15">
        <f>+K62/1.08*0.08</f>
        <v>4518.5185185185182</v>
      </c>
    </row>
    <row r="64" spans="2:13" x14ac:dyDescent="0.3">
      <c r="B64" s="10" t="s">
        <v>678</v>
      </c>
      <c r="C64" s="11" t="s">
        <v>67</v>
      </c>
      <c r="D64" s="12">
        <v>60</v>
      </c>
      <c r="E64" s="12">
        <v>0</v>
      </c>
      <c r="F64" s="12">
        <v>60</v>
      </c>
      <c r="G64" s="13">
        <f>+VLOOKUP(Tabla110345345445545647945586877869510811712713622823724627233260269297315316348494493499527528374243440[[#This Row],[ArtÃ­culo]],Tabla34[#All],3,0)</f>
        <v>8</v>
      </c>
      <c r="H64" s="14">
        <f>+Tabla110345345445545647945586877869510811712713622823724627233260269297315316348494493499527528374243440[[#This Row],[Costo]]*Tabla110345345445545647945586877869510811712713622823724627233260269297315316348494493499527528374243440[[#This Row],[Unidades]]</f>
        <v>480</v>
      </c>
      <c r="I64" s="40"/>
      <c r="J64" s="8" t="s">
        <v>16</v>
      </c>
      <c r="K64" s="15">
        <f>+K62-K63</f>
        <v>56481.481481481482</v>
      </c>
      <c r="M64" s="377" t="s">
        <v>1377</v>
      </c>
    </row>
    <row r="65" spans="2:13" x14ac:dyDescent="0.3">
      <c r="B65" s="10" t="s">
        <v>708</v>
      </c>
      <c r="C65" s="11" t="s">
        <v>67</v>
      </c>
      <c r="D65" s="12">
        <v>29.999999649999999</v>
      </c>
      <c r="E65" s="12">
        <v>5</v>
      </c>
      <c r="F65" s="12">
        <v>31.578946999999999</v>
      </c>
      <c r="G65" s="13">
        <f>+VLOOKUP(Tabla110345345445545647945586877869510811712713622823724627233260269297315316348494493499527528374243440[[#This Row],[ArtÃ­culo]],Tabla34[#All],3,0)</f>
        <v>11</v>
      </c>
      <c r="H65" s="14">
        <f>+Tabla110345345445545647945586877869510811712713622823724627233260269297315316348494493499527528374243440[[#This Row],[Costo]]*Tabla110345345445545647945586877869510811712713622823724627233260269297315316348494493499527528374243440[[#This Row],[Unidades]]</f>
        <v>347.36841700000002</v>
      </c>
      <c r="I65" s="40"/>
      <c r="J65" s="8" t="s">
        <v>17</v>
      </c>
      <c r="K65" s="41">
        <f>+K61/K64</f>
        <v>0.25964256322812096</v>
      </c>
      <c r="M65" s="346"/>
    </row>
    <row r="66" spans="2:13" x14ac:dyDescent="0.3">
      <c r="B66" s="10" t="s">
        <v>122</v>
      </c>
      <c r="C66" s="11" t="s">
        <v>67</v>
      </c>
      <c r="D66" s="12">
        <v>10</v>
      </c>
      <c r="E66" s="12">
        <v>0</v>
      </c>
      <c r="F66" s="12">
        <v>10</v>
      </c>
      <c r="G66" s="13">
        <f>+VLOOKUP(Tabla110345345445545647945586877869510811712713622823724627233260269297315316348494493499527528374243440[[#This Row],[ArtÃ­culo]],Tabla34[#All],3,0)</f>
        <v>20.160619029999999</v>
      </c>
      <c r="H66" s="14">
        <f>+Tabla110345345445545647945586877869510811712713622823724627233260269297315316348494493499527528374243440[[#This Row],[Costo]]*Tabla110345345445545647945586877869510811712713622823724627233260269297315316348494493499527528374243440[[#This Row],[Unidades]]</f>
        <v>201.60619029999998</v>
      </c>
      <c r="I66" s="40"/>
      <c r="J66" s="8" t="s">
        <v>18</v>
      </c>
      <c r="K66" s="42">
        <f>+K64-K61</f>
        <v>41816.484854707982</v>
      </c>
      <c r="M66" s="346"/>
    </row>
    <row r="67" spans="2:13" x14ac:dyDescent="0.3">
      <c r="B67" s="10" t="s">
        <v>728</v>
      </c>
      <c r="C67" s="11" t="s">
        <v>67</v>
      </c>
      <c r="D67" s="12">
        <v>14.999999649999999</v>
      </c>
      <c r="E67" s="12">
        <v>59</v>
      </c>
      <c r="F67" s="12">
        <v>36.585365000000003</v>
      </c>
      <c r="G67" s="13">
        <f>+VLOOKUP(Tabla110345345445545647945586877869510811712713622823724627233260269297315316348494493499527528374243440[[#This Row],[ArtÃ­culo]],Tabla34[#All],3,0)</f>
        <v>4.5</v>
      </c>
      <c r="H67" s="14">
        <f>+Tabla110345345445545647945586877869510811712713622823724627233260269297315316348494493499527528374243440[[#This Row],[Costo]]*Tabla110345345445545647945586877869510811712713622823724627233260269297315316348494493499527528374243440[[#This Row],[Unidades]]</f>
        <v>164.63414250000002</v>
      </c>
      <c r="I67" s="40"/>
      <c r="J67" s="8" t="s">
        <v>19</v>
      </c>
      <c r="K67" s="43">
        <f>+K66/K61</f>
        <v>2.8514486514347182</v>
      </c>
      <c r="M67" s="346"/>
    </row>
    <row r="68" spans="2:13" x14ac:dyDescent="0.3">
      <c r="B68" s="10" t="s">
        <v>233</v>
      </c>
      <c r="C68" s="11" t="s">
        <v>67</v>
      </c>
      <c r="D68" s="12">
        <v>1</v>
      </c>
      <c r="E68" s="12">
        <v>0</v>
      </c>
      <c r="F68" s="12">
        <v>1</v>
      </c>
      <c r="G68" s="13">
        <f>+VLOOKUP(Tabla110345345445545647945586877869510811712713622823724627233260269297315316348494493499527528374243440[[#This Row],[ArtÃ­culo]],Tabla34[#All],3,0)</f>
        <v>99.166666669999998</v>
      </c>
      <c r="H68" s="14">
        <f>+Tabla110345345445545647945586877869510811712713622823724627233260269297315316348494493499527528374243440[[#This Row],[Costo]]*Tabla110345345445545647945586877869510811712713622823724627233260269297315316348494493499527528374243440[[#This Row],[Unidades]]</f>
        <v>99.166666669999998</v>
      </c>
      <c r="M68" s="346"/>
    </row>
    <row r="69" spans="2:13" x14ac:dyDescent="0.3">
      <c r="B69" s="10" t="s">
        <v>42</v>
      </c>
      <c r="C69" s="11" t="s">
        <v>67</v>
      </c>
      <c r="D69" s="12">
        <v>10</v>
      </c>
      <c r="E69" s="12">
        <v>0</v>
      </c>
      <c r="F69" s="12">
        <v>10</v>
      </c>
      <c r="G69" s="13">
        <f>+VLOOKUP(Tabla110345345445545647945586877869510811712713622823724627233260269297315316348494493499527528374243440[[#This Row],[ArtÃ­culo]],Tabla34[#All],3,0)</f>
        <v>12.66172066</v>
      </c>
      <c r="H69" s="14">
        <f>+Tabla110345345445545647945586877869510811712713622823724627233260269297315316348494493499527528374243440[[#This Row],[Costo]]*Tabla110345345445545647945586877869510811712713622823724627233260269297315316348494493499527528374243440[[#This Row],[Unidades]]</f>
        <v>126.6172066</v>
      </c>
    </row>
    <row r="70" spans="2:13" x14ac:dyDescent="0.3">
      <c r="B70" s="10" t="s">
        <v>695</v>
      </c>
      <c r="C70" s="11" t="s">
        <v>67</v>
      </c>
      <c r="D70" s="12">
        <v>15.000000399999999</v>
      </c>
      <c r="E70" s="12">
        <v>30</v>
      </c>
      <c r="F70" s="12">
        <v>21.428571999999999</v>
      </c>
      <c r="G70" s="13">
        <f>+VLOOKUP(Tabla110345345445545647945586877869510811712713622823724627233260269297315316348494493499527528374243440[[#This Row],[ArtÃ­culo]],Tabla34[#All],3,0)</f>
        <v>5</v>
      </c>
      <c r="H70" s="14">
        <f>+Tabla110345345445545647945586877869510811712713622823724627233260269297315316348494493499527528374243440[[#This Row],[Costo]]*Tabla110345345445545647945586877869510811712713622823724627233260269297315316348494493499527528374243440[[#This Row],[Unidades]]</f>
        <v>107.14286</v>
      </c>
    </row>
    <row r="71" spans="2:13" x14ac:dyDescent="0.3">
      <c r="B71" s="10" t="s">
        <v>710</v>
      </c>
      <c r="C71" s="11" t="s">
        <v>67</v>
      </c>
      <c r="D71" s="12">
        <v>30</v>
      </c>
      <c r="E71" s="12">
        <v>20</v>
      </c>
      <c r="F71" s="12">
        <v>37.5</v>
      </c>
      <c r="G71" s="13">
        <f>+VLOOKUP(Tabla110345345445545647945586877869510811712713622823724627233260269297315316348494493499527528374243440[[#This Row],[ArtÃ­culo]],Tabla34[#All],3,0)</f>
        <v>2.5</v>
      </c>
      <c r="H71" s="14">
        <f>+Tabla110345345445545647945586877869510811712713622823724627233260269297315316348494493499527528374243440[[#This Row],[Costo]]*Tabla110345345445545647945586877869510811712713622823724627233260269297315316348494493499527528374243440[[#This Row],[Unidades]]</f>
        <v>93.75</v>
      </c>
    </row>
    <row r="72" spans="2:13" x14ac:dyDescent="0.3">
      <c r="B72" s="10" t="s">
        <v>119</v>
      </c>
      <c r="C72" s="11" t="s">
        <v>67</v>
      </c>
      <c r="D72" s="12">
        <v>200</v>
      </c>
      <c r="E72" s="12">
        <v>0</v>
      </c>
      <c r="F72" s="12">
        <v>200</v>
      </c>
      <c r="G72" s="13">
        <f>+VLOOKUP(Tabla110345345445545647945586877869510811712713622823724627233260269297315316348494493499527528374243440[[#This Row],[ArtÃ­culo]],Tabla34[#All],3,0)</f>
        <v>5.8053971600000001</v>
      </c>
      <c r="H72" s="14">
        <f>+Tabla110345345445545647945586877869510811712713622823724627233260269297315316348494493499527528374243440[[#This Row],[Costo]]*Tabla110345345445545647945586877869510811712713622823724627233260269297315316348494493499527528374243440[[#This Row],[Unidades]]</f>
        <v>1161.079432</v>
      </c>
    </row>
    <row r="73" spans="2:13" x14ac:dyDescent="0.3">
      <c r="B73" s="16"/>
      <c r="C73" s="17"/>
      <c r="D73" s="17"/>
      <c r="E73" s="17"/>
      <c r="F73" s="17"/>
      <c r="G73" s="18"/>
      <c r="H73" s="18">
        <f>SUBTOTAL(109,Tabla110345345445545647945586877869510811712713622823724627233260269297315316348494493499527528374243440[Total costo])</f>
        <v>13966.663454069998</v>
      </c>
    </row>
    <row r="76" spans="2:13" ht="15.6" x14ac:dyDescent="0.3">
      <c r="B76" s="1" t="s">
        <v>1423</v>
      </c>
      <c r="C76" s="2"/>
      <c r="D76" s="2"/>
      <c r="E76" s="3"/>
      <c r="F76" s="3"/>
      <c r="G76" s="3"/>
      <c r="H76" s="3"/>
      <c r="I76" s="242"/>
      <c r="J76" s="399" t="s">
        <v>0</v>
      </c>
      <c r="K76" s="399"/>
      <c r="M76" s="377" t="s">
        <v>1394</v>
      </c>
    </row>
    <row r="77" spans="2:13" x14ac:dyDescent="0.3">
      <c r="B77" s="16" t="s">
        <v>857</v>
      </c>
      <c r="C77" s="17" t="s">
        <v>895</v>
      </c>
      <c r="D77" s="17" t="s">
        <v>892</v>
      </c>
      <c r="E77" s="17" t="s">
        <v>893</v>
      </c>
      <c r="F77" s="17" t="s">
        <v>894</v>
      </c>
      <c r="G77" s="76" t="s">
        <v>4</v>
      </c>
      <c r="H77" s="76" t="s">
        <v>5</v>
      </c>
      <c r="I77" s="40"/>
      <c r="J77" s="8" t="s">
        <v>6</v>
      </c>
      <c r="K77" s="9">
        <f>SUM(Tabla110345345445545647945586877869510811712713622823724627233260269297315316348494493499527528374243440252[Total costo])</f>
        <v>17131.327464245001</v>
      </c>
      <c r="M77" s="346"/>
    </row>
    <row r="78" spans="2:13" x14ac:dyDescent="0.3">
      <c r="B78" s="10" t="s">
        <v>1424</v>
      </c>
      <c r="C78" s="11" t="s">
        <v>847</v>
      </c>
      <c r="D78" s="12">
        <v>1</v>
      </c>
      <c r="E78" s="12">
        <v>0</v>
      </c>
      <c r="F78" s="12">
        <v>1</v>
      </c>
      <c r="G78" s="13">
        <f>+VLOOKUP(Tabla110345345445545647945586877869510811712713622823724627233260269297315316348494493499527528374243440252[[#This Row],[ArtÃ­culo]],Tabla34[#All],3,0)</f>
        <v>11250</v>
      </c>
      <c r="H78" s="14">
        <f>+Tabla110345345445545647945586877869510811712713622823724627233260269297315316348494493499527528374243440252[[#This Row],[Costo]]*Tabla110345345445545647945586877869510811712713622823724627233260269297315316348494493499527528374243440252[[#This Row],[Unidades]]</f>
        <v>11250</v>
      </c>
      <c r="I78" s="40"/>
      <c r="J78" s="8" t="s">
        <v>533</v>
      </c>
      <c r="K78" s="15">
        <f>+K77*5%</f>
        <v>856.56637321225014</v>
      </c>
      <c r="M78" s="346"/>
    </row>
    <row r="79" spans="2:13" x14ac:dyDescent="0.3">
      <c r="B79" s="10" t="s">
        <v>1069</v>
      </c>
      <c r="C79" s="11" t="s">
        <v>67</v>
      </c>
      <c r="D79" s="12">
        <v>50</v>
      </c>
      <c r="E79" s="12">
        <v>0</v>
      </c>
      <c r="F79" s="12">
        <v>50</v>
      </c>
      <c r="G79" s="13">
        <f>+VLOOKUP(Tabla110345345445545647945586877869510811712713622823724627233260269297315316348494493499527528374243440252[[#This Row],[ArtÃ­culo]],Tabla34[#All],3,0)</f>
        <v>57.12</v>
      </c>
      <c r="H79" s="14">
        <f>+Tabla110345345445545647945586877869510811712713622823724627233260269297315316348494493499527528374243440252[[#This Row],[Costo]]*Tabla110345345445545647945586877869510811712713622823724627233260269297315316348494493499527528374243440252[[#This Row],[Unidades]]</f>
        <v>2856</v>
      </c>
      <c r="I79" s="40"/>
      <c r="J79" s="8" t="s">
        <v>13</v>
      </c>
      <c r="K79" s="15">
        <f>+K77+K78</f>
        <v>17987.89383745725</v>
      </c>
      <c r="M79" s="346"/>
    </row>
    <row r="80" spans="2:13" x14ac:dyDescent="0.3">
      <c r="B80" s="10" t="s">
        <v>51</v>
      </c>
      <c r="C80" s="11" t="s">
        <v>67</v>
      </c>
      <c r="D80" s="12">
        <v>15</v>
      </c>
      <c r="E80" s="12">
        <v>0</v>
      </c>
      <c r="F80" s="12">
        <v>15</v>
      </c>
      <c r="G80" s="13">
        <f>+VLOOKUP(Tabla110345345445545647945586877869510811712713622823724627233260269297315316348494493499527528374243440252[[#This Row],[ArtÃ­culo]],Tabla34[#All],3,0)</f>
        <v>11.3849874</v>
      </c>
      <c r="H80" s="14">
        <f>+Tabla110345345445545647945586877869510811712713622823724627233260269297315316348494493499527528374243440252[[#This Row],[Costo]]*Tabla110345345445545647945586877869510811712713622823724627233260269297315316348494493499527528374243440252[[#This Row],[Unidades]]</f>
        <v>170.774811</v>
      </c>
      <c r="I80" s="40"/>
      <c r="J80" s="20" t="s">
        <v>14</v>
      </c>
      <c r="K80" s="21">
        <v>61000</v>
      </c>
      <c r="M80" s="346"/>
    </row>
    <row r="81" spans="2:13" x14ac:dyDescent="0.3">
      <c r="B81" s="10" t="s">
        <v>1425</v>
      </c>
      <c r="C81" s="11" t="s">
        <v>847</v>
      </c>
      <c r="D81" s="12">
        <v>1</v>
      </c>
      <c r="E81" s="12">
        <v>0</v>
      </c>
      <c r="F81" s="12">
        <v>1</v>
      </c>
      <c r="G81" s="13">
        <f>+VLOOKUP(Tabla110345345445545647945586877869510811712713622823724627233260269297315316348494493499527528374243440252[[#This Row],[ArtÃ­culo]],Tabla34[#All],3,0)</f>
        <v>500</v>
      </c>
      <c r="H81" s="14">
        <f>+Tabla110345345445545647945586877869510811712713622823724627233260269297315316348494493499527528374243440252[[#This Row],[Costo]]*Tabla110345345445545647945586877869510811712713622823724627233260269297315316348494493499527528374243440252[[#This Row],[Unidades]]</f>
        <v>500</v>
      </c>
      <c r="I81" s="40"/>
      <c r="J81" s="8" t="s">
        <v>15</v>
      </c>
      <c r="K81" s="15">
        <f>+K80/1.08*0.08</f>
        <v>4518.5185185185182</v>
      </c>
    </row>
    <row r="82" spans="2:13" x14ac:dyDescent="0.3">
      <c r="B82" s="10" t="s">
        <v>187</v>
      </c>
      <c r="C82" s="11" t="s">
        <v>67</v>
      </c>
      <c r="D82" s="12">
        <v>15</v>
      </c>
      <c r="E82" s="12">
        <v>10</v>
      </c>
      <c r="F82" s="12">
        <v>16.667000000000002</v>
      </c>
      <c r="G82" s="13">
        <f>+VLOOKUP(Tabla110345345445545647945586877869510811712713622823724627233260269297315316348494493499527528374243440252[[#This Row],[ArtÃ­culo]],Tabla34[#All],3,0)</f>
        <v>4.7</v>
      </c>
      <c r="H82" s="14">
        <f>+Tabla110345345445545647945586877869510811712713622823724627233260269297315316348494493499527528374243440252[[#This Row],[Costo]]*Tabla110345345445545647945586877869510811712713622823724627233260269297315316348494493499527528374243440252[[#This Row],[Unidades]]</f>
        <v>78.334900000000005</v>
      </c>
      <c r="I82" s="40"/>
      <c r="J82" s="8" t="s">
        <v>16</v>
      </c>
      <c r="K82" s="15">
        <f>+K80-K81</f>
        <v>56481.481481481482</v>
      </c>
      <c r="M82" s="377" t="s">
        <v>1377</v>
      </c>
    </row>
    <row r="83" spans="2:13" x14ac:dyDescent="0.3">
      <c r="B83" s="10" t="s">
        <v>450</v>
      </c>
      <c r="C83" s="11" t="s">
        <v>67</v>
      </c>
      <c r="D83" s="12">
        <v>2</v>
      </c>
      <c r="E83" s="12">
        <v>0</v>
      </c>
      <c r="F83" s="12">
        <v>2</v>
      </c>
      <c r="G83" s="13">
        <f>+VLOOKUP(Tabla110345345445545647945586877869510811712713622823724627233260269297315316348494493499527528374243440252[[#This Row],[ArtÃ­culo]],Tabla34[#All],3,0)</f>
        <v>13.40129132</v>
      </c>
      <c r="H83" s="14">
        <f>+Tabla110345345445545647945586877869510811712713622823724627233260269297315316348494493499527528374243440252[[#This Row],[Costo]]*Tabla110345345445545647945586877869510811712713622823724627233260269297315316348494493499527528374243440252[[#This Row],[Unidades]]</f>
        <v>26.802582640000001</v>
      </c>
      <c r="I83" s="40"/>
      <c r="J83" s="8" t="s">
        <v>17</v>
      </c>
      <c r="K83" s="41">
        <f>+K79/K82</f>
        <v>0.31847418597465293</v>
      </c>
      <c r="M83" s="346"/>
    </row>
    <row r="84" spans="2:13" x14ac:dyDescent="0.3">
      <c r="B84" s="10" t="s">
        <v>1230</v>
      </c>
      <c r="C84" s="11" t="s">
        <v>67</v>
      </c>
      <c r="D84" s="12">
        <v>150</v>
      </c>
      <c r="E84" s="12">
        <v>0</v>
      </c>
      <c r="F84" s="12">
        <v>150</v>
      </c>
      <c r="G84" s="13">
        <f>+VLOOKUP(Tabla110345345445545647945586877869510811712713622823724627233260269297315316348494493499527528374243440252[[#This Row],[ArtÃ­culo]],Tabla34[#All],3,0)</f>
        <v>2.3696000000000002</v>
      </c>
      <c r="H84" s="14">
        <f>+Tabla110345345445545647945586877869510811712713622823724627233260269297315316348494493499527528374243440252[[#This Row],[Costo]]*Tabla110345345445545647945586877869510811712713622823724627233260269297315316348494493499527528374243440252[[#This Row],[Unidades]]</f>
        <v>355.44</v>
      </c>
      <c r="I84" s="40"/>
      <c r="J84" s="8" t="s">
        <v>18</v>
      </c>
      <c r="K84" s="42">
        <f>+K82-K79</f>
        <v>38493.587644024228</v>
      </c>
      <c r="M84" s="346"/>
    </row>
    <row r="85" spans="2:13" x14ac:dyDescent="0.3">
      <c r="B85" s="10" t="s">
        <v>705</v>
      </c>
      <c r="C85" s="11" t="s">
        <v>847</v>
      </c>
      <c r="D85" s="12">
        <v>0.5</v>
      </c>
      <c r="E85" s="12">
        <v>0</v>
      </c>
      <c r="F85" s="12">
        <v>0.5</v>
      </c>
      <c r="G85" s="13">
        <f>+VLOOKUP(Tabla110345345445545647945586877869510811712713622823724627233260269297315316348494493499527528374243440252[[#This Row],[ArtÃ­culo]],Tabla34[#All],3,0)</f>
        <v>2298</v>
      </c>
      <c r="H85" s="14">
        <f>+Tabla110345345445545647945586877869510811712713622823724627233260269297315316348494493499527528374243440252[[#This Row],[Costo]]*Tabla110345345445545647945586877869510811712713622823724627233260269297315316348494493499527528374243440252[[#This Row],[Unidades]]</f>
        <v>1149</v>
      </c>
      <c r="I85" s="40"/>
      <c r="J85" s="8" t="s">
        <v>19</v>
      </c>
      <c r="K85" s="43">
        <f>+K84/K79</f>
        <v>2.139971916215492</v>
      </c>
      <c r="M85" s="346"/>
    </row>
    <row r="86" spans="2:13" x14ac:dyDescent="0.3">
      <c r="B86" s="10" t="s">
        <v>124</v>
      </c>
      <c r="C86" s="11" t="s">
        <v>67</v>
      </c>
      <c r="D86" s="12">
        <v>120</v>
      </c>
      <c r="E86" s="12">
        <v>0</v>
      </c>
      <c r="F86" s="12">
        <v>120</v>
      </c>
      <c r="G86" s="13">
        <f>+VLOOKUP(Tabla110345345445545647945586877869510811712713622823724627233260269297315316348494493499527528374243440252[[#This Row],[ArtÃ­culo]],Tabla34[#All],3,0)</f>
        <v>3.1357552800000001</v>
      </c>
      <c r="H86" s="14">
        <f>+Tabla110345345445545647945586877869510811712713622823724627233260269297315316348494493499527528374243440252[[#This Row],[Costo]]*Tabla110345345445545647945586877869510811712713622823724627233260269297315316348494493499527528374243440252[[#This Row],[Unidades]]</f>
        <v>376.29063360000004</v>
      </c>
      <c r="M86" s="346"/>
    </row>
    <row r="87" spans="2:13" x14ac:dyDescent="0.3">
      <c r="B87" s="10" t="s">
        <v>835</v>
      </c>
      <c r="C87" s="11" t="s">
        <v>67</v>
      </c>
      <c r="D87" s="12">
        <v>25</v>
      </c>
      <c r="E87" s="12">
        <v>0</v>
      </c>
      <c r="F87" s="12">
        <v>25</v>
      </c>
      <c r="G87" s="13">
        <f>+VLOOKUP(Tabla110345345445545647945586877869510811712713622823724627233260269297315316348494493499527528374243440252[[#This Row],[ArtÃ­culo]],Tabla34[#All],3,0)</f>
        <v>4.5</v>
      </c>
      <c r="H87" s="14">
        <f>+Tabla110345345445545647945586877869510811712713622823724627233260269297315316348494493499527528374243440252[[#This Row],[Costo]]*Tabla110345345445545647945586877869510811712713622823724627233260269297315316348494493499527528374243440252[[#This Row],[Unidades]]</f>
        <v>112.5</v>
      </c>
    </row>
    <row r="88" spans="2:13" x14ac:dyDescent="0.3">
      <c r="B88" s="10" t="s">
        <v>730</v>
      </c>
      <c r="C88" s="11" t="s">
        <v>67</v>
      </c>
      <c r="D88" s="12">
        <v>15</v>
      </c>
      <c r="E88" s="12">
        <v>0</v>
      </c>
      <c r="F88" s="12">
        <v>15</v>
      </c>
      <c r="G88" s="13">
        <f>+VLOOKUP(Tabla110345345445545647945586877869510811712713622823724627233260269297315316348494493499527528374243440252[[#This Row],[ArtÃ­culo]],Tabla34[#All],3,0)</f>
        <v>12</v>
      </c>
      <c r="H88" s="14">
        <f>+Tabla110345345445545647945586877869510811712713622823724627233260269297315316348494493499527528374243440252[[#This Row],[Costo]]*Tabla110345345445545647945586877869510811712713622823724627233260269297315316348494493499527528374243440252[[#This Row],[Unidades]]</f>
        <v>180</v>
      </c>
    </row>
    <row r="89" spans="2:13" x14ac:dyDescent="0.3">
      <c r="B89" s="10" t="s">
        <v>37</v>
      </c>
      <c r="C89" s="11" t="s">
        <v>67</v>
      </c>
      <c r="D89" s="12">
        <v>3</v>
      </c>
      <c r="E89" s="12">
        <v>0</v>
      </c>
      <c r="F89" s="12">
        <v>3</v>
      </c>
      <c r="G89" s="13">
        <f>+VLOOKUP(Tabla110345345445545647945586877869510811712713622823724627233260269297315316348494493499527528374243440252[[#This Row],[ArtÃ­culo]],Tabla34[#All],3,0)</f>
        <v>14.25783539</v>
      </c>
      <c r="H89" s="14">
        <f>+Tabla110345345445545647945586877869510811712713622823724627233260269297315316348494493499527528374243440252[[#This Row],[Costo]]*Tabla110345345445545647945586877869510811712713622823724627233260269297315316348494493499527528374243440252[[#This Row],[Unidades]]</f>
        <v>42.773506170000005</v>
      </c>
    </row>
    <row r="90" spans="2:13" x14ac:dyDescent="0.3">
      <c r="B90" s="10" t="s">
        <v>89</v>
      </c>
      <c r="C90" s="11" t="s">
        <v>67</v>
      </c>
      <c r="D90" s="12">
        <v>2</v>
      </c>
      <c r="E90" s="12">
        <v>0</v>
      </c>
      <c r="F90" s="12">
        <v>2</v>
      </c>
      <c r="G90" s="13">
        <f>+VLOOKUP(Tabla110345345445545647945586877869510811712713622823724627233260269297315316348494493499527528374243440252[[#This Row],[ArtÃ­culo]],Tabla34[#All],3,0)</f>
        <v>2.4009999999999998</v>
      </c>
      <c r="H90" s="14">
        <f>+Tabla110345345445545647945586877869510811712713622823724627233260269297315316348494493499527528374243440252[[#This Row],[Costo]]*Tabla110345345445545647945586877869510811712713622823724627233260269297315316348494493499527528374243440252[[#This Row],[Unidades]]</f>
        <v>4.8019999999999996</v>
      </c>
    </row>
    <row r="91" spans="2:13" x14ac:dyDescent="0.3">
      <c r="B91" s="10" t="s">
        <v>840</v>
      </c>
      <c r="C91" s="11" t="s">
        <v>67</v>
      </c>
      <c r="D91" s="12">
        <v>0.5</v>
      </c>
      <c r="E91" s="12">
        <v>0</v>
      </c>
      <c r="F91" s="12">
        <v>0.5</v>
      </c>
      <c r="G91" s="13">
        <f>+VLOOKUP(Tabla110345345445545647945586877869510811712713622823724627233260269297315316348494493499527528374243440252[[#This Row],[ArtÃ­culo]],Tabla34[#All],3,0)</f>
        <v>57.218061669999997</v>
      </c>
      <c r="H91" s="14">
        <f>+Tabla110345345445545647945586877869510811712713622823724627233260269297315316348494493499527528374243440252[[#This Row],[Costo]]*Tabla110345345445545647945586877869510811712713622823724627233260269297315316348494493499527528374243440252[[#This Row],[Unidades]]</f>
        <v>28.609030834999999</v>
      </c>
    </row>
    <row r="92" spans="2:13" x14ac:dyDescent="0.3">
      <c r="B92" s="16"/>
      <c r="C92" s="17"/>
      <c r="D92" s="17"/>
      <c r="E92" s="17"/>
      <c r="F92" s="17"/>
      <c r="G92" s="18"/>
      <c r="H92" s="18">
        <f>SUBTOTAL(109,Tabla110345345445545647945586877869510811712713622823724627233260269297315316348494493499527528374243440252[Total costo])</f>
        <v>17131.327464245001</v>
      </c>
    </row>
    <row r="95" spans="2:13" ht="15.6" x14ac:dyDescent="0.3">
      <c r="B95" s="1" t="s">
        <v>1426</v>
      </c>
      <c r="C95" s="2"/>
      <c r="D95" s="2"/>
      <c r="E95" s="3"/>
      <c r="F95" s="3"/>
      <c r="G95" s="3"/>
      <c r="H95" s="3"/>
      <c r="I95" s="242"/>
      <c r="J95" s="399" t="s">
        <v>0</v>
      </c>
      <c r="K95" s="399"/>
      <c r="M95" s="377" t="s">
        <v>1394</v>
      </c>
    </row>
    <row r="96" spans="2:13" x14ac:dyDescent="0.3">
      <c r="B96" s="16" t="s">
        <v>857</v>
      </c>
      <c r="C96" s="17" t="s">
        <v>895</v>
      </c>
      <c r="D96" s="17" t="s">
        <v>892</v>
      </c>
      <c r="E96" s="17" t="s">
        <v>893</v>
      </c>
      <c r="F96" s="17" t="s">
        <v>894</v>
      </c>
      <c r="G96" s="76" t="s">
        <v>4</v>
      </c>
      <c r="H96" s="76" t="s">
        <v>5</v>
      </c>
      <c r="I96" s="40"/>
      <c r="J96" s="8" t="s">
        <v>6</v>
      </c>
      <c r="K96" s="9">
        <f>SUM(Tabla110345345445545647945586877869510811712713622823724627233260269297315316348494493499527528374243440252460[Total costo])</f>
        <v>18216.092233440002</v>
      </c>
      <c r="M96" s="346"/>
    </row>
    <row r="97" spans="2:13" x14ac:dyDescent="0.3">
      <c r="B97" s="10" t="s">
        <v>1427</v>
      </c>
      <c r="C97" s="11" t="s">
        <v>847</v>
      </c>
      <c r="D97" s="12">
        <v>3</v>
      </c>
      <c r="E97" s="12">
        <v>0</v>
      </c>
      <c r="F97" s="12">
        <v>3</v>
      </c>
      <c r="G97" s="13">
        <f>+VLOOKUP(Tabla110345345445545647945586877869510811712713622823724627233260269297315316348494493499527528374243440252460[[#This Row],[ArtÃ­culo]],Tabla34[#All],3,0)</f>
        <v>4583.333333333333</v>
      </c>
      <c r="H97" s="14">
        <f>+Tabla110345345445545647945586877869510811712713622823724627233260269297315316348494493499527528374243440252460[[#This Row],[Costo]]*Tabla110345345445545647945586877869510811712713622823724627233260269297315316348494493499527528374243440252460[[#This Row],[Unidades]]</f>
        <v>13750</v>
      </c>
      <c r="I97" s="40"/>
      <c r="J97" s="8" t="s">
        <v>533</v>
      </c>
      <c r="K97" s="15">
        <f>+K96*5%</f>
        <v>910.80461167200019</v>
      </c>
      <c r="M97" s="346"/>
    </row>
    <row r="98" spans="2:13" x14ac:dyDescent="0.3">
      <c r="B98" s="10" t="s">
        <v>119</v>
      </c>
      <c r="C98" s="11" t="s">
        <v>67</v>
      </c>
      <c r="D98" s="12">
        <v>150</v>
      </c>
      <c r="E98" s="12">
        <v>0</v>
      </c>
      <c r="F98" s="12">
        <v>150</v>
      </c>
      <c r="G98" s="13">
        <f>+VLOOKUP(Tabla110345345445545647945586877869510811712713622823724627233260269297315316348494493499527528374243440252460[[#This Row],[ArtÃ­culo]],Tabla34[#All],3,0)</f>
        <v>5.8053971600000001</v>
      </c>
      <c r="H98" s="14">
        <f>+Tabla110345345445545647945586877869510811712713622823724627233260269297315316348494493499527528374243440252460[[#This Row],[Costo]]*Tabla110345345445545647945586877869510811712713622823724627233260269297315316348494493499527528374243440252460[[#This Row],[Unidades]]</f>
        <v>870.809574</v>
      </c>
      <c r="I98" s="40"/>
      <c r="J98" s="8" t="s">
        <v>13</v>
      </c>
      <c r="K98" s="15">
        <f>+K96+K97</f>
        <v>19126.896845112002</v>
      </c>
      <c r="M98" s="346"/>
    </row>
    <row r="99" spans="2:13" x14ac:dyDescent="0.3">
      <c r="B99" s="10" t="s">
        <v>1230</v>
      </c>
      <c r="C99" s="11" t="s">
        <v>67</v>
      </c>
      <c r="D99" s="12">
        <v>150</v>
      </c>
      <c r="E99" s="12">
        <v>0</v>
      </c>
      <c r="F99" s="12">
        <v>150</v>
      </c>
      <c r="G99" s="13">
        <f>+VLOOKUP(Tabla110345345445545647945586877869510811712713622823724627233260269297315316348494493499527528374243440252460[[#This Row],[ArtÃ­culo]],Tabla34[#All],3,0)</f>
        <v>2.3696000000000002</v>
      </c>
      <c r="H99" s="14">
        <f>+Tabla110345345445545647945586877869510811712713622823724627233260269297315316348494493499527528374243440252460[[#This Row],[Costo]]*Tabla110345345445545647945586877869510811712713622823724627233260269297315316348494493499527528374243440252460[[#This Row],[Unidades]]</f>
        <v>355.44</v>
      </c>
      <c r="I99" s="40"/>
      <c r="J99" s="20" t="s">
        <v>14</v>
      </c>
      <c r="K99" s="21">
        <v>61000</v>
      </c>
      <c r="M99" s="346"/>
    </row>
    <row r="100" spans="2:13" x14ac:dyDescent="0.3">
      <c r="B100" s="10" t="s">
        <v>631</v>
      </c>
      <c r="C100" s="11" t="s">
        <v>67</v>
      </c>
      <c r="D100" s="12">
        <v>25</v>
      </c>
      <c r="E100" s="12">
        <v>0</v>
      </c>
      <c r="F100" s="12">
        <v>25</v>
      </c>
      <c r="G100" s="13">
        <f>+VLOOKUP(Tabla110345345445545647945586877869510811712713622823724627233260269297315316348494493499527528374243440252460[[#This Row],[ArtÃ­culo]],Tabla34[#All],3,0)</f>
        <v>34.714285709999999</v>
      </c>
      <c r="H100" s="14">
        <f>+Tabla110345345445545647945586877869510811712713622823724627233260269297315316348494493499527528374243440252460[[#This Row],[Costo]]*Tabla110345345445545647945586877869510811712713622823724627233260269297315316348494493499527528374243440252460[[#This Row],[Unidades]]</f>
        <v>867.85714274999998</v>
      </c>
      <c r="I100" s="40"/>
      <c r="J100" s="8" t="s">
        <v>15</v>
      </c>
      <c r="K100" s="15">
        <f>+K99/1.08*0.08</f>
        <v>4518.5185185185182</v>
      </c>
    </row>
    <row r="101" spans="2:13" x14ac:dyDescent="0.3">
      <c r="B101" s="10" t="s">
        <v>53</v>
      </c>
      <c r="C101" s="11" t="s">
        <v>67</v>
      </c>
      <c r="D101" s="12">
        <v>10</v>
      </c>
      <c r="E101" s="12">
        <v>0</v>
      </c>
      <c r="F101" s="12">
        <v>10</v>
      </c>
      <c r="G101" s="13">
        <f>+VLOOKUP(Tabla110345345445545647945586877869510811712713622823724627233260269297315316348494493499527528374243440252460[[#This Row],[ArtÃ­culo]],Tabla34[#All],3,0)</f>
        <v>0</v>
      </c>
      <c r="H101" s="14">
        <f>+Tabla110345345445545647945586877869510811712713622823724627233260269297315316348494493499527528374243440252460[[#This Row],[Costo]]*Tabla110345345445545647945586877869510811712713622823724627233260269297315316348494493499527528374243440252460[[#This Row],[Unidades]]</f>
        <v>0</v>
      </c>
      <c r="I101" s="40"/>
      <c r="J101" s="8" t="s">
        <v>16</v>
      </c>
      <c r="K101" s="15">
        <f>+K99-K100</f>
        <v>56481.481481481482</v>
      </c>
      <c r="M101" s="377" t="s">
        <v>1377</v>
      </c>
    </row>
    <row r="102" spans="2:13" x14ac:dyDescent="0.3">
      <c r="B102" s="10" t="s">
        <v>89</v>
      </c>
      <c r="C102" s="11" t="s">
        <v>67</v>
      </c>
      <c r="D102" s="12">
        <v>2</v>
      </c>
      <c r="E102" s="12">
        <v>0</v>
      </c>
      <c r="F102" s="12">
        <v>2</v>
      </c>
      <c r="G102" s="13">
        <f>+VLOOKUP(Tabla110345345445545647945586877869510811712713622823724627233260269297315316348494493499527528374243440252460[[#This Row],[ArtÃ­culo]],Tabla34[#All],3,0)</f>
        <v>2.4009999999999998</v>
      </c>
      <c r="H102" s="14">
        <f>+Tabla110345345445545647945586877869510811712713622823724627233260269297315316348494493499527528374243440252460[[#This Row],[Costo]]*Tabla110345345445545647945586877869510811712713622823724627233260269297315316348494493499527528374243440252460[[#This Row],[Unidades]]</f>
        <v>4.8019999999999996</v>
      </c>
      <c r="I102" s="40"/>
      <c r="J102" s="8" t="s">
        <v>17</v>
      </c>
      <c r="K102" s="41">
        <f>+K98/K101</f>
        <v>0.33864014086427807</v>
      </c>
      <c r="M102" s="346"/>
    </row>
    <row r="103" spans="2:13" x14ac:dyDescent="0.3">
      <c r="B103" s="10" t="s">
        <v>840</v>
      </c>
      <c r="C103" s="11" t="s">
        <v>67</v>
      </c>
      <c r="D103" s="12">
        <v>1</v>
      </c>
      <c r="E103" s="12">
        <v>0</v>
      </c>
      <c r="F103" s="12">
        <v>1</v>
      </c>
      <c r="G103" s="13">
        <f>+VLOOKUP(Tabla110345345445545647945586877869510811712713622823724627233260269297315316348494493499527528374243440252460[[#This Row],[ArtÃ­culo]],Tabla34[#All],3,0)</f>
        <v>57.218061669999997</v>
      </c>
      <c r="H103" s="14">
        <f>+Tabla110345345445545647945586877869510811712713622823724627233260269297315316348494493499527528374243440252460[[#This Row],[Costo]]*Tabla110345345445545647945586877869510811712713622823724627233260269297315316348494493499527528374243440252460[[#This Row],[Unidades]]</f>
        <v>57.218061669999997</v>
      </c>
      <c r="I103" s="40"/>
      <c r="J103" s="8" t="s">
        <v>18</v>
      </c>
      <c r="K103" s="42">
        <f>+K101-K98</f>
        <v>37354.58463636948</v>
      </c>
      <c r="M103" s="346"/>
    </row>
    <row r="104" spans="2:13" x14ac:dyDescent="0.3">
      <c r="B104" s="10" t="s">
        <v>450</v>
      </c>
      <c r="C104" s="11" t="s">
        <v>67</v>
      </c>
      <c r="D104" s="12">
        <v>1</v>
      </c>
      <c r="E104" s="12">
        <v>0</v>
      </c>
      <c r="F104" s="12">
        <v>1</v>
      </c>
      <c r="G104" s="13">
        <f>+VLOOKUP(Tabla110345345445545647945586877869510811712713622823724627233260269297315316348494493499527528374243440252460[[#This Row],[ArtÃ­culo]],Tabla34[#All],3,0)</f>
        <v>13.40129132</v>
      </c>
      <c r="H104" s="14">
        <f>+Tabla110345345445545647945586877869510811712713622823724627233260269297315316348494493499527528374243440252460[[#This Row],[Costo]]*Tabla110345345445545647945586877869510811712713622823724627233260269297315316348494493499527528374243440252460[[#This Row],[Unidades]]</f>
        <v>13.40129132</v>
      </c>
      <c r="I104" s="40"/>
      <c r="J104" s="8" t="s">
        <v>19</v>
      </c>
      <c r="K104" s="43">
        <f>+K103/K98</f>
        <v>1.9529871959295728</v>
      </c>
      <c r="M104" s="346"/>
    </row>
    <row r="105" spans="2:13" x14ac:dyDescent="0.3">
      <c r="B105" s="10" t="s">
        <v>828</v>
      </c>
      <c r="C105" s="11" t="s">
        <v>67</v>
      </c>
      <c r="D105" s="12">
        <v>15</v>
      </c>
      <c r="E105" s="12">
        <v>0</v>
      </c>
      <c r="F105" s="12">
        <v>15</v>
      </c>
      <c r="G105" s="13">
        <f>+VLOOKUP(Tabla110345345445545647945586877869510811712713622823724627233260269297315316348494493499527528374243440252460[[#This Row],[ArtÃ­culo]],Tabla34[#All],3,0)</f>
        <v>9.8000000000000007</v>
      </c>
      <c r="H105" s="14">
        <f>+Tabla110345345445545647945586877869510811712713622823724627233260269297315316348494493499527528374243440252460[[#This Row],[Costo]]*Tabla110345345445545647945586877869510811712713622823724627233260269297315316348494493499527528374243440252460[[#This Row],[Unidades]]</f>
        <v>147</v>
      </c>
      <c r="M105" s="346"/>
    </row>
    <row r="106" spans="2:13" x14ac:dyDescent="0.3">
      <c r="B106" s="10" t="s">
        <v>187</v>
      </c>
      <c r="C106" s="11" t="s">
        <v>67</v>
      </c>
      <c r="D106" s="12">
        <v>15</v>
      </c>
      <c r="E106" s="12">
        <v>5</v>
      </c>
      <c r="F106" s="12">
        <v>15.789</v>
      </c>
      <c r="G106" s="13">
        <f>+VLOOKUP(Tabla110345345445545647945586877869510811712713622823724627233260269297315316348494493499527528374243440252460[[#This Row],[ArtÃ­culo]],Tabla34[#All],3,0)</f>
        <v>4.7</v>
      </c>
      <c r="H106" s="14">
        <f>+Tabla110345345445545647945586877869510811712713622823724627233260269297315316348494493499527528374243440252460[[#This Row],[Costo]]*Tabla110345345445545647945586877869510811712713622823724627233260269297315316348494493499527528374243440252460[[#This Row],[Unidades]]</f>
        <v>74.208300000000008</v>
      </c>
    </row>
    <row r="107" spans="2:13" x14ac:dyDescent="0.3">
      <c r="B107" s="10" t="s">
        <v>730</v>
      </c>
      <c r="C107" s="11" t="s">
        <v>67</v>
      </c>
      <c r="D107" s="12">
        <v>10</v>
      </c>
      <c r="E107" s="12">
        <v>10</v>
      </c>
      <c r="F107" s="12">
        <v>11.111000000000001</v>
      </c>
      <c r="G107" s="13">
        <f>+VLOOKUP(Tabla110345345445545647945586877869510811712713622823724627233260269297315316348494493499527528374243440252460[[#This Row],[ArtÃ­culo]],Tabla34[#All],3,0)</f>
        <v>12</v>
      </c>
      <c r="H107" s="14">
        <f>+Tabla110345345445545647945586877869510811712713622823724627233260269297315316348494493499527528374243440252460[[#This Row],[Costo]]*Tabla110345345445545647945586877869510811712713622823724627233260269297315316348494493499527528374243440252460[[#This Row],[Unidades]]</f>
        <v>133.33199999999999</v>
      </c>
    </row>
    <row r="108" spans="2:13" x14ac:dyDescent="0.3">
      <c r="B108" s="10" t="s">
        <v>677</v>
      </c>
      <c r="C108" s="11" t="s">
        <v>67</v>
      </c>
      <c r="D108" s="12">
        <v>30</v>
      </c>
      <c r="E108" s="12">
        <v>10</v>
      </c>
      <c r="F108" s="12">
        <v>33.332999999999998</v>
      </c>
      <c r="G108" s="13">
        <f>+VLOOKUP(Tabla110345345445545647945586877869510811712713622823724627233260269297315316348494493499527528374243440252460[[#This Row],[ArtÃ­culo]],Tabla34[#All],3,0)</f>
        <v>2.5</v>
      </c>
      <c r="H108" s="14">
        <f>+Tabla110345345445545647945586877869510811712713622823724627233260269297315316348494493499527528374243440252460[[#This Row],[Costo]]*Tabla110345345445545647945586877869510811712713622823724627233260269297315316348494493499527528374243440252460[[#This Row],[Unidades]]</f>
        <v>83.332499999999996</v>
      </c>
    </row>
    <row r="109" spans="2:13" x14ac:dyDescent="0.3">
      <c r="B109" s="10" t="s">
        <v>604</v>
      </c>
      <c r="C109" s="11" t="s">
        <v>67</v>
      </c>
      <c r="D109" s="12">
        <v>3</v>
      </c>
      <c r="E109" s="12">
        <v>0</v>
      </c>
      <c r="F109" s="12">
        <v>3</v>
      </c>
      <c r="G109" s="13">
        <f>+VLOOKUP(Tabla110345345445545647945586877869510811712713622823724627233260269297315316348494493499527528374243440252460[[#This Row],[ArtÃ­culo]],Tabla34[#All],3,0)</f>
        <v>14</v>
      </c>
      <c r="H109" s="14">
        <f>+Tabla110345345445545647945586877869510811712713622823724627233260269297315316348494493499527528374243440252460[[#This Row],[Costo]]*Tabla110345345445545647945586877869510811712713622823724627233260269297315316348494493499527528374243440252460[[#This Row],[Unidades]]</f>
        <v>42</v>
      </c>
    </row>
    <row r="110" spans="2:13" x14ac:dyDescent="0.3">
      <c r="B110" s="10" t="s">
        <v>1064</v>
      </c>
      <c r="C110" s="11" t="s">
        <v>67</v>
      </c>
      <c r="D110" s="12">
        <v>3</v>
      </c>
      <c r="E110" s="12">
        <v>0</v>
      </c>
      <c r="F110" s="12">
        <v>3</v>
      </c>
      <c r="G110" s="13">
        <f>+VLOOKUP(Tabla110345345445545647945586877869510811712713622823724627233260269297315316348494493499527528374243440252460[[#This Row],[ArtÃ­culo]],Tabla34[#All],3,0)</f>
        <v>12.5</v>
      </c>
      <c r="H110" s="14">
        <f>+Tabla110345345445545647945586877869510811712713622823724627233260269297315316348494493499527528374243440252460[[#This Row],[Costo]]*Tabla110345345445545647945586877869510811712713622823724627233260269297315316348494493499527528374243440252460[[#This Row],[Unidades]]</f>
        <v>37.5</v>
      </c>
    </row>
    <row r="111" spans="2:13" x14ac:dyDescent="0.3">
      <c r="B111" s="10" t="s">
        <v>212</v>
      </c>
      <c r="C111" s="11" t="s">
        <v>67</v>
      </c>
      <c r="D111" s="389">
        <v>10</v>
      </c>
      <c r="E111" s="12">
        <v>0</v>
      </c>
      <c r="F111" s="12">
        <v>10</v>
      </c>
      <c r="G111" s="13">
        <f>+VLOOKUP(Tabla110345345445545647945586877869510811712713622823724627233260269297315316348494493499527528374243440252460[[#This Row],[ArtÃ­culo]],Tabla34[#All],3,0)</f>
        <v>40.047916669999999</v>
      </c>
      <c r="H111" s="14">
        <f>+Tabla110345345445545647945586877869510811712713622823724627233260269297315316348494493499527528374243440252460[[#This Row],[Costo]]*Tabla110345345445545647945586877869510811712713622823724627233260269297315316348494493499527528374243440252460[[#This Row],[Unidades]]</f>
        <v>400.47916670000001</v>
      </c>
    </row>
    <row r="112" spans="2:13" x14ac:dyDescent="0.3">
      <c r="B112" s="10" t="s">
        <v>124</v>
      </c>
      <c r="C112" s="11" t="s">
        <v>67</v>
      </c>
      <c r="D112" s="389">
        <v>50</v>
      </c>
      <c r="E112" s="12">
        <v>0</v>
      </c>
      <c r="F112" s="12">
        <v>50</v>
      </c>
      <c r="G112" s="13">
        <f>+VLOOKUP(Tabla110345345445545647945586877869510811712713622823724627233260269297315316348494493499527528374243440252460[[#This Row],[ArtÃ­culo]],Tabla34[#All],3,0)</f>
        <v>3.1357552800000001</v>
      </c>
      <c r="H112" s="14">
        <f>+Tabla110345345445545647945586877869510811712713622823724627233260269297315316348494493499527528374243440252460[[#This Row],[Costo]]*Tabla110345345445545647945586877869510811712713622823724627233260269297315316348494493499527528374243440252460[[#This Row],[Unidades]]</f>
        <v>156.78776400000001</v>
      </c>
    </row>
    <row r="113" spans="2:8" x14ac:dyDescent="0.3">
      <c r="B113" s="10" t="s">
        <v>51</v>
      </c>
      <c r="C113" s="11" t="s">
        <v>67</v>
      </c>
      <c r="D113" s="389">
        <v>45</v>
      </c>
      <c r="E113" s="12">
        <v>0</v>
      </c>
      <c r="F113" s="12">
        <v>45</v>
      </c>
      <c r="G113" s="13">
        <f>+VLOOKUP(Tabla110345345445545647945586877869510811712713622823724627233260269297315316348494493499527528374243440252460[[#This Row],[ArtÃ­culo]],Tabla34[#All],3,0)</f>
        <v>11.3849874</v>
      </c>
      <c r="H113" s="14">
        <f>+Tabla110345345445545647945586877869510811712713622823724627233260269297315316348494493499527528374243440252460[[#This Row],[Costo]]*Tabla110345345445545647945586877869510811712713622823724627233260269297315316348494493499527528374243440252460[[#This Row],[Unidades]]</f>
        <v>512.324433</v>
      </c>
    </row>
    <row r="114" spans="2:8" x14ac:dyDescent="0.3">
      <c r="B114" s="10" t="s">
        <v>1428</v>
      </c>
      <c r="C114" s="11" t="s">
        <v>67</v>
      </c>
      <c r="D114" s="389">
        <v>40</v>
      </c>
      <c r="E114" s="12">
        <v>0</v>
      </c>
      <c r="F114" s="12">
        <v>40</v>
      </c>
      <c r="G114" s="13">
        <f>+VLOOKUP(Tabla110345345445545647945586877869510811712713622823724627233260269297315316348494493499527528374243440252460[[#This Row],[ArtÃ­culo]],Tabla34[#All],3,0)</f>
        <v>17.739999999999998</v>
      </c>
      <c r="H114" s="14">
        <f>+Tabla110345345445545647945586877869510811712713622823724627233260269297315316348494493499527528374243440252460[[#This Row],[Costo]]*Tabla110345345445545647945586877869510811712713622823724627233260269297315316348494493499527528374243440252460[[#This Row],[Unidades]]</f>
        <v>709.59999999999991</v>
      </c>
    </row>
    <row r="115" spans="2:8" x14ac:dyDescent="0.3">
      <c r="B115" s="16"/>
      <c r="C115" s="17"/>
      <c r="D115" s="17"/>
      <c r="E115" s="17"/>
      <c r="F115" s="17"/>
      <c r="G115" s="18"/>
      <c r="H115" s="18">
        <f>SUBTOTAL(109,Tabla110345345445545647945586877869510811712713622823724627233260269297315316348494493499527528374243440252460[Total costo])</f>
        <v>18216.092233440002</v>
      </c>
    </row>
  </sheetData>
  <mergeCells count="5">
    <mergeCell ref="J58:K58"/>
    <mergeCell ref="J29:K29"/>
    <mergeCell ref="J5:K5"/>
    <mergeCell ref="J76:K76"/>
    <mergeCell ref="J95:K95"/>
  </mergeCells>
  <phoneticPr fontId="16" type="noConversion"/>
  <conditionalFormatting sqref="K12">
    <cfRule type="cellIs" dxfId="2573" priority="29" operator="lessThan">
      <formula>0.3</formula>
    </cfRule>
    <cfRule type="cellIs" dxfId="2572" priority="30" operator="greaterThan">
      <formula>0.3</formula>
    </cfRule>
  </conditionalFormatting>
  <conditionalFormatting sqref="K36">
    <cfRule type="cellIs" dxfId="2571" priority="21" operator="lessThan">
      <formula>0.3</formula>
    </cfRule>
    <cfRule type="cellIs" dxfId="2570" priority="22" operator="greaterThan">
      <formula>0.3</formula>
    </cfRule>
  </conditionalFormatting>
  <conditionalFormatting sqref="K65">
    <cfRule type="cellIs" dxfId="2569" priority="15" operator="lessThan">
      <formula>0.3</formula>
    </cfRule>
    <cfRule type="cellIs" dxfId="2568" priority="16" operator="greaterThan">
      <formula>0.3</formula>
    </cfRule>
  </conditionalFormatting>
  <conditionalFormatting sqref="K83">
    <cfRule type="cellIs" dxfId="2567" priority="3" operator="lessThan">
      <formula>0.3</formula>
    </cfRule>
    <cfRule type="cellIs" dxfId="2566" priority="4" operator="greaterThan">
      <formula>0.3</formula>
    </cfRule>
  </conditionalFormatting>
  <conditionalFormatting sqref="K102">
    <cfRule type="cellIs" dxfId="2565" priority="1" operator="lessThan">
      <formula>0.3</formula>
    </cfRule>
    <cfRule type="cellIs" dxfId="2564" priority="2" operator="greaterThan">
      <formula>0.3</formula>
    </cfRule>
  </conditionalFormatting>
  <pageMargins left="0.7" right="0.7" top="0.75" bottom="0.75" header="0.3" footer="0.3"/>
  <pageSetup orientation="portrait" horizontalDpi="360" verticalDpi="360" r:id="rId1"/>
  <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17BF-0446-4D26-94E1-23D466B1AE98}">
  <dimension ref="B6:M136"/>
  <sheetViews>
    <sheetView showGridLines="0" topLeftCell="A125" zoomScale="96" zoomScaleNormal="96" workbookViewId="0">
      <selection activeCell="O133" sqref="O133"/>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21875" bestFit="1" customWidth="1"/>
  </cols>
  <sheetData>
    <row r="6" spans="2:13" ht="15.6" x14ac:dyDescent="0.3">
      <c r="B6" s="1" t="s">
        <v>861</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t="e">
        <f>SUM(Tabla1103453454455456479455868778695[Total costo])</f>
        <v>#N/A</v>
      </c>
      <c r="M7" s="346" t="s">
        <v>1600</v>
      </c>
    </row>
    <row r="8" spans="2:13" x14ac:dyDescent="0.3">
      <c r="B8" s="10" t="s">
        <v>155</v>
      </c>
      <c r="C8" s="11" t="s">
        <v>847</v>
      </c>
      <c r="D8" s="12">
        <v>1</v>
      </c>
      <c r="E8" s="12">
        <v>0</v>
      </c>
      <c r="F8" s="12">
        <v>1</v>
      </c>
      <c r="G8" s="13">
        <f>+VLOOKUP(Tabla1103453454455456479455868778695[[#This Row],[Ingrediente]],Tabla34[#All],3,0)</f>
        <v>13895.99832975</v>
      </c>
      <c r="H8" s="14">
        <f>+Tabla1103453454455456479455868778695[[#This Row],[Costo]]*Tabla1103453454455456479455868778695[[#This Row],[Columna2]]</f>
        <v>13895.99832975</v>
      </c>
      <c r="I8" s="4"/>
      <c r="J8" s="8" t="s">
        <v>12</v>
      </c>
      <c r="K8" s="15" t="e">
        <f>+K7*10%</f>
        <v>#N/A</v>
      </c>
      <c r="M8" s="346" t="s">
        <v>1601</v>
      </c>
    </row>
    <row r="9" spans="2:13" x14ac:dyDescent="0.3">
      <c r="B9" s="10" t="s">
        <v>229</v>
      </c>
      <c r="C9" s="11" t="s">
        <v>67</v>
      </c>
      <c r="D9" s="12">
        <v>10</v>
      </c>
      <c r="E9" s="12">
        <v>0</v>
      </c>
      <c r="F9" s="12">
        <v>10</v>
      </c>
      <c r="G9" s="13">
        <f>+VLOOKUP(Tabla1103453454455456479455868778695[[#This Row],[Ingrediente]],Tabla34[#All],3,0)</f>
        <v>24.714500000000001</v>
      </c>
      <c r="H9" s="14">
        <f>+Tabla1103453454455456479455868778695[[#This Row],[Costo]]*Tabla1103453454455456479455868778695[[#This Row],[Columna2]]</f>
        <v>247.14500000000001</v>
      </c>
      <c r="I9" s="4"/>
      <c r="J9" s="8" t="s">
        <v>13</v>
      </c>
      <c r="K9" s="15" t="e">
        <f>+K7+K8</f>
        <v>#N/A</v>
      </c>
      <c r="M9" s="346" t="s">
        <v>1602</v>
      </c>
    </row>
    <row r="10" spans="2:13" x14ac:dyDescent="0.3">
      <c r="B10" s="10" t="s">
        <v>169</v>
      </c>
      <c r="C10" s="11" t="s">
        <v>847</v>
      </c>
      <c r="D10" s="12">
        <v>2</v>
      </c>
      <c r="E10" s="12">
        <v>0</v>
      </c>
      <c r="F10" s="12">
        <v>2</v>
      </c>
      <c r="G10" s="13" t="e">
        <f>+VLOOKUP(Tabla1103453454455456479455868778695[[#This Row],[Ingrediente]],Tabla34[#All],3,0)</f>
        <v>#N/A</v>
      </c>
      <c r="H10" s="14" t="e">
        <f>+Tabla1103453454455456479455868778695[[#This Row],[Costo]]*Tabla1103453454455456479455868778695[[#This Row],[Columna2]]</f>
        <v>#N/A</v>
      </c>
      <c r="I10" s="4"/>
      <c r="J10" s="20" t="s">
        <v>14</v>
      </c>
      <c r="K10" s="21">
        <v>51000</v>
      </c>
    </row>
    <row r="11" spans="2:13" x14ac:dyDescent="0.3">
      <c r="B11" s="10" t="s">
        <v>119</v>
      </c>
      <c r="C11" s="11" t="s">
        <v>67</v>
      </c>
      <c r="D11" s="12">
        <v>150</v>
      </c>
      <c r="E11" s="12">
        <v>0</v>
      </c>
      <c r="F11" s="12">
        <v>150</v>
      </c>
      <c r="G11" s="13">
        <f>+VLOOKUP(Tabla1103453454455456479455868778695[[#This Row],[Ingrediente]],Tabla34[#All],3,0)</f>
        <v>5.8053971600000001</v>
      </c>
      <c r="H11" s="14">
        <f>+Tabla1103453454455456479455868778695[[#This Row],[Costo]]*Tabla1103453454455456479455868778695[[#This Row],[Columna2]]</f>
        <v>870.809574</v>
      </c>
      <c r="I11" s="4"/>
      <c r="J11" s="8" t="s">
        <v>15</v>
      </c>
      <c r="K11" s="15">
        <f>+K10/1.08*0.08</f>
        <v>3777.7777777777774</v>
      </c>
      <c r="M11" s="377" t="s">
        <v>1377</v>
      </c>
    </row>
    <row r="12" spans="2:13" x14ac:dyDescent="0.3">
      <c r="B12" s="10" t="s">
        <v>86</v>
      </c>
      <c r="C12" s="11" t="s">
        <v>67</v>
      </c>
      <c r="D12" s="12">
        <v>10</v>
      </c>
      <c r="E12" s="12">
        <v>0</v>
      </c>
      <c r="F12" s="12">
        <v>10</v>
      </c>
      <c r="G12" s="13">
        <f>+VLOOKUP(Tabla1103453454455456479455868778695[[#This Row],[Ingrediente]],Tabla34[#All],3,0)</f>
        <v>37.630499999999998</v>
      </c>
      <c r="H12" s="14">
        <f>+Tabla1103453454455456479455868778695[[#This Row],[Costo]]*Tabla1103453454455456479455868778695[[#This Row],[Columna2]]</f>
        <v>376.30499999999995</v>
      </c>
      <c r="I12" s="4"/>
      <c r="J12" s="8" t="s">
        <v>16</v>
      </c>
      <c r="K12" s="15">
        <f>+K10-K11</f>
        <v>47222.222222222219</v>
      </c>
      <c r="M12" s="346" t="s">
        <v>1603</v>
      </c>
    </row>
    <row r="13" spans="2:13" x14ac:dyDescent="0.3">
      <c r="B13" s="10" t="s">
        <v>745</v>
      </c>
      <c r="C13" s="11" t="s">
        <v>67</v>
      </c>
      <c r="D13" s="12">
        <v>5.0000001000000003</v>
      </c>
      <c r="E13" s="12">
        <v>5</v>
      </c>
      <c r="F13" s="12">
        <v>5.2631579999999998</v>
      </c>
      <c r="G13" s="13">
        <f>+VLOOKUP(Tabla1103453454455456479455868778695[[#This Row],[Ingrediente]],Tabla34[#All],3,0)</f>
        <v>37.5</v>
      </c>
      <c r="H13" s="14">
        <f>+Tabla1103453454455456479455868778695[[#This Row],[Costo]]*Tabla1103453454455456479455868778695[[#This Row],[Columna2]]</f>
        <v>197.368425</v>
      </c>
      <c r="I13" s="4"/>
      <c r="J13" s="8" t="s">
        <v>17</v>
      </c>
      <c r="K13" s="22" t="e">
        <f>+K9/K12</f>
        <v>#N/A</v>
      </c>
      <c r="M13" s="346" t="s">
        <v>1604</v>
      </c>
    </row>
    <row r="14" spans="2:13" x14ac:dyDescent="0.3">
      <c r="B14" s="10" t="s">
        <v>37</v>
      </c>
      <c r="C14" s="11" t="s">
        <v>67</v>
      </c>
      <c r="D14" s="12">
        <v>4</v>
      </c>
      <c r="E14" s="12">
        <v>0</v>
      </c>
      <c r="F14" s="12">
        <v>4</v>
      </c>
      <c r="G14" s="13">
        <f>+VLOOKUP(Tabla1103453454455456479455868778695[[#This Row],[Ingrediente]],Tabla34[#All],3,0)</f>
        <v>14.25783539</v>
      </c>
      <c r="H14" s="14">
        <f>+Tabla1103453454455456479455868778695[[#This Row],[Costo]]*Tabla1103453454455456479455868778695[[#This Row],[Columna2]]</f>
        <v>57.031341560000001</v>
      </c>
      <c r="I14" s="4"/>
      <c r="J14" s="8" t="s">
        <v>18</v>
      </c>
      <c r="K14" s="23" t="e">
        <f>+K12-K9</f>
        <v>#N/A</v>
      </c>
      <c r="M14" s="346" t="s">
        <v>1605</v>
      </c>
    </row>
    <row r="15" spans="2:13" x14ac:dyDescent="0.3">
      <c r="B15" s="10" t="s">
        <v>124</v>
      </c>
      <c r="C15" s="11" t="s">
        <v>67</v>
      </c>
      <c r="D15" s="12">
        <v>10</v>
      </c>
      <c r="E15" s="12">
        <v>0</v>
      </c>
      <c r="F15" s="12">
        <v>10</v>
      </c>
      <c r="G15" s="13">
        <f>+VLOOKUP(Tabla1103453454455456479455868778695[[#This Row],[Ingrediente]],Tabla34[#All],3,0)</f>
        <v>3.1357552800000001</v>
      </c>
      <c r="H15" s="14">
        <f>+Tabla1103453454455456479455868778695[[#This Row],[Costo]]*Tabla1103453454455456479455868778695[[#This Row],[Columna2]]</f>
        <v>31.357552800000001</v>
      </c>
      <c r="I15" s="4"/>
      <c r="J15" s="8" t="s">
        <v>19</v>
      </c>
      <c r="K15" s="25" t="e">
        <f>+K14/K9</f>
        <v>#N/A</v>
      </c>
    </row>
    <row r="16" spans="2:13" x14ac:dyDescent="0.3">
      <c r="B16" s="10" t="s">
        <v>730</v>
      </c>
      <c r="C16" s="11" t="s">
        <v>67</v>
      </c>
      <c r="D16" s="12">
        <v>3</v>
      </c>
      <c r="E16" s="12">
        <v>40</v>
      </c>
      <c r="F16" s="12">
        <v>5</v>
      </c>
      <c r="G16" s="13">
        <f>+VLOOKUP(Tabla1103453454455456479455868778695[[#This Row],[Ingrediente]],Tabla34[#All],3,0)</f>
        <v>12</v>
      </c>
      <c r="H16" s="14">
        <f>+Tabla1103453454455456479455868778695[[#This Row],[Costo]]*Tabla1103453454455456479455868778695[[#This Row],[Columna2]]</f>
        <v>60</v>
      </c>
      <c r="I16" s="4"/>
      <c r="J16" s="4"/>
      <c r="K16" s="31"/>
    </row>
    <row r="17" spans="2:13" x14ac:dyDescent="0.3">
      <c r="B17" s="10" t="s">
        <v>134</v>
      </c>
      <c r="C17" s="11" t="s">
        <v>67</v>
      </c>
      <c r="D17" s="12">
        <v>5</v>
      </c>
      <c r="E17" s="12">
        <v>0</v>
      </c>
      <c r="F17" s="12">
        <v>5</v>
      </c>
      <c r="G17" s="13">
        <f>+VLOOKUP(Tabla1103453454455456479455868778695[[#This Row],[Ingrediente]],Tabla34[#All],3,0)</f>
        <v>5.7702915900000002</v>
      </c>
      <c r="H17" s="14">
        <f>+Tabla1103453454455456479455868778695[[#This Row],[Costo]]*Tabla1103453454455456479455868778695[[#This Row],[Columna2]]</f>
        <v>28.85145795</v>
      </c>
      <c r="I17" s="4"/>
      <c r="J17" s="4"/>
      <c r="K17" s="31"/>
    </row>
    <row r="18" spans="2:13" x14ac:dyDescent="0.3">
      <c r="B18" s="10" t="s">
        <v>89</v>
      </c>
      <c r="C18" s="11" t="s">
        <v>67</v>
      </c>
      <c r="D18" s="12">
        <v>3</v>
      </c>
      <c r="E18" s="12">
        <v>0</v>
      </c>
      <c r="F18" s="12">
        <v>3</v>
      </c>
      <c r="G18" s="13">
        <f>+VLOOKUP(Tabla1103453454455456479455868778695[[#This Row],[Ingrediente]],Tabla34[#All],3,0)</f>
        <v>2.4009999999999998</v>
      </c>
      <c r="H18" s="14">
        <f>+Tabla1103453454455456479455868778695[[#This Row],[Costo]]*Tabla1103453454455456479455868778695[[#This Row],[Columna2]]</f>
        <v>7.2029999999999994</v>
      </c>
      <c r="I18" s="4"/>
      <c r="J18" s="4"/>
      <c r="K18" s="31"/>
    </row>
    <row r="19" spans="2:13" x14ac:dyDescent="0.3">
      <c r="B19" s="16"/>
      <c r="C19" s="17"/>
      <c r="D19" s="17"/>
      <c r="E19" s="17"/>
      <c r="F19" s="17"/>
      <c r="G19" s="18"/>
      <c r="H19" s="18" t="e">
        <f>SUBTOTAL(109,Tabla1103453454455456479455868778695[Total costo])</f>
        <v>#N/A</v>
      </c>
      <c r="I19" s="4"/>
      <c r="J19" s="4"/>
      <c r="K19" s="31"/>
    </row>
    <row r="20" spans="2:13" x14ac:dyDescent="0.3">
      <c r="I20" s="4"/>
      <c r="J20" s="4"/>
      <c r="K20" s="31"/>
    </row>
    <row r="21" spans="2:13" x14ac:dyDescent="0.3">
      <c r="I21" s="4"/>
      <c r="J21" s="4"/>
      <c r="K21" s="31"/>
    </row>
    <row r="22" spans="2:13" x14ac:dyDescent="0.3">
      <c r="G22" s="4"/>
      <c r="H22" s="4"/>
      <c r="I22" s="31"/>
    </row>
    <row r="23" spans="2:13" ht="15.6" x14ac:dyDescent="0.3">
      <c r="B23" s="1" t="s">
        <v>865</v>
      </c>
      <c r="C23" s="2"/>
      <c r="D23" s="2"/>
      <c r="E23" s="3"/>
      <c r="F23" s="3"/>
      <c r="G23" s="3"/>
      <c r="H23" s="3"/>
      <c r="I23" s="4"/>
      <c r="J23" s="399" t="s">
        <v>0</v>
      </c>
      <c r="K23" s="399"/>
      <c r="M23" s="377" t="s">
        <v>1394</v>
      </c>
    </row>
    <row r="24" spans="2:13" x14ac:dyDescent="0.3">
      <c r="B24" s="5" t="s">
        <v>1</v>
      </c>
      <c r="C24" s="6" t="s">
        <v>2</v>
      </c>
      <c r="D24" s="6" t="s">
        <v>3</v>
      </c>
      <c r="E24" s="6" t="s">
        <v>920</v>
      </c>
      <c r="F24" s="6" t="s">
        <v>319</v>
      </c>
      <c r="G24" s="7" t="s">
        <v>4</v>
      </c>
      <c r="H24" s="7" t="s">
        <v>5</v>
      </c>
      <c r="I24" s="4"/>
      <c r="J24" s="8" t="s">
        <v>6</v>
      </c>
      <c r="K24" s="9">
        <f>SUM(Tabla110345345445545647936465969788796[Total costo])</f>
        <v>17110.313389709998</v>
      </c>
      <c r="M24" s="346" t="s">
        <v>1606</v>
      </c>
    </row>
    <row r="25" spans="2:13" x14ac:dyDescent="0.3">
      <c r="B25" s="10" t="s">
        <v>917</v>
      </c>
      <c r="C25" s="11" t="s">
        <v>847</v>
      </c>
      <c r="D25" s="12">
        <v>1</v>
      </c>
      <c r="E25" s="12">
        <v>0</v>
      </c>
      <c r="F25" s="12">
        <v>1</v>
      </c>
      <c r="G25" s="13">
        <f>+VLOOKUP(Tabla110345345445545647936465969788796[[#This Row],[Ingrediente]],Tabla34[#All],3,0)</f>
        <v>11140.90909091</v>
      </c>
      <c r="H25" s="14">
        <f>+Tabla110345345445545647936465969788796[[#This Row],[Costo]]*Tabla110345345445545647936465969788796[[#This Row],[Columna2]]</f>
        <v>11140.90909091</v>
      </c>
      <c r="I25" s="4"/>
      <c r="J25" s="8" t="s">
        <v>12</v>
      </c>
      <c r="K25" s="15">
        <f>+K24*10%</f>
        <v>1711.031338971</v>
      </c>
      <c r="M25" s="346" t="s">
        <v>1607</v>
      </c>
    </row>
    <row r="26" spans="2:13" x14ac:dyDescent="0.3">
      <c r="B26" s="10" t="s">
        <v>712</v>
      </c>
      <c r="C26" s="11" t="s">
        <v>67</v>
      </c>
      <c r="D26" s="12">
        <v>60</v>
      </c>
      <c r="E26" s="12">
        <v>0</v>
      </c>
      <c r="F26" s="12">
        <v>60</v>
      </c>
      <c r="G26" s="13">
        <f>+VLOOKUP(Tabla110345345445545647936465969788796[[#This Row],[Ingrediente]],Tabla34[#All],3,0)</f>
        <v>32.5</v>
      </c>
      <c r="H26" s="14">
        <f>+Tabla110345345445545647936465969788796[[#This Row],[Costo]]*Tabla110345345445545647936465969788796[[#This Row],[Columna2]]</f>
        <v>1950</v>
      </c>
      <c r="I26" s="4"/>
      <c r="J26" s="8" t="s">
        <v>13</v>
      </c>
      <c r="K26" s="15">
        <f>+K24+K25</f>
        <v>18821.344728680997</v>
      </c>
      <c r="M26" s="346" t="s">
        <v>1608</v>
      </c>
    </row>
    <row r="27" spans="2:13" x14ac:dyDescent="0.3">
      <c r="B27" s="10" t="s">
        <v>137</v>
      </c>
      <c r="C27" s="11" t="s">
        <v>67</v>
      </c>
      <c r="D27" s="12">
        <v>150</v>
      </c>
      <c r="E27" s="12">
        <v>0</v>
      </c>
      <c r="F27" s="12">
        <v>150</v>
      </c>
      <c r="G27" s="13">
        <f>+VLOOKUP(Tabla110345345445545647936465969788796[[#This Row],[Ingrediente]],Tabla34[#All],3,0)</f>
        <v>16.730960419999999</v>
      </c>
      <c r="H27" s="14">
        <f>+Tabla110345345445545647936465969788796[[#This Row],[Costo]]*Tabla110345345445545647936465969788796[[#This Row],[Columna2]]</f>
        <v>2509.6440629999997</v>
      </c>
      <c r="I27" s="4"/>
      <c r="J27" s="20" t="s">
        <v>14</v>
      </c>
      <c r="K27" s="21">
        <v>59000</v>
      </c>
      <c r="M27" s="346" t="s">
        <v>1609</v>
      </c>
    </row>
    <row r="28" spans="2:13" x14ac:dyDescent="0.3">
      <c r="B28" s="10" t="s">
        <v>815</v>
      </c>
      <c r="C28" s="11" t="s">
        <v>67</v>
      </c>
      <c r="D28" s="12">
        <v>30</v>
      </c>
      <c r="E28" s="12">
        <v>0</v>
      </c>
      <c r="F28" s="12">
        <v>30</v>
      </c>
      <c r="G28" s="13">
        <f>+VLOOKUP(Tabla110345345445545647936465969788796[[#This Row],[Ingrediente]],Tabla34[#All],3,0)</f>
        <v>19.819230340000001</v>
      </c>
      <c r="H28" s="14">
        <f>+Tabla110345345445545647936465969788796[[#This Row],[Costo]]*Tabla110345345445545647936465969788796[[#This Row],[Columna2]]</f>
        <v>594.57691020000004</v>
      </c>
      <c r="I28" s="27"/>
      <c r="J28" s="8" t="s">
        <v>15</v>
      </c>
      <c r="K28" s="15">
        <f>+K27/1.08*0.08</f>
        <v>4370.3703703703704</v>
      </c>
      <c r="M28" s="346" t="s">
        <v>1610</v>
      </c>
    </row>
    <row r="29" spans="2:13" x14ac:dyDescent="0.3">
      <c r="B29" s="10" t="s">
        <v>321</v>
      </c>
      <c r="C29" s="11" t="s">
        <v>67</v>
      </c>
      <c r="D29" s="12">
        <v>20</v>
      </c>
      <c r="E29" s="12">
        <v>0</v>
      </c>
      <c r="F29" s="12">
        <v>20</v>
      </c>
      <c r="G29" s="13">
        <f>+VLOOKUP(Tabla110345345445545647936465969788796[[#This Row],[Ingrediente]],Tabla34[#All],3,0)</f>
        <v>12</v>
      </c>
      <c r="H29" s="14">
        <f>+Tabla110345345445545647936465969788796[[#This Row],[Costo]]*Tabla110345345445545647936465969788796[[#This Row],[Columna2]]</f>
        <v>240</v>
      </c>
      <c r="J29" s="8" t="s">
        <v>16</v>
      </c>
      <c r="K29" s="15">
        <f>+K27-K28</f>
        <v>54629.629629629628</v>
      </c>
      <c r="M29" s="346"/>
    </row>
    <row r="30" spans="2:13" x14ac:dyDescent="0.3">
      <c r="B30" s="10" t="s">
        <v>41</v>
      </c>
      <c r="C30" s="11" t="s">
        <v>67</v>
      </c>
      <c r="D30" s="12">
        <v>30</v>
      </c>
      <c r="E30" s="12">
        <v>0</v>
      </c>
      <c r="F30" s="12">
        <v>30</v>
      </c>
      <c r="G30" s="13">
        <f>+VLOOKUP(Tabla110345345445545647936465969788796[[#This Row],[Ingrediente]],Tabla34[#All],3,0)</f>
        <v>13.969223339999999</v>
      </c>
      <c r="H30" s="14">
        <f>+Tabla110345345445545647936465969788796[[#This Row],[Costo]]*Tabla110345345445545647936465969788796[[#This Row],[Columna2]]</f>
        <v>419.0767002</v>
      </c>
      <c r="J30" s="8" t="s">
        <v>17</v>
      </c>
      <c r="K30" s="22">
        <f>+K26/K29</f>
        <v>0.34452631028771996</v>
      </c>
      <c r="M30" s="377" t="s">
        <v>1377</v>
      </c>
    </row>
    <row r="31" spans="2:13" x14ac:dyDescent="0.3">
      <c r="B31" s="10" t="s">
        <v>281</v>
      </c>
      <c r="C31" s="11" t="s">
        <v>67</v>
      </c>
      <c r="D31" s="12">
        <v>10</v>
      </c>
      <c r="E31" s="12">
        <v>0</v>
      </c>
      <c r="F31" s="12">
        <v>10</v>
      </c>
      <c r="G31" s="13">
        <f>+VLOOKUP(Tabla110345345445545647936465969788796[[#This Row],[Ingrediente]],Tabla34[#All],3,0)</f>
        <v>25.61066254</v>
      </c>
      <c r="H31" s="14">
        <f>+Tabla110345345445545647936465969788796[[#This Row],[Costo]]*Tabla110345345445545647936465969788796[[#This Row],[Columna2]]</f>
        <v>256.10662539999998</v>
      </c>
      <c r="I31" s="4"/>
      <c r="J31" s="8" t="s">
        <v>18</v>
      </c>
      <c r="K31" s="23">
        <f>+K29-K26</f>
        <v>35808.284900948631</v>
      </c>
      <c r="M31" s="346" t="s">
        <v>1611</v>
      </c>
    </row>
    <row r="32" spans="2:13" x14ac:dyDescent="0.3">
      <c r="B32" s="16"/>
      <c r="C32" s="17"/>
      <c r="D32" s="17"/>
      <c r="E32" s="17"/>
      <c r="F32" s="17"/>
      <c r="G32" s="18"/>
      <c r="H32" s="18">
        <f>SUBTOTAL(109,Tabla110345345445545647936465969788796[Total costo])</f>
        <v>17110.313389709998</v>
      </c>
      <c r="I32" s="4"/>
      <c r="J32" s="8" t="s">
        <v>19</v>
      </c>
      <c r="K32" s="25">
        <f>+K31/K26</f>
        <v>1.902535946136835</v>
      </c>
      <c r="M32" s="346" t="s">
        <v>1612</v>
      </c>
    </row>
    <row r="33" spans="2:13" x14ac:dyDescent="0.3">
      <c r="G33" s="4"/>
      <c r="H33" s="4"/>
      <c r="I33" s="26"/>
      <c r="M33" s="346" t="s">
        <v>1613</v>
      </c>
    </row>
    <row r="34" spans="2:13" x14ac:dyDescent="0.3">
      <c r="G34" s="4"/>
      <c r="H34" s="27"/>
      <c r="I34" s="27"/>
    </row>
    <row r="35" spans="2:13" ht="15.6" x14ac:dyDescent="0.3">
      <c r="B35" s="1" t="s">
        <v>73</v>
      </c>
      <c r="C35" s="2"/>
      <c r="D35" s="2"/>
      <c r="E35" s="3"/>
      <c r="F35" s="3"/>
      <c r="G35" s="3"/>
      <c r="H35" s="3"/>
      <c r="I35" s="4"/>
      <c r="J35" s="399" t="s">
        <v>0</v>
      </c>
      <c r="K35" s="399"/>
      <c r="M35" s="377" t="s">
        <v>1394</v>
      </c>
    </row>
    <row r="36" spans="2:13" x14ac:dyDescent="0.3">
      <c r="B36" s="5" t="s">
        <v>1</v>
      </c>
      <c r="C36" s="6" t="s">
        <v>2</v>
      </c>
      <c r="D36" s="6" t="s">
        <v>3</v>
      </c>
      <c r="E36" s="6" t="s">
        <v>920</v>
      </c>
      <c r="F36" s="6" t="s">
        <v>319</v>
      </c>
      <c r="G36" s="7" t="s">
        <v>4</v>
      </c>
      <c r="H36" s="7" t="s">
        <v>5</v>
      </c>
      <c r="I36" s="4"/>
      <c r="J36" s="8" t="s">
        <v>6</v>
      </c>
      <c r="K36" s="9">
        <f>SUM(Tabla11034534544554564793637476070798897[Total costo])</f>
        <v>16338.227317610001</v>
      </c>
      <c r="M36" s="346" t="s">
        <v>1614</v>
      </c>
    </row>
    <row r="37" spans="2:13" x14ac:dyDescent="0.3">
      <c r="B37" s="24" t="s">
        <v>917</v>
      </c>
      <c r="C37" s="11" t="s">
        <v>847</v>
      </c>
      <c r="D37" s="12">
        <v>1</v>
      </c>
      <c r="E37" s="12">
        <v>0</v>
      </c>
      <c r="F37" s="12">
        <v>1</v>
      </c>
      <c r="G37" s="13">
        <f>+VLOOKUP(Tabla11034534544554564793637476070798897[[#This Row],[Ingrediente]],Tabla34[#All],3,0)</f>
        <v>11140.90909091</v>
      </c>
      <c r="H37" s="14">
        <f>+Tabla11034534544554564793637476070798897[[#This Row],[Costo]]*Tabla11034534544554564793637476070798897[[#This Row],[Columna2]]</f>
        <v>11140.90909091</v>
      </c>
      <c r="I37" s="4"/>
      <c r="J37" s="8" t="s">
        <v>12</v>
      </c>
      <c r="K37" s="15">
        <f>+K36*10%</f>
        <v>1633.8227317610001</v>
      </c>
      <c r="M37" s="346" t="s">
        <v>1615</v>
      </c>
    </row>
    <row r="38" spans="2:13" x14ac:dyDescent="0.3">
      <c r="B38" s="24" t="s">
        <v>106</v>
      </c>
      <c r="C38" s="11" t="s">
        <v>67</v>
      </c>
      <c r="D38" s="12">
        <v>70</v>
      </c>
      <c r="E38" s="12">
        <v>0</v>
      </c>
      <c r="F38" s="12">
        <v>70</v>
      </c>
      <c r="G38" s="13">
        <f>+VLOOKUP(Tabla11034534544554564793637476070798897[[#This Row],[Ingrediente]],Tabla34[#All],3,0)</f>
        <v>19.804166670000001</v>
      </c>
      <c r="H38" s="14">
        <f>+Tabla11034534544554564793637476070798897[[#This Row],[Costo]]*Tabla11034534544554564793637476070798897[[#This Row],[Columna2]]</f>
        <v>1386.2916669000001</v>
      </c>
      <c r="I38" s="4"/>
      <c r="J38" s="8" t="s">
        <v>13</v>
      </c>
      <c r="K38" s="15">
        <f>+K36+K37</f>
        <v>17972.050049371002</v>
      </c>
      <c r="M38" s="346" t="s">
        <v>1616</v>
      </c>
    </row>
    <row r="39" spans="2:13" x14ac:dyDescent="0.3">
      <c r="B39" s="10" t="s">
        <v>56</v>
      </c>
      <c r="C39" s="11" t="s">
        <v>67</v>
      </c>
      <c r="D39" s="12">
        <v>230.00000800000001</v>
      </c>
      <c r="E39" s="12">
        <v>30</v>
      </c>
      <c r="F39" s="12">
        <v>328.57144</v>
      </c>
      <c r="G39" s="13">
        <f>+VLOOKUP(Tabla11034534544554564793637476070798897[[#This Row],[Ingrediente]],Tabla34[#All],3,0)</f>
        <v>3.5</v>
      </c>
      <c r="H39" s="14">
        <f>+Tabla11034534544554564793637476070798897[[#This Row],[Costo]]*Tabla11034534544554564793637476070798897[[#This Row],[Columna2]]</f>
        <v>1150.0000399999999</v>
      </c>
      <c r="I39" s="4"/>
      <c r="J39" s="20" t="s">
        <v>14</v>
      </c>
      <c r="K39" s="21">
        <v>56000</v>
      </c>
      <c r="M39" s="346" t="s">
        <v>1617</v>
      </c>
    </row>
    <row r="40" spans="2:13" x14ac:dyDescent="0.3">
      <c r="B40" s="10" t="s">
        <v>1194</v>
      </c>
      <c r="C40" s="11" t="s">
        <v>847</v>
      </c>
      <c r="D40" s="12">
        <v>1</v>
      </c>
      <c r="E40" s="12">
        <v>0</v>
      </c>
      <c r="F40" s="12">
        <v>1</v>
      </c>
      <c r="G40" s="13">
        <f>+VLOOKUP(Tabla11034534544554564793637476070798897[[#This Row],[Ingrediente]],Tabla34[#All],3,0)</f>
        <v>726.66666667000004</v>
      </c>
      <c r="H40" s="14">
        <f>+Tabla11034534544554564793637476070798897[[#This Row],[Costo]]*Tabla11034534544554564793637476070798897[[#This Row],[Columna2]]</f>
        <v>726.66666667000004</v>
      </c>
      <c r="I40" s="4"/>
      <c r="J40" s="8" t="s">
        <v>15</v>
      </c>
      <c r="K40" s="15">
        <f>+K39/1.08*0.08</f>
        <v>4148.1481481481478</v>
      </c>
      <c r="M40" s="346" t="s">
        <v>1618</v>
      </c>
    </row>
    <row r="41" spans="2:13" x14ac:dyDescent="0.3">
      <c r="B41" s="24" t="s">
        <v>674</v>
      </c>
      <c r="C41" s="11" t="s">
        <v>67</v>
      </c>
      <c r="D41" s="12">
        <v>79.999998250000004</v>
      </c>
      <c r="E41" s="12">
        <v>15</v>
      </c>
      <c r="F41" s="12">
        <v>94.117644999999996</v>
      </c>
      <c r="G41" s="13">
        <f>+VLOOKUP(Tabla11034534544554564793637476070798897[[#This Row],[Ingrediente]],Tabla34[#All],3,0)</f>
        <v>4</v>
      </c>
      <c r="H41" s="14">
        <f>+Tabla11034534544554564793637476070798897[[#This Row],[Costo]]*Tabla11034534544554564793637476070798897[[#This Row],[Columna2]]</f>
        <v>376.47057999999998</v>
      </c>
      <c r="I41" s="4"/>
      <c r="J41" s="8" t="s">
        <v>16</v>
      </c>
      <c r="K41" s="15">
        <f>+K39-K40</f>
        <v>51851.851851851854</v>
      </c>
      <c r="M41" s="346"/>
    </row>
    <row r="42" spans="2:13" x14ac:dyDescent="0.3">
      <c r="B42" s="10" t="s">
        <v>678</v>
      </c>
      <c r="C42" s="11" t="s">
        <v>67</v>
      </c>
      <c r="D42" s="12">
        <v>80</v>
      </c>
      <c r="E42" s="12">
        <v>0</v>
      </c>
      <c r="F42" s="12">
        <v>80</v>
      </c>
      <c r="G42" s="13">
        <f>+VLOOKUP(Tabla11034534544554564793637476070798897[[#This Row],[Ingrediente]],Tabla34[#All],3,0)</f>
        <v>8</v>
      </c>
      <c r="H42" s="14">
        <f>+Tabla11034534544554564793637476070798897[[#This Row],[Costo]]*Tabla11034534544554564793637476070798897[[#This Row],[Columna2]]</f>
        <v>640</v>
      </c>
      <c r="I42" s="27"/>
      <c r="J42" s="8" t="s">
        <v>17</v>
      </c>
      <c r="K42" s="22">
        <f>+K38/K41</f>
        <v>0.34660382238072646</v>
      </c>
      <c r="M42" s="377" t="s">
        <v>1377</v>
      </c>
    </row>
    <row r="43" spans="2:13" x14ac:dyDescent="0.3">
      <c r="B43" s="24" t="s">
        <v>451</v>
      </c>
      <c r="C43" s="11" t="s">
        <v>67</v>
      </c>
      <c r="D43" s="12">
        <v>5</v>
      </c>
      <c r="E43" s="12">
        <v>0</v>
      </c>
      <c r="F43" s="12">
        <v>5</v>
      </c>
      <c r="G43" s="13">
        <f>+VLOOKUP(Tabla11034534544554564793637476070798897[[#This Row],[Ingrediente]],Tabla34[#All],3,0)</f>
        <v>60.987499999999997</v>
      </c>
      <c r="H43" s="14">
        <f>+Tabla11034534544554564793637476070798897[[#This Row],[Costo]]*Tabla11034534544554564793637476070798897[[#This Row],[Columna2]]</f>
        <v>304.9375</v>
      </c>
      <c r="J43" s="8" t="s">
        <v>18</v>
      </c>
      <c r="K43" s="23">
        <f>+K41-K38</f>
        <v>33879.801802480855</v>
      </c>
      <c r="M43" s="346" t="s">
        <v>1619</v>
      </c>
    </row>
    <row r="44" spans="2:13" x14ac:dyDescent="0.3">
      <c r="B44" s="10" t="s">
        <v>687</v>
      </c>
      <c r="C44" s="11" t="s">
        <v>67</v>
      </c>
      <c r="D44" s="12">
        <v>70.000000499999999</v>
      </c>
      <c r="E44" s="12">
        <v>17</v>
      </c>
      <c r="F44" s="12">
        <v>84.337350000000001</v>
      </c>
      <c r="G44" s="13">
        <f>+VLOOKUP(Tabla11034534544554564793637476070798897[[#This Row],[Ingrediente]],Tabla34[#All],3,0)</f>
        <v>2.8</v>
      </c>
      <c r="H44" s="14">
        <f>+Tabla11034534544554564793637476070798897[[#This Row],[Costo]]*Tabla11034534544554564793637476070798897[[#This Row],[Columna2]]</f>
        <v>236.14457999999999</v>
      </c>
      <c r="J44" s="8" t="s">
        <v>19</v>
      </c>
      <c r="K44" s="25">
        <f>+K43/K38</f>
        <v>1.8851384071049035</v>
      </c>
      <c r="M44" s="346" t="s">
        <v>1620</v>
      </c>
    </row>
    <row r="45" spans="2:13" x14ac:dyDescent="0.3">
      <c r="B45" s="10" t="s">
        <v>141</v>
      </c>
      <c r="C45" s="11" t="s">
        <v>67</v>
      </c>
      <c r="D45" s="12">
        <v>15</v>
      </c>
      <c r="E45" s="12">
        <v>0</v>
      </c>
      <c r="F45" s="12">
        <v>15</v>
      </c>
      <c r="G45" s="13">
        <f>+VLOOKUP(Tabla11034534544554564793637476070798897[[#This Row],[Ingrediente]],Tabla34[#All],3,0)</f>
        <v>18.392951490000002</v>
      </c>
      <c r="H45" s="14">
        <f>+Tabla11034534544554564793637476070798897[[#This Row],[Costo]]*Tabla11034534544554564793637476070798897[[#This Row],[Columna2]]</f>
        <v>275.89427235000005</v>
      </c>
      <c r="I45" s="4"/>
      <c r="J45" s="4"/>
      <c r="K45" s="31"/>
      <c r="M45" s="346" t="s">
        <v>1621</v>
      </c>
    </row>
    <row r="46" spans="2:13" x14ac:dyDescent="0.3">
      <c r="B46" s="24" t="s">
        <v>313</v>
      </c>
      <c r="C46" s="11" t="s">
        <v>67</v>
      </c>
      <c r="D46" s="12">
        <v>5</v>
      </c>
      <c r="E46" s="12">
        <v>0</v>
      </c>
      <c r="F46" s="12">
        <v>5</v>
      </c>
      <c r="G46" s="13">
        <f>+VLOOKUP(Tabla11034534544554564793637476070798897[[#This Row],[Ingrediente]],Tabla34[#All],3,0)</f>
        <v>7.6838499999999996</v>
      </c>
      <c r="H46" s="14">
        <f>+Tabla11034534544554564793637476070798897[[#This Row],[Costo]]*Tabla11034534544554564793637476070798897[[#This Row],[Columna2]]</f>
        <v>38.419249999999998</v>
      </c>
      <c r="I46" s="4"/>
      <c r="J46" s="4"/>
      <c r="K46" s="31"/>
    </row>
    <row r="47" spans="2:13" x14ac:dyDescent="0.3">
      <c r="B47" s="10" t="s">
        <v>37</v>
      </c>
      <c r="C47" s="11" t="s">
        <v>67</v>
      </c>
      <c r="D47" s="12">
        <v>2</v>
      </c>
      <c r="E47" s="12">
        <v>0</v>
      </c>
      <c r="F47" s="12">
        <v>2</v>
      </c>
      <c r="G47" s="13">
        <f>+VLOOKUP(Tabla11034534544554564793637476070798897[[#This Row],[Ingrediente]],Tabla34[#All],3,0)</f>
        <v>14.25783539</v>
      </c>
      <c r="H47" s="14">
        <f>+Tabla11034534544554564793637476070798897[[#This Row],[Costo]]*Tabla11034534544554564793637476070798897[[#This Row],[Columna2]]</f>
        <v>28.515670780000001</v>
      </c>
      <c r="I47" s="4"/>
      <c r="J47" s="4"/>
      <c r="K47" s="31"/>
    </row>
    <row r="48" spans="2:13" x14ac:dyDescent="0.3">
      <c r="B48" s="10" t="s">
        <v>634</v>
      </c>
      <c r="C48" s="11" t="s">
        <v>67</v>
      </c>
      <c r="D48" s="12">
        <v>3</v>
      </c>
      <c r="E48" s="12">
        <v>0</v>
      </c>
      <c r="F48" s="12">
        <v>3</v>
      </c>
      <c r="G48" s="13">
        <f>+VLOOKUP(Tabla11034534544554564793637476070798897[[#This Row],[Ingrediente]],Tabla34[#All],3,0)</f>
        <v>8.9250000000000007</v>
      </c>
      <c r="H48" s="14">
        <f>+Tabla11034534544554564793637476070798897[[#This Row],[Costo]]*Tabla11034534544554564793637476070798897[[#This Row],[Columna2]]</f>
        <v>26.775000000000002</v>
      </c>
      <c r="I48" s="4"/>
      <c r="J48" s="4"/>
      <c r="K48" s="31"/>
    </row>
    <row r="49" spans="2:13" x14ac:dyDescent="0.3">
      <c r="B49" s="24" t="s">
        <v>89</v>
      </c>
      <c r="C49" s="11" t="s">
        <v>67</v>
      </c>
      <c r="D49" s="12">
        <v>3</v>
      </c>
      <c r="E49" s="12">
        <v>0</v>
      </c>
      <c r="F49" s="12">
        <v>3</v>
      </c>
      <c r="G49" s="13">
        <f>+VLOOKUP(Tabla11034534544554564793637476070798897[[#This Row],[Ingrediente]],Tabla34[#All],3,0)</f>
        <v>2.4009999999999998</v>
      </c>
      <c r="H49" s="14">
        <f>+Tabla11034534544554564793637476070798897[[#This Row],[Costo]]*Tabla11034534544554564793637476070798897[[#This Row],[Columna2]]</f>
        <v>7.2029999999999994</v>
      </c>
      <c r="I49" s="4"/>
      <c r="J49" s="4"/>
      <c r="K49" s="31"/>
    </row>
    <row r="50" spans="2:13" x14ac:dyDescent="0.3">
      <c r="B50" s="16"/>
      <c r="C50" s="17"/>
      <c r="D50" s="17"/>
      <c r="E50" s="17"/>
      <c r="F50" s="17"/>
      <c r="G50" s="18"/>
      <c r="H50" s="18">
        <f>SUBTOTAL(109,Tabla11034534544554564793637476070798897[Total costo])</f>
        <v>16338.227317610001</v>
      </c>
      <c r="I50" s="4"/>
      <c r="J50" s="4"/>
      <c r="K50" s="31"/>
    </row>
    <row r="51" spans="2:13" x14ac:dyDescent="0.3">
      <c r="G51" s="4"/>
    </row>
    <row r="52" spans="2:13" ht="15.6" x14ac:dyDescent="0.3">
      <c r="B52" s="1" t="s">
        <v>74</v>
      </c>
      <c r="C52" s="2"/>
      <c r="D52" s="2"/>
      <c r="E52" s="3"/>
      <c r="F52" s="3"/>
      <c r="G52" s="3"/>
      <c r="H52" s="3"/>
      <c r="I52" s="4"/>
      <c r="J52" s="399" t="s">
        <v>0</v>
      </c>
      <c r="K52" s="399"/>
      <c r="M52" s="377" t="s">
        <v>1394</v>
      </c>
    </row>
    <row r="53" spans="2:13" x14ac:dyDescent="0.3">
      <c r="B53" s="5" t="s">
        <v>1</v>
      </c>
      <c r="C53" s="6" t="s">
        <v>2</v>
      </c>
      <c r="D53" s="6" t="s">
        <v>3</v>
      </c>
      <c r="E53" s="6" t="s">
        <v>920</v>
      </c>
      <c r="F53" s="6" t="s">
        <v>319</v>
      </c>
      <c r="G53" s="7" t="s">
        <v>4</v>
      </c>
      <c r="H53" s="7" t="s">
        <v>5</v>
      </c>
      <c r="I53" s="4"/>
      <c r="J53" s="8" t="s">
        <v>6</v>
      </c>
      <c r="K53" s="9">
        <f>SUM(Tabla11034534544554564793638486171808998[Total costo])</f>
        <v>20025.027722210001</v>
      </c>
      <c r="M53" s="346" t="s">
        <v>1622</v>
      </c>
    </row>
    <row r="54" spans="2:13" x14ac:dyDescent="0.3">
      <c r="B54" s="10" t="s">
        <v>917</v>
      </c>
      <c r="C54" s="11" t="s">
        <v>847</v>
      </c>
      <c r="D54" s="12">
        <v>1</v>
      </c>
      <c r="E54" s="12">
        <v>0</v>
      </c>
      <c r="F54" s="12">
        <v>1</v>
      </c>
      <c r="G54" s="13">
        <f>+VLOOKUP(Tabla11034534544554564793638486171808998[[#This Row],[Ingrediente]],Tabla34[#All],3,0)</f>
        <v>11140.90909091</v>
      </c>
      <c r="H54" s="14">
        <f>+Tabla11034534544554564793638486171808998[[#This Row],[Costo]]*Tabla11034534544554564793638486171808998[[#This Row],[Columna2]]</f>
        <v>11140.90909091</v>
      </c>
      <c r="I54" s="4"/>
      <c r="J54" s="8" t="s">
        <v>12</v>
      </c>
      <c r="K54" s="15">
        <f>+K53*10%</f>
        <v>2002.5027722210002</v>
      </c>
      <c r="M54" s="346" t="s">
        <v>1623</v>
      </c>
    </row>
    <row r="55" spans="2:13" x14ac:dyDescent="0.3">
      <c r="B55" s="24" t="s">
        <v>106</v>
      </c>
      <c r="C55" s="11" t="s">
        <v>67</v>
      </c>
      <c r="D55" s="12">
        <v>80</v>
      </c>
      <c r="E55" s="12">
        <v>0</v>
      </c>
      <c r="F55" s="12">
        <v>80</v>
      </c>
      <c r="G55" s="13">
        <f>+VLOOKUP(Tabla11034534544554564793638486171808998[[#This Row],[Ingrediente]],Tabla34[#All],3,0)</f>
        <v>19.804166670000001</v>
      </c>
      <c r="H55" s="14">
        <f>+Tabla11034534544554564793638486171808998[[#This Row],[Costo]]*Tabla11034534544554564793638486171808998[[#This Row],[Columna2]]</f>
        <v>1584.3333336000001</v>
      </c>
      <c r="I55" s="4"/>
      <c r="J55" s="8" t="s">
        <v>13</v>
      </c>
      <c r="K55" s="15">
        <f>+K53+K54</f>
        <v>22027.530494431001</v>
      </c>
      <c r="M55" s="346" t="s">
        <v>1624</v>
      </c>
    </row>
    <row r="56" spans="2:13" x14ac:dyDescent="0.3">
      <c r="B56" s="10" t="s">
        <v>451</v>
      </c>
      <c r="C56" s="11" t="s">
        <v>67</v>
      </c>
      <c r="D56" s="12">
        <v>20</v>
      </c>
      <c r="E56" s="12">
        <v>0</v>
      </c>
      <c r="F56" s="12">
        <v>20</v>
      </c>
      <c r="G56" s="13">
        <f>+VLOOKUP(Tabla11034534544554564793638486171808998[[#This Row],[Ingrediente]],Tabla34[#All],3,0)</f>
        <v>60.987499999999997</v>
      </c>
      <c r="H56" s="14">
        <f>+Tabla11034534544554564793638486171808998[[#This Row],[Costo]]*Tabla11034534544554564793638486171808998[[#This Row],[Columna2]]</f>
        <v>1219.75</v>
      </c>
      <c r="I56" s="4"/>
      <c r="J56" s="20" t="s">
        <v>14</v>
      </c>
      <c r="K56" s="21">
        <v>63000</v>
      </c>
      <c r="M56" s="346"/>
    </row>
    <row r="57" spans="2:13" x14ac:dyDescent="0.3">
      <c r="B57" s="10" t="s">
        <v>712</v>
      </c>
      <c r="C57" s="11" t="s">
        <v>67</v>
      </c>
      <c r="D57" s="12">
        <v>29.999999649999999</v>
      </c>
      <c r="E57" s="12">
        <v>5</v>
      </c>
      <c r="F57" s="12">
        <v>31.578946999999999</v>
      </c>
      <c r="G57" s="13">
        <f>+VLOOKUP(Tabla11034534544554564793638486171808998[[#This Row],[Ingrediente]],Tabla34[#All],3,0)</f>
        <v>32.5</v>
      </c>
      <c r="H57" s="14">
        <f>+Tabla11034534544554564793638486171808998[[#This Row],[Costo]]*Tabla11034534544554564793638486171808998[[#This Row],[Columna2]]</f>
        <v>1026.3157775</v>
      </c>
      <c r="I57" s="4"/>
      <c r="J57" s="8" t="s">
        <v>15</v>
      </c>
      <c r="K57" s="15">
        <f>+K56/1.08*0.08</f>
        <v>4666.6666666666661</v>
      </c>
      <c r="M57" s="377" t="s">
        <v>1377</v>
      </c>
    </row>
    <row r="58" spans="2:13" x14ac:dyDescent="0.3">
      <c r="B58" s="10" t="s">
        <v>118</v>
      </c>
      <c r="C58" s="11" t="s">
        <v>67</v>
      </c>
      <c r="D58" s="12">
        <v>30</v>
      </c>
      <c r="E58" s="12">
        <v>0</v>
      </c>
      <c r="F58" s="12">
        <v>30</v>
      </c>
      <c r="G58" s="13">
        <f>+VLOOKUP(Tabla11034534544554564793638486171808998[[#This Row],[Ingrediente]],Tabla34[#All],3,0)</f>
        <v>30.25466445</v>
      </c>
      <c r="H58" s="14">
        <f>+Tabla11034534544554564793638486171808998[[#This Row],[Costo]]*Tabla11034534544554564793638486171808998[[#This Row],[Columna2]]</f>
        <v>907.63993349999998</v>
      </c>
      <c r="I58" s="4"/>
      <c r="J58" s="8" t="s">
        <v>16</v>
      </c>
      <c r="K58" s="15">
        <f>+K56-K57</f>
        <v>58333.333333333336</v>
      </c>
      <c r="M58" s="346" t="s">
        <v>1625</v>
      </c>
    </row>
    <row r="59" spans="2:13" x14ac:dyDescent="0.3">
      <c r="B59" s="10" t="s">
        <v>633</v>
      </c>
      <c r="C59" s="11" t="s">
        <v>67</v>
      </c>
      <c r="D59" s="12">
        <v>29.999999649999999</v>
      </c>
      <c r="E59" s="12">
        <v>5</v>
      </c>
      <c r="F59" s="12">
        <v>31.578946999999999</v>
      </c>
      <c r="G59" s="13">
        <f>+VLOOKUP(Tabla11034534544554564793638486171808998[[#This Row],[Ingrediente]],Tabla34[#All],3,0)</f>
        <v>27</v>
      </c>
      <c r="H59" s="14">
        <f>+Tabla11034534544554564793638486171808998[[#This Row],[Costo]]*Tabla11034534544554564793638486171808998[[#This Row],[Columna2]]</f>
        <v>852.63156900000001</v>
      </c>
      <c r="I59" s="4"/>
      <c r="J59" s="8" t="s">
        <v>17</v>
      </c>
      <c r="K59" s="22">
        <f>+K55/K58</f>
        <v>0.37761480847596002</v>
      </c>
      <c r="M59" s="346" t="s">
        <v>1626</v>
      </c>
    </row>
    <row r="60" spans="2:13" x14ac:dyDescent="0.3">
      <c r="B60" s="10" t="s">
        <v>121</v>
      </c>
      <c r="C60" s="11" t="s">
        <v>67</v>
      </c>
      <c r="D60" s="12">
        <v>30</v>
      </c>
      <c r="E60" s="12">
        <v>0</v>
      </c>
      <c r="F60" s="12">
        <v>30</v>
      </c>
      <c r="G60" s="13">
        <f>+VLOOKUP(Tabla11034534544554564793638486171808998[[#This Row],[Ingrediente]],Tabla34[#All],3,0)</f>
        <v>23.79844713</v>
      </c>
      <c r="H60" s="14">
        <f>+Tabla11034534544554564793638486171808998[[#This Row],[Costo]]*Tabla11034534544554564793638486171808998[[#This Row],[Columna2]]</f>
        <v>713.95341389999999</v>
      </c>
      <c r="I60" s="27"/>
      <c r="J60" s="8" t="s">
        <v>18</v>
      </c>
      <c r="K60" s="23">
        <f>+K58-K55</f>
        <v>36305.802838902338</v>
      </c>
    </row>
    <row r="61" spans="2:13" x14ac:dyDescent="0.3">
      <c r="B61" s="10" t="s">
        <v>119</v>
      </c>
      <c r="C61" s="11" t="s">
        <v>67</v>
      </c>
      <c r="D61" s="12">
        <v>150</v>
      </c>
      <c r="E61" s="12">
        <v>0</v>
      </c>
      <c r="F61" s="12">
        <v>150</v>
      </c>
      <c r="G61" s="13">
        <f>+VLOOKUP(Tabla11034534544554564793638486171808998[[#This Row],[Ingrediente]],Tabla34[#All],3,0)</f>
        <v>5.8053971600000001</v>
      </c>
      <c r="H61" s="14">
        <f>+Tabla11034534544554564793638486171808998[[#This Row],[Costo]]*Tabla11034534544554564793638486171808998[[#This Row],[Columna2]]</f>
        <v>870.809574</v>
      </c>
      <c r="J61" s="8" t="s">
        <v>19</v>
      </c>
      <c r="K61" s="25">
        <f>+K60/K55</f>
        <v>1.6482012292790229</v>
      </c>
    </row>
    <row r="62" spans="2:13" x14ac:dyDescent="0.3">
      <c r="B62" s="10" t="s">
        <v>827</v>
      </c>
      <c r="C62" s="11" t="s">
        <v>67</v>
      </c>
      <c r="D62" s="12">
        <v>2</v>
      </c>
      <c r="E62" s="12">
        <v>0</v>
      </c>
      <c r="F62" s="12">
        <v>2</v>
      </c>
      <c r="G62" s="13">
        <f>+VLOOKUP(Tabla11034534544554564793638486171808998[[#This Row],[Ingrediente]],Tabla34[#All],3,0)</f>
        <v>511</v>
      </c>
      <c r="H62" s="14">
        <f>+Tabla11034534544554564793638486171808998[[#This Row],[Costo]]*Tabla11034534544554564793638486171808998[[#This Row],[Columna2]]</f>
        <v>1022</v>
      </c>
      <c r="I62" s="4"/>
      <c r="J62" s="4"/>
      <c r="K62" s="26"/>
    </row>
    <row r="63" spans="2:13" x14ac:dyDescent="0.3">
      <c r="B63" s="10" t="s">
        <v>833</v>
      </c>
      <c r="C63" s="11" t="s">
        <v>67</v>
      </c>
      <c r="D63" s="12">
        <v>1</v>
      </c>
      <c r="E63" s="12">
        <v>0</v>
      </c>
      <c r="F63" s="12">
        <v>1</v>
      </c>
      <c r="G63" s="13">
        <f>+VLOOKUP(Tabla11034534544554564793638486171808998[[#This Row],[Ingrediente]],Tabla34[#All],3,0)</f>
        <v>307.5</v>
      </c>
      <c r="H63" s="14">
        <f>+Tabla11034534544554564793638486171808998[[#This Row],[Costo]]*Tabla11034534544554564793638486171808998[[#This Row],[Columna2]]</f>
        <v>307.5</v>
      </c>
      <c r="I63" s="4"/>
      <c r="J63" s="4"/>
      <c r="K63" s="26"/>
    </row>
    <row r="64" spans="2:13" x14ac:dyDescent="0.3">
      <c r="B64" s="10" t="s">
        <v>141</v>
      </c>
      <c r="C64" s="11" t="s">
        <v>67</v>
      </c>
      <c r="D64" s="12">
        <v>20</v>
      </c>
      <c r="E64" s="12">
        <v>0</v>
      </c>
      <c r="F64" s="12">
        <v>20</v>
      </c>
      <c r="G64" s="13">
        <f>+VLOOKUP(Tabla11034534544554564793638486171808998[[#This Row],[Ingrediente]],Tabla34[#All],3,0)</f>
        <v>18.392951490000002</v>
      </c>
      <c r="H64" s="14">
        <f>+Tabla11034534544554564793638486171808998[[#This Row],[Costo]]*Tabla11034534544554564793638486171808998[[#This Row],[Columna2]]</f>
        <v>367.85902980000003</v>
      </c>
      <c r="I64" s="4"/>
      <c r="J64" s="4"/>
      <c r="K64" s="26"/>
    </row>
    <row r="65" spans="2:13" x14ac:dyDescent="0.3">
      <c r="B65" s="10" t="s">
        <v>634</v>
      </c>
      <c r="C65" s="11" t="s">
        <v>67</v>
      </c>
      <c r="D65" s="12">
        <v>1</v>
      </c>
      <c r="E65" s="12">
        <v>0</v>
      </c>
      <c r="F65" s="12">
        <v>1</v>
      </c>
      <c r="G65" s="13">
        <f>+VLOOKUP(Tabla11034534544554564793638486171808998[[#This Row],[Ingrediente]],Tabla34[#All],3,0)</f>
        <v>8.9250000000000007</v>
      </c>
      <c r="H65" s="14">
        <f>+Tabla11034534544554564793638486171808998[[#This Row],[Costo]]*Tabla11034534544554564793638486171808998[[#This Row],[Columna2]]</f>
        <v>8.9250000000000007</v>
      </c>
      <c r="I65" s="4"/>
      <c r="J65" s="4"/>
      <c r="K65" s="26"/>
    </row>
    <row r="66" spans="2:13" x14ac:dyDescent="0.3">
      <c r="B66" s="10" t="s">
        <v>89</v>
      </c>
      <c r="C66" s="11" t="s">
        <v>67</v>
      </c>
      <c r="D66" s="12">
        <v>1</v>
      </c>
      <c r="E66" s="12">
        <v>0</v>
      </c>
      <c r="F66" s="12">
        <v>1</v>
      </c>
      <c r="G66" s="13">
        <f>+VLOOKUP(Tabla11034534544554564793638486171808998[[#This Row],[Ingrediente]],Tabla34[#All],3,0)</f>
        <v>2.4009999999999998</v>
      </c>
      <c r="H66" s="14">
        <f>+Tabla11034534544554564793638486171808998[[#This Row],[Costo]]*Tabla11034534544554564793638486171808998[[#This Row],[Columna2]]</f>
        <v>2.4009999999999998</v>
      </c>
      <c r="I66" s="4"/>
      <c r="J66" s="4"/>
      <c r="K66" s="26"/>
    </row>
    <row r="67" spans="2:13" x14ac:dyDescent="0.3">
      <c r="B67" s="16"/>
      <c r="C67" s="17"/>
      <c r="D67" s="17"/>
      <c r="E67" s="17"/>
      <c r="F67" s="17"/>
      <c r="G67" s="18"/>
      <c r="H67" s="18">
        <f>SUBTOTAL(109,Tabla11034534544554564793638486171808998[Total costo])</f>
        <v>20025.027722210001</v>
      </c>
      <c r="I67" s="4"/>
      <c r="J67" s="27"/>
      <c r="K67" s="27"/>
    </row>
    <row r="68" spans="2:13" x14ac:dyDescent="0.3">
      <c r="G68" s="4"/>
    </row>
    <row r="69" spans="2:13" ht="15.6" x14ac:dyDescent="0.3">
      <c r="B69" s="1" t="s">
        <v>545</v>
      </c>
      <c r="C69" s="2"/>
      <c r="D69" s="2"/>
      <c r="E69" s="3"/>
      <c r="F69" s="3"/>
      <c r="G69" s="3"/>
      <c r="H69" s="3"/>
      <c r="I69" s="4"/>
      <c r="J69" s="399" t="s">
        <v>0</v>
      </c>
      <c r="K69" s="399"/>
      <c r="M69" s="377" t="s">
        <v>1394</v>
      </c>
    </row>
    <row r="70" spans="2:13" x14ac:dyDescent="0.3">
      <c r="B70" s="5" t="s">
        <v>1</v>
      </c>
      <c r="C70" s="6" t="s">
        <v>2</v>
      </c>
      <c r="D70" s="6" t="s">
        <v>3</v>
      </c>
      <c r="E70" s="6" t="s">
        <v>920</v>
      </c>
      <c r="F70" s="6" t="s">
        <v>319</v>
      </c>
      <c r="G70" s="7" t="s">
        <v>4</v>
      </c>
      <c r="H70" s="7" t="s">
        <v>5</v>
      </c>
      <c r="I70" s="4"/>
      <c r="J70" s="8" t="s">
        <v>6</v>
      </c>
      <c r="K70" s="9">
        <f>SUM(Tabla11034534544554564793639496272819099[Total costo])</f>
        <v>20574.773958480004</v>
      </c>
      <c r="M70" s="346" t="s">
        <v>1627</v>
      </c>
    </row>
    <row r="71" spans="2:13" x14ac:dyDescent="0.3">
      <c r="B71" s="10" t="s">
        <v>917</v>
      </c>
      <c r="C71" s="11" t="s">
        <v>847</v>
      </c>
      <c r="D71" s="12">
        <v>1</v>
      </c>
      <c r="E71" s="12">
        <v>0</v>
      </c>
      <c r="F71" s="12">
        <v>1</v>
      </c>
      <c r="G71" s="13">
        <f>+VLOOKUP(Tabla11034534544554564793639496272819099[[#This Row],[Ingrediente]],Tabla34[#All],3,0)</f>
        <v>11140.90909091</v>
      </c>
      <c r="H71" s="14">
        <f>+Tabla11034534544554564793639496272819099[[#This Row],[Costo]]*Tabla11034534544554564793639496272819099[[#This Row],[Columna2]]</f>
        <v>11140.90909091</v>
      </c>
      <c r="I71" s="4"/>
      <c r="J71" s="8" t="s">
        <v>12</v>
      </c>
      <c r="K71" s="15">
        <f>+K70*10%</f>
        <v>2057.4773958480005</v>
      </c>
      <c r="M71" s="346" t="s">
        <v>1628</v>
      </c>
    </row>
    <row r="72" spans="2:13" x14ac:dyDescent="0.3">
      <c r="B72" s="10" t="s">
        <v>102</v>
      </c>
      <c r="C72" s="11" t="s">
        <v>605</v>
      </c>
      <c r="D72" s="12">
        <v>1</v>
      </c>
      <c r="E72" s="12">
        <v>0</v>
      </c>
      <c r="F72" s="12">
        <v>1</v>
      </c>
      <c r="G72" s="13">
        <f>+VLOOKUP(Tabla11034534544554564793639496272819099[[#This Row],[Ingrediente]],Tabla34[#All],3,0)</f>
        <v>2471.7916666699998</v>
      </c>
      <c r="H72" s="14">
        <f>+Tabla11034534544554564793639496272819099[[#This Row],[Costo]]*Tabla11034534544554564793639496272819099[[#This Row],[Columna2]]</f>
        <v>2471.7916666699998</v>
      </c>
      <c r="I72" s="4"/>
      <c r="J72" s="8" t="s">
        <v>13</v>
      </c>
      <c r="K72" s="15">
        <f>+K70+K71</f>
        <v>22632.251354328004</v>
      </c>
      <c r="M72" s="346" t="s">
        <v>1629</v>
      </c>
    </row>
    <row r="73" spans="2:13" x14ac:dyDescent="0.3">
      <c r="B73" s="10" t="s">
        <v>106</v>
      </c>
      <c r="C73" s="11" t="s">
        <v>67</v>
      </c>
      <c r="D73" s="12">
        <v>80</v>
      </c>
      <c r="E73" s="12">
        <v>0</v>
      </c>
      <c r="F73" s="12">
        <v>80</v>
      </c>
      <c r="G73" s="13">
        <f>+VLOOKUP(Tabla11034534544554564793639496272819099[[#This Row],[Ingrediente]],Tabla34[#All],3,0)</f>
        <v>19.804166670000001</v>
      </c>
      <c r="H73" s="14">
        <f>+Tabla11034534544554564793639496272819099[[#This Row],[Costo]]*Tabla11034534544554564793639496272819099[[#This Row],[Columna2]]</f>
        <v>1584.3333336000001</v>
      </c>
      <c r="I73" s="4"/>
      <c r="J73" s="20" t="s">
        <v>14</v>
      </c>
      <c r="K73" s="21">
        <v>65000</v>
      </c>
      <c r="M73" s="346"/>
    </row>
    <row r="74" spans="2:13" x14ac:dyDescent="0.3">
      <c r="B74" s="10" t="s">
        <v>451</v>
      </c>
      <c r="C74" s="11" t="s">
        <v>67</v>
      </c>
      <c r="D74" s="12">
        <v>20</v>
      </c>
      <c r="E74" s="12">
        <v>0</v>
      </c>
      <c r="F74" s="12">
        <v>20</v>
      </c>
      <c r="G74" s="13">
        <f>+VLOOKUP(Tabla11034534544554564793639496272819099[[#This Row],[Ingrediente]],Tabla34[#All],3,0)</f>
        <v>60.987499999999997</v>
      </c>
      <c r="H74" s="14">
        <f>+Tabla11034534544554564793639496272819099[[#This Row],[Costo]]*Tabla11034534544554564793639496272819099[[#This Row],[Columna2]]</f>
        <v>1219.75</v>
      </c>
      <c r="I74" s="4"/>
      <c r="J74" s="8" t="s">
        <v>15</v>
      </c>
      <c r="K74" s="15">
        <f>+K73/1.08*0.08</f>
        <v>4814.8148148148148</v>
      </c>
      <c r="M74" s="377" t="s">
        <v>1377</v>
      </c>
    </row>
    <row r="75" spans="2:13" x14ac:dyDescent="0.3">
      <c r="B75" s="10" t="s">
        <v>146</v>
      </c>
      <c r="C75" s="11" t="s">
        <v>67</v>
      </c>
      <c r="D75" s="12">
        <v>100</v>
      </c>
      <c r="E75" s="12">
        <v>0</v>
      </c>
      <c r="F75" s="12">
        <v>100</v>
      </c>
      <c r="G75" s="13">
        <f>+VLOOKUP(Tabla11034534544554564793639496272819099[[#This Row],[Ingrediente]],Tabla34[#All],3,0)</f>
        <v>11.36127894</v>
      </c>
      <c r="H75" s="14">
        <f>+Tabla11034534544554564793639496272819099[[#This Row],[Costo]]*Tabla11034534544554564793639496272819099[[#This Row],[Columna2]]</f>
        <v>1136.127894</v>
      </c>
      <c r="I75" s="4"/>
      <c r="J75" s="8" t="s">
        <v>16</v>
      </c>
      <c r="K75" s="15">
        <f>+K73-K74</f>
        <v>60185.185185185182</v>
      </c>
      <c r="M75" s="346" t="s">
        <v>1630</v>
      </c>
    </row>
    <row r="76" spans="2:13" x14ac:dyDescent="0.3">
      <c r="B76" s="10" t="s">
        <v>145</v>
      </c>
      <c r="C76" s="11" t="s">
        <v>67</v>
      </c>
      <c r="D76" s="12">
        <v>30</v>
      </c>
      <c r="E76" s="12">
        <v>0</v>
      </c>
      <c r="F76" s="12">
        <v>30</v>
      </c>
      <c r="G76" s="13">
        <f>+VLOOKUP(Tabla11034534544554564793639496272819099[[#This Row],[Ingrediente]],Tabla34[#All],3,0)</f>
        <v>40.425119780000003</v>
      </c>
      <c r="H76" s="14">
        <f>+Tabla11034534544554564793639496272819099[[#This Row],[Costo]]*Tabla11034534544554564793639496272819099[[#This Row],[Columna2]]</f>
        <v>1212.7535934</v>
      </c>
      <c r="I76" s="4"/>
      <c r="J76" s="8" t="s">
        <v>17</v>
      </c>
      <c r="K76" s="22">
        <f>+K72/K75</f>
        <v>0.37604356096421915</v>
      </c>
      <c r="M76" s="346" t="s">
        <v>1631</v>
      </c>
    </row>
    <row r="77" spans="2:13" x14ac:dyDescent="0.3">
      <c r="B77" s="10" t="s">
        <v>119</v>
      </c>
      <c r="C77" s="11" t="s">
        <v>67</v>
      </c>
      <c r="D77" s="12">
        <v>150</v>
      </c>
      <c r="E77" s="12">
        <v>0</v>
      </c>
      <c r="F77" s="12">
        <v>150</v>
      </c>
      <c r="G77" s="13">
        <f>+VLOOKUP(Tabla11034534544554564793639496272819099[[#This Row],[Ingrediente]],Tabla34[#All],3,0)</f>
        <v>5.8053971600000001</v>
      </c>
      <c r="H77" s="14">
        <f>+Tabla11034534544554564793639496272819099[[#This Row],[Costo]]*Tabla11034534544554564793639496272819099[[#This Row],[Columna2]]</f>
        <v>870.809574</v>
      </c>
      <c r="I77" s="27"/>
      <c r="J77" s="8" t="s">
        <v>18</v>
      </c>
      <c r="K77" s="23">
        <f>+K75-K72</f>
        <v>37552.933830857175</v>
      </c>
      <c r="M77" s="346" t="s">
        <v>1632</v>
      </c>
    </row>
    <row r="78" spans="2:13" x14ac:dyDescent="0.3">
      <c r="B78" s="10" t="s">
        <v>138</v>
      </c>
      <c r="C78" s="11" t="s">
        <v>67</v>
      </c>
      <c r="D78" s="12">
        <v>20</v>
      </c>
      <c r="E78" s="12">
        <v>0</v>
      </c>
      <c r="F78" s="12">
        <v>20</v>
      </c>
      <c r="G78" s="13">
        <f>+VLOOKUP(Tabla11034534544554564793639496272819099[[#This Row],[Ingrediente]],Tabla34[#All],3,0)</f>
        <v>14.714642169999999</v>
      </c>
      <c r="H78" s="14">
        <f>+Tabla11034534544554564793639496272819099[[#This Row],[Costo]]*Tabla11034534544554564793639496272819099[[#This Row],[Columna2]]</f>
        <v>294.29284339999998</v>
      </c>
      <c r="J78" s="8" t="s">
        <v>19</v>
      </c>
      <c r="K78" s="25">
        <f>+K77/K72</f>
        <v>1.659266382426239</v>
      </c>
    </row>
    <row r="79" spans="2:13" x14ac:dyDescent="0.3">
      <c r="B79" s="10" t="s">
        <v>123</v>
      </c>
      <c r="C79" s="11" t="s">
        <v>67</v>
      </c>
      <c r="D79" s="12">
        <v>10</v>
      </c>
      <c r="E79" s="12">
        <v>0</v>
      </c>
      <c r="F79" s="12">
        <v>10</v>
      </c>
      <c r="G79" s="13">
        <f>+VLOOKUP(Tabla11034534544554564793639496272819099[[#This Row],[Ingrediente]],Tabla34[#All],3,0)</f>
        <v>7.0783486</v>
      </c>
      <c r="H79" s="14">
        <f>+Tabla11034534544554564793639496272819099[[#This Row],[Costo]]*Tabla11034534544554564793639496272819099[[#This Row],[Columna2]]</f>
        <v>70.783485999999996</v>
      </c>
      <c r="I79" s="4"/>
      <c r="J79" s="4"/>
      <c r="K79" s="26"/>
    </row>
    <row r="80" spans="2:13" x14ac:dyDescent="0.3">
      <c r="B80" s="10" t="s">
        <v>187</v>
      </c>
      <c r="C80" s="11" t="s">
        <v>67</v>
      </c>
      <c r="D80" s="12">
        <v>29.999998909999999</v>
      </c>
      <c r="E80" s="12">
        <v>17</v>
      </c>
      <c r="F80" s="12">
        <v>36.144576999999998</v>
      </c>
      <c r="G80" s="13">
        <f>+VLOOKUP(Tabla11034534544554564793639496272819099[[#This Row],[Ingrediente]],Tabla34[#All],3,0)</f>
        <v>4.7</v>
      </c>
      <c r="H80" s="14">
        <f>+Tabla11034534544554564793639496272819099[[#This Row],[Costo]]*Tabla11034534544554564793639496272819099[[#This Row],[Columna2]]</f>
        <v>169.87951190000001</v>
      </c>
      <c r="I80" s="4"/>
      <c r="J80" s="4"/>
      <c r="K80" s="26"/>
    </row>
    <row r="81" spans="2:13" x14ac:dyDescent="0.3">
      <c r="B81" s="10" t="s">
        <v>128</v>
      </c>
      <c r="C81" s="11" t="s">
        <v>67</v>
      </c>
      <c r="D81" s="12">
        <v>5</v>
      </c>
      <c r="E81" s="12">
        <v>0</v>
      </c>
      <c r="F81" s="12">
        <v>5</v>
      </c>
      <c r="G81" s="13">
        <f>+VLOOKUP(Tabla11034534544554564793639496272819099[[#This Row],[Ingrediente]],Tabla34[#All],3,0)</f>
        <v>18.434479750000001</v>
      </c>
      <c r="H81" s="14">
        <f>+Tabla11034534544554564793639496272819099[[#This Row],[Costo]]*Tabla11034534544554564793639496272819099[[#This Row],[Columna2]]</f>
        <v>92.172398750000013</v>
      </c>
      <c r="I81" s="4"/>
      <c r="J81" s="4"/>
      <c r="K81" s="26"/>
    </row>
    <row r="82" spans="2:13" x14ac:dyDescent="0.3">
      <c r="B82" s="10" t="s">
        <v>135</v>
      </c>
      <c r="C82" s="11" t="s">
        <v>67</v>
      </c>
      <c r="D82" s="12">
        <v>5</v>
      </c>
      <c r="E82" s="12">
        <v>0</v>
      </c>
      <c r="F82" s="12">
        <v>5</v>
      </c>
      <c r="G82" s="13">
        <f>+VLOOKUP(Tabla11034534544554564793639496272819099[[#This Row],[Ingrediente]],Tabla34[#All],3,0)</f>
        <v>10.28067705</v>
      </c>
      <c r="H82" s="14">
        <f>+Tabla11034534544554564793639496272819099[[#This Row],[Costo]]*Tabla11034534544554564793639496272819099[[#This Row],[Columna2]]</f>
        <v>51.403385249999999</v>
      </c>
      <c r="I82" s="4"/>
      <c r="J82" s="4"/>
      <c r="K82" s="26"/>
    </row>
    <row r="83" spans="2:13" x14ac:dyDescent="0.3">
      <c r="B83" s="10" t="s">
        <v>828</v>
      </c>
      <c r="C83" s="11" t="s">
        <v>67</v>
      </c>
      <c r="D83" s="12">
        <v>4.9999999600000002</v>
      </c>
      <c r="E83" s="12">
        <v>33</v>
      </c>
      <c r="F83" s="12">
        <v>7.4626865000000002</v>
      </c>
      <c r="G83" s="13">
        <f>+VLOOKUP(Tabla11034534544554564793639496272819099[[#This Row],[Ingrediente]],Tabla34[#All],3,0)</f>
        <v>9.8000000000000007</v>
      </c>
      <c r="H83" s="14">
        <f>+Tabla11034534544554564793639496272819099[[#This Row],[Costo]]*Tabla11034534544554564793639496272819099[[#This Row],[Columna2]]</f>
        <v>73.134327700000014</v>
      </c>
      <c r="I83" s="4"/>
      <c r="J83" s="4"/>
      <c r="K83" s="26"/>
    </row>
    <row r="84" spans="2:13" x14ac:dyDescent="0.3">
      <c r="B84" s="24" t="s">
        <v>51</v>
      </c>
      <c r="C84" s="11" t="s">
        <v>67</v>
      </c>
      <c r="D84" s="12">
        <v>5</v>
      </c>
      <c r="E84" s="12">
        <v>0</v>
      </c>
      <c r="F84" s="12">
        <v>5</v>
      </c>
      <c r="G84" s="13">
        <f>+VLOOKUP(Tabla11034534544554564793639496272819099[[#This Row],[Ingrediente]],Tabla34[#All],3,0)</f>
        <v>11.3849874</v>
      </c>
      <c r="H84" s="14">
        <f>+Tabla11034534544554564793639496272819099[[#This Row],[Costo]]*Tabla11034534544554564793639496272819099[[#This Row],[Columna2]]</f>
        <v>56.924937</v>
      </c>
      <c r="I84" s="4"/>
      <c r="J84" s="4"/>
      <c r="K84" s="26"/>
    </row>
    <row r="85" spans="2:13" x14ac:dyDescent="0.3">
      <c r="B85" s="10" t="s">
        <v>134</v>
      </c>
      <c r="C85" s="11" t="s">
        <v>67</v>
      </c>
      <c r="D85" s="12">
        <v>10</v>
      </c>
      <c r="E85" s="12">
        <v>0</v>
      </c>
      <c r="F85" s="12">
        <v>10</v>
      </c>
      <c r="G85" s="13">
        <f>+VLOOKUP(Tabla11034534544554564793639496272819099[[#This Row],[Ingrediente]],Tabla34[#All],3,0)</f>
        <v>5.7702915900000002</v>
      </c>
      <c r="H85" s="14">
        <f>+Tabla11034534544554564793639496272819099[[#This Row],[Costo]]*Tabla11034534544554564793639496272819099[[#This Row],[Columna2]]</f>
        <v>57.702915900000001</v>
      </c>
      <c r="I85" s="4"/>
      <c r="J85" s="4"/>
      <c r="K85" s="26"/>
    </row>
    <row r="86" spans="2:13" x14ac:dyDescent="0.3">
      <c r="B86" s="10" t="s">
        <v>730</v>
      </c>
      <c r="C86" s="11" t="s">
        <v>67</v>
      </c>
      <c r="D86" s="12">
        <v>3</v>
      </c>
      <c r="E86" s="12">
        <v>40</v>
      </c>
      <c r="F86" s="12">
        <v>5</v>
      </c>
      <c r="G86" s="13">
        <f>+VLOOKUP(Tabla11034534544554564793639496272819099[[#This Row],[Ingrediente]],Tabla34[#All],3,0)</f>
        <v>12</v>
      </c>
      <c r="H86" s="14">
        <f>+Tabla11034534544554564793639496272819099[[#This Row],[Costo]]*Tabla11034534544554564793639496272819099[[#This Row],[Columna2]]</f>
        <v>60</v>
      </c>
      <c r="I86" s="4"/>
      <c r="J86" s="4"/>
      <c r="K86" s="26"/>
    </row>
    <row r="87" spans="2:13" x14ac:dyDescent="0.3">
      <c r="B87" s="10" t="s">
        <v>89</v>
      </c>
      <c r="C87" s="11" t="s">
        <v>67</v>
      </c>
      <c r="D87" s="12">
        <v>5</v>
      </c>
      <c r="E87" s="12">
        <v>0</v>
      </c>
      <c r="F87" s="12">
        <v>5</v>
      </c>
      <c r="G87" s="13">
        <f>+VLOOKUP(Tabla11034534544554564793639496272819099[[#This Row],[Ingrediente]],Tabla34[#All],3,0)</f>
        <v>2.4009999999999998</v>
      </c>
      <c r="H87" s="14">
        <f>+Tabla11034534544554564793639496272819099[[#This Row],[Costo]]*Tabla11034534544554564793639496272819099[[#This Row],[Columna2]]</f>
        <v>12.004999999999999</v>
      </c>
      <c r="I87" s="4"/>
      <c r="J87" s="27"/>
      <c r="K87" s="27"/>
    </row>
    <row r="88" spans="2:13" x14ac:dyDescent="0.3">
      <c r="B88" s="16"/>
      <c r="C88" s="17"/>
      <c r="D88" s="17"/>
      <c r="E88" s="17"/>
      <c r="F88" s="17"/>
      <c r="G88" s="18"/>
      <c r="H88" s="18">
        <f>SUBTOTAL(109,Tabla11034534544554564793639496272819099[Total costo])</f>
        <v>20574.773958480004</v>
      </c>
      <c r="I88" s="4"/>
    </row>
    <row r="89" spans="2:13" x14ac:dyDescent="0.3">
      <c r="G89" s="4"/>
    </row>
    <row r="90" spans="2:13" x14ac:dyDescent="0.3">
      <c r="G90" s="4"/>
    </row>
    <row r="91" spans="2:13" ht="15.6" x14ac:dyDescent="0.3">
      <c r="B91" s="1" t="s">
        <v>75</v>
      </c>
      <c r="C91" s="2"/>
      <c r="D91" s="2"/>
      <c r="E91" s="3"/>
      <c r="F91" s="3"/>
      <c r="G91" s="3"/>
      <c r="H91" s="3"/>
      <c r="I91" s="4"/>
      <c r="J91" s="399" t="s">
        <v>0</v>
      </c>
      <c r="K91" s="399"/>
      <c r="M91" s="377" t="s">
        <v>1394</v>
      </c>
    </row>
    <row r="92" spans="2:13" x14ac:dyDescent="0.3">
      <c r="B92" s="5" t="s">
        <v>1</v>
      </c>
      <c r="C92" s="6" t="s">
        <v>2</v>
      </c>
      <c r="D92" s="6" t="s">
        <v>3</v>
      </c>
      <c r="E92" s="6" t="s">
        <v>920</v>
      </c>
      <c r="F92" s="6" t="s">
        <v>319</v>
      </c>
      <c r="G92" s="7" t="s">
        <v>4</v>
      </c>
      <c r="H92" s="7" t="s">
        <v>5</v>
      </c>
      <c r="I92" s="4"/>
      <c r="J92" s="8" t="s">
        <v>6</v>
      </c>
      <c r="K92" s="9">
        <f>SUM(Tabla110345345445545647936405063738291100[Total costo])</f>
        <v>15341.76938593</v>
      </c>
      <c r="M92" s="346" t="s">
        <v>1633</v>
      </c>
    </row>
    <row r="93" spans="2:13" x14ac:dyDescent="0.3">
      <c r="B93" s="24" t="s">
        <v>321</v>
      </c>
      <c r="C93" s="11" t="s">
        <v>67</v>
      </c>
      <c r="D93" s="12">
        <v>15</v>
      </c>
      <c r="E93" s="12">
        <v>0</v>
      </c>
      <c r="F93" s="12">
        <v>15</v>
      </c>
      <c r="G93" s="13">
        <f>+VLOOKUP(Tabla110345345445545647936405063738291100[[#This Row],[Ingrediente]],Tabla34[#All],3,0)</f>
        <v>12</v>
      </c>
      <c r="H93" s="14">
        <f>+Tabla110345345445545647936405063738291100[[#This Row],[Costo]]*Tabla110345345445545647936405063738291100[[#This Row],[Columna2]]</f>
        <v>180</v>
      </c>
      <c r="I93" s="4"/>
      <c r="J93" s="8" t="s">
        <v>12</v>
      </c>
      <c r="K93" s="15">
        <f>+K92*10%</f>
        <v>1534.1769385930002</v>
      </c>
      <c r="M93" s="346" t="s">
        <v>1634</v>
      </c>
    </row>
    <row r="94" spans="2:13" x14ac:dyDescent="0.3">
      <c r="B94" s="10" t="s">
        <v>89</v>
      </c>
      <c r="C94" s="11" t="s">
        <v>67</v>
      </c>
      <c r="D94" s="12">
        <v>1</v>
      </c>
      <c r="E94" s="12">
        <v>0</v>
      </c>
      <c r="F94" s="12">
        <v>1</v>
      </c>
      <c r="G94" s="13">
        <f>+VLOOKUP(Tabla110345345445545647936405063738291100[[#This Row],[Ingrediente]],Tabla34[#All],3,0)</f>
        <v>2.4009999999999998</v>
      </c>
      <c r="H94" s="14">
        <f>+Tabla110345345445545647936405063738291100[[#This Row],[Costo]]*Tabla110345345445545647936405063738291100[[#This Row],[Columna2]]</f>
        <v>2.4009999999999998</v>
      </c>
      <c r="I94" s="4"/>
      <c r="J94" s="8" t="s">
        <v>13</v>
      </c>
      <c r="K94" s="15">
        <f>+K92+K93</f>
        <v>16875.946324523</v>
      </c>
      <c r="M94" s="346" t="s">
        <v>1635</v>
      </c>
    </row>
    <row r="95" spans="2:13" x14ac:dyDescent="0.3">
      <c r="B95" s="10" t="s">
        <v>162</v>
      </c>
      <c r="C95" s="11" t="s">
        <v>67</v>
      </c>
      <c r="D95" s="12">
        <v>15</v>
      </c>
      <c r="E95" s="12">
        <v>0</v>
      </c>
      <c r="F95" s="12">
        <v>15</v>
      </c>
      <c r="G95" s="13">
        <f>+VLOOKUP(Tabla110345345445545647936405063738291100[[#This Row],[Ingrediente]],Tabla34[#All],3,0)</f>
        <v>11.044796529999999</v>
      </c>
      <c r="H95" s="14">
        <f>+Tabla110345345445545647936405063738291100[[#This Row],[Costo]]*Tabla110345345445545647936405063738291100[[#This Row],[Columna2]]</f>
        <v>165.67194795</v>
      </c>
      <c r="I95" s="4"/>
      <c r="J95" s="20" t="s">
        <v>14</v>
      </c>
      <c r="K95" s="21">
        <v>63000</v>
      </c>
      <c r="M95" s="346"/>
    </row>
    <row r="96" spans="2:13" x14ac:dyDescent="0.3">
      <c r="B96" s="10" t="s">
        <v>281</v>
      </c>
      <c r="C96" s="11" t="s">
        <v>67</v>
      </c>
      <c r="D96" s="12">
        <v>10</v>
      </c>
      <c r="E96" s="12">
        <v>0</v>
      </c>
      <c r="F96" s="12">
        <v>10</v>
      </c>
      <c r="G96" s="13">
        <f>+VLOOKUP(Tabla110345345445545647936405063738291100[[#This Row],[Ingrediente]],Tabla34[#All],3,0)</f>
        <v>25.61066254</v>
      </c>
      <c r="H96" s="14">
        <f>+Tabla110345345445545647936405063738291100[[#This Row],[Costo]]*Tabla110345345445545647936405063738291100[[#This Row],[Columna2]]</f>
        <v>256.10662539999998</v>
      </c>
      <c r="I96" s="4"/>
      <c r="J96" s="8" t="s">
        <v>15</v>
      </c>
      <c r="K96" s="15">
        <f>+K95/1.08*0.08</f>
        <v>4666.6666666666661</v>
      </c>
      <c r="M96" s="377" t="s">
        <v>1377</v>
      </c>
    </row>
    <row r="97" spans="2:13" x14ac:dyDescent="0.3">
      <c r="B97" s="10" t="s">
        <v>708</v>
      </c>
      <c r="C97" s="11" t="s">
        <v>67</v>
      </c>
      <c r="D97" s="12">
        <v>15</v>
      </c>
      <c r="E97" s="12">
        <v>5</v>
      </c>
      <c r="F97" s="12">
        <v>15.789</v>
      </c>
      <c r="G97" s="13">
        <f>+VLOOKUP(Tabla110345345445545647936405063738291100[[#This Row],[Ingrediente]],Tabla34[#All],3,0)</f>
        <v>11</v>
      </c>
      <c r="H97" s="14">
        <f>+Tabla110345345445545647936405063738291100[[#This Row],[Costo]]*Tabla110345345445545647936405063738291100[[#This Row],[Columna2]]</f>
        <v>173.679</v>
      </c>
      <c r="I97" s="4"/>
      <c r="J97" s="8" t="s">
        <v>16</v>
      </c>
      <c r="K97" s="15">
        <f>+K95-K96</f>
        <v>58333.333333333336</v>
      </c>
      <c r="M97" s="346"/>
    </row>
    <row r="98" spans="2:13" x14ac:dyDescent="0.3">
      <c r="B98" s="10" t="s">
        <v>917</v>
      </c>
      <c r="C98" s="11" t="s">
        <v>847</v>
      </c>
      <c r="D98" s="12">
        <v>1</v>
      </c>
      <c r="E98" s="12">
        <v>0</v>
      </c>
      <c r="F98" s="12">
        <v>1</v>
      </c>
      <c r="G98" s="13">
        <f>+VLOOKUP(Tabla110345345445545647936405063738291100[[#This Row],[Ingrediente]],Tabla34[#All],3,0)</f>
        <v>11140.90909091</v>
      </c>
      <c r="H98" s="14">
        <f>+Tabla110345345445545647936405063738291100[[#This Row],[Costo]]*Tabla110345345445545647936405063738291100[[#This Row],[Columna2]]</f>
        <v>11140.90909091</v>
      </c>
      <c r="I98" s="4"/>
      <c r="J98" s="8" t="s">
        <v>17</v>
      </c>
      <c r="K98" s="22">
        <f>+K94/K97</f>
        <v>0.28930193699182283</v>
      </c>
      <c r="M98" s="346"/>
    </row>
    <row r="99" spans="2:13" x14ac:dyDescent="0.3">
      <c r="B99" s="10" t="s">
        <v>840</v>
      </c>
      <c r="C99" s="11" t="s">
        <v>67</v>
      </c>
      <c r="D99" s="12">
        <v>1</v>
      </c>
      <c r="E99" s="12">
        <v>0</v>
      </c>
      <c r="F99" s="12">
        <v>1</v>
      </c>
      <c r="G99" s="13">
        <f>+VLOOKUP(Tabla110345345445545647936405063738291100[[#This Row],[Ingrediente]],Tabla34[#All],3,0)</f>
        <v>57.218061669999997</v>
      </c>
      <c r="H99" s="14">
        <f>+Tabla110345345445545647936405063738291100[[#This Row],[Costo]]*Tabla110345345445545647936405063738291100[[#This Row],[Columna2]]</f>
        <v>57.218061669999997</v>
      </c>
      <c r="I99" s="27"/>
      <c r="J99" s="8" t="s">
        <v>18</v>
      </c>
      <c r="K99" s="23">
        <f>+K97-K94</f>
        <v>41457.387008810336</v>
      </c>
      <c r="M99" s="346"/>
    </row>
    <row r="100" spans="2:13" x14ac:dyDescent="0.3">
      <c r="B100" s="10" t="s">
        <v>106</v>
      </c>
      <c r="C100" s="11" t="s">
        <v>67</v>
      </c>
      <c r="D100" s="12">
        <v>70</v>
      </c>
      <c r="E100" s="12">
        <v>0</v>
      </c>
      <c r="F100" s="12">
        <v>70</v>
      </c>
      <c r="G100" s="13">
        <f>+VLOOKUP(Tabla110345345445545647936405063738291100[[#This Row],[Ingrediente]],Tabla34[#All],3,0)</f>
        <v>19.804166670000001</v>
      </c>
      <c r="H100" s="14">
        <f>+Tabla110345345445545647936405063738291100[[#This Row],[Costo]]*Tabla110345345445545647936405063738291100[[#This Row],[Columna2]]</f>
        <v>1386.2916669000001</v>
      </c>
      <c r="I100" s="27"/>
      <c r="J100" s="8" t="s">
        <v>19</v>
      </c>
      <c r="K100" s="25">
        <f>+K99/K94</f>
        <v>2.456596282755843</v>
      </c>
    </row>
    <row r="101" spans="2:13" x14ac:dyDescent="0.3">
      <c r="B101" s="10" t="s">
        <v>451</v>
      </c>
      <c r="C101" s="11" t="s">
        <v>67</v>
      </c>
      <c r="D101" s="12">
        <v>11</v>
      </c>
      <c r="E101" s="12">
        <v>0</v>
      </c>
      <c r="F101" s="12">
        <v>11</v>
      </c>
      <c r="G101" s="13">
        <f>+VLOOKUP(Tabla110345345445545647936405063738291100[[#This Row],[Ingrediente]],Tabla34[#All],3,0)</f>
        <v>60.987499999999997</v>
      </c>
      <c r="H101" s="14">
        <f>+Tabla110345345445545647936405063738291100[[#This Row],[Costo]]*Tabla110345345445545647936405063738291100[[#This Row],[Columna2]]</f>
        <v>670.86249999999995</v>
      </c>
      <c r="I101" s="27"/>
      <c r="J101" s="4"/>
      <c r="K101" s="31"/>
    </row>
    <row r="102" spans="2:13" x14ac:dyDescent="0.3">
      <c r="B102" s="10" t="s">
        <v>634</v>
      </c>
      <c r="C102" s="11" t="s">
        <v>67</v>
      </c>
      <c r="D102" s="12">
        <v>3</v>
      </c>
      <c r="E102" s="12">
        <v>0</v>
      </c>
      <c r="F102" s="12">
        <v>3</v>
      </c>
      <c r="G102" s="13">
        <f>+VLOOKUP(Tabla110345345445545647936405063738291100[[#This Row],[Ingrediente]],Tabla34[#All],3,0)</f>
        <v>8.9250000000000007</v>
      </c>
      <c r="H102" s="14">
        <f>+Tabla110345345445545647936405063738291100[[#This Row],[Costo]]*Tabla110345345445545647936405063738291100[[#This Row],[Columna2]]</f>
        <v>26.775000000000002</v>
      </c>
      <c r="I102" s="27"/>
      <c r="J102" s="4"/>
      <c r="K102" s="31"/>
    </row>
    <row r="103" spans="2:13" x14ac:dyDescent="0.3">
      <c r="B103" s="10" t="s">
        <v>37</v>
      </c>
      <c r="C103" s="11" t="s">
        <v>67</v>
      </c>
      <c r="D103" s="12">
        <v>2</v>
      </c>
      <c r="E103" s="12">
        <v>0</v>
      </c>
      <c r="F103" s="12">
        <v>2</v>
      </c>
      <c r="G103" s="13">
        <f>+VLOOKUP(Tabla110345345445545647936405063738291100[[#This Row],[Ingrediente]],Tabla34[#All],3,0)</f>
        <v>14.25783539</v>
      </c>
      <c r="H103" s="14">
        <f>+Tabla110345345445545647936405063738291100[[#This Row],[Costo]]*Tabla110345345445545647936405063738291100[[#This Row],[Columna2]]</f>
        <v>28.515670780000001</v>
      </c>
      <c r="I103" s="27"/>
      <c r="J103" s="4"/>
      <c r="K103" s="31"/>
    </row>
    <row r="104" spans="2:13" x14ac:dyDescent="0.3">
      <c r="B104" s="10" t="s">
        <v>89</v>
      </c>
      <c r="C104" s="11" t="s">
        <v>67</v>
      </c>
      <c r="D104" s="12">
        <v>2</v>
      </c>
      <c r="E104" s="12">
        <v>0</v>
      </c>
      <c r="F104" s="12">
        <v>2</v>
      </c>
      <c r="G104" s="13">
        <f>+VLOOKUP(Tabla110345345445545647936405063738291100[[#This Row],[Ingrediente]],Tabla34[#All],3,0)</f>
        <v>2.4009999999999998</v>
      </c>
      <c r="H104" s="14">
        <f>+Tabla110345345445545647936405063738291100[[#This Row],[Costo]]*Tabla110345345445545647936405063738291100[[#This Row],[Columna2]]</f>
        <v>4.8019999999999996</v>
      </c>
      <c r="J104" s="4"/>
      <c r="K104" s="31"/>
    </row>
    <row r="105" spans="2:13" x14ac:dyDescent="0.3">
      <c r="B105" s="10" t="s">
        <v>134</v>
      </c>
      <c r="C105" s="11" t="s">
        <v>67</v>
      </c>
      <c r="D105" s="12">
        <v>15</v>
      </c>
      <c r="E105" s="12">
        <v>0</v>
      </c>
      <c r="F105" s="12">
        <v>15</v>
      </c>
      <c r="G105" s="13">
        <f>+VLOOKUP(Tabla110345345445545647936405063738291100[[#This Row],[Ingrediente]],Tabla34[#All],3,0)</f>
        <v>5.7702915900000002</v>
      </c>
      <c r="H105" s="14">
        <f>+Tabla110345345445545647936405063738291100[[#This Row],[Costo]]*Tabla110345345445545647936405063738291100[[#This Row],[Columna2]]</f>
        <v>86.554373850000005</v>
      </c>
      <c r="I105" s="31"/>
    </row>
    <row r="106" spans="2:13" x14ac:dyDescent="0.3">
      <c r="B106" s="10" t="s">
        <v>308</v>
      </c>
      <c r="C106" s="11" t="s">
        <v>67</v>
      </c>
      <c r="D106" s="12">
        <v>13</v>
      </c>
      <c r="E106" s="12">
        <v>0</v>
      </c>
      <c r="F106" s="12">
        <v>13</v>
      </c>
      <c r="G106" s="13">
        <f>+VLOOKUP(Tabla110345345445545647936405063738291100[[#This Row],[Ingrediente]],Tabla34[#All],3,0)</f>
        <v>24.115200000000002</v>
      </c>
      <c r="H106" s="14">
        <f>+Tabla110345345445545647936405063738291100[[#This Row],[Costo]]*Tabla110345345445545647936405063738291100[[#This Row],[Columna2]]</f>
        <v>313.49760000000003</v>
      </c>
      <c r="I106" s="31"/>
    </row>
    <row r="107" spans="2:13" x14ac:dyDescent="0.3">
      <c r="B107" s="10" t="s">
        <v>339</v>
      </c>
      <c r="C107" s="11" t="s">
        <v>847</v>
      </c>
      <c r="D107" s="12">
        <v>1</v>
      </c>
      <c r="E107" s="12">
        <v>0</v>
      </c>
      <c r="F107" s="12">
        <v>1</v>
      </c>
      <c r="G107" s="13">
        <f>+VLOOKUP(Tabla110345345445545647936405063738291100[[#This Row],[Ingrediente]],Tabla34[#All],3,0)</f>
        <v>848.48484846999997</v>
      </c>
      <c r="H107" s="14">
        <f>+Tabla110345345445545647936405063738291100[[#This Row],[Costo]]*Tabla110345345445545647936405063738291100[[#This Row],[Columna2]]</f>
        <v>848.48484846999997</v>
      </c>
      <c r="I107" s="31"/>
    </row>
    <row r="108" spans="2:13" x14ac:dyDescent="0.3">
      <c r="B108" s="16"/>
      <c r="C108" s="17"/>
      <c r="D108" s="17"/>
      <c r="E108" s="17"/>
      <c r="F108" s="17"/>
      <c r="G108" s="18"/>
      <c r="H108" s="18">
        <f>SUBTOTAL(109,Tabla110345345445545647936405063738291100[Total costo])</f>
        <v>15341.76938593</v>
      </c>
      <c r="I108" s="31"/>
    </row>
    <row r="109" spans="2:13" x14ac:dyDescent="0.3">
      <c r="G109" s="4"/>
      <c r="H109" s="4"/>
      <c r="I109" s="31"/>
    </row>
    <row r="110" spans="2:13" ht="15.6" x14ac:dyDescent="0.3">
      <c r="B110" s="1" t="s">
        <v>76</v>
      </c>
      <c r="C110" s="2"/>
      <c r="D110" s="2"/>
      <c r="E110" s="3"/>
      <c r="F110" s="3"/>
      <c r="G110" s="3"/>
      <c r="H110" s="3"/>
      <c r="I110" s="4"/>
      <c r="J110" s="399" t="s">
        <v>0</v>
      </c>
      <c r="K110" s="399"/>
      <c r="M110" s="377" t="s">
        <v>1394</v>
      </c>
    </row>
    <row r="111" spans="2:13" x14ac:dyDescent="0.3">
      <c r="B111" s="5" t="s">
        <v>1</v>
      </c>
      <c r="C111" s="6" t="s">
        <v>2</v>
      </c>
      <c r="D111" s="6" t="s">
        <v>3</v>
      </c>
      <c r="E111" s="6" t="s">
        <v>920</v>
      </c>
      <c r="F111" s="6" t="s">
        <v>319</v>
      </c>
      <c r="G111" s="7" t="s">
        <v>4</v>
      </c>
      <c r="H111" s="7" t="s">
        <v>5</v>
      </c>
      <c r="I111" s="4"/>
      <c r="J111" s="8" t="s">
        <v>6</v>
      </c>
      <c r="K111" s="9">
        <f>+Tabla110345345445545647936425164748392101[[#Totals],[Total costo]]</f>
        <v>22438.547367340001</v>
      </c>
      <c r="M111" s="346" t="s">
        <v>1636</v>
      </c>
    </row>
    <row r="112" spans="2:13" x14ac:dyDescent="0.3">
      <c r="B112" s="10" t="s">
        <v>333</v>
      </c>
      <c r="C112" s="11" t="s">
        <v>847</v>
      </c>
      <c r="D112" s="12">
        <v>1</v>
      </c>
      <c r="E112" s="12">
        <v>0</v>
      </c>
      <c r="F112" s="12">
        <v>1</v>
      </c>
      <c r="G112" s="13">
        <f>+VLOOKUP(Tabla110345345445545647936425164748392101[[#This Row],[Ingrediente]],Tabla34[#All],3,0)</f>
        <v>13905.503857879999</v>
      </c>
      <c r="H112" s="14">
        <f>+Tabla110345345445545647936425164748392101[[#This Row],[Costo]]*Tabla110345345445545647936425164748392101[[#This Row],[Columna2]]</f>
        <v>13905.503857879999</v>
      </c>
      <c r="I112" s="4"/>
      <c r="J112" s="8" t="s">
        <v>12</v>
      </c>
      <c r="K112" s="15">
        <f>+K111*10%</f>
        <v>2243.8547367340002</v>
      </c>
      <c r="M112" s="346" t="s">
        <v>1637</v>
      </c>
    </row>
    <row r="113" spans="2:13" x14ac:dyDescent="0.3">
      <c r="B113" s="10" t="s">
        <v>148</v>
      </c>
      <c r="C113" s="11" t="s">
        <v>67</v>
      </c>
      <c r="D113" s="12">
        <v>150</v>
      </c>
      <c r="E113" s="12">
        <v>0</v>
      </c>
      <c r="F113" s="12">
        <v>150</v>
      </c>
      <c r="G113" s="13">
        <f>+VLOOKUP(Tabla110345345445545647936425164748392101[[#This Row],[Ingrediente]],Tabla34[#All],3,0)</f>
        <v>30.440150389999999</v>
      </c>
      <c r="H113" s="14">
        <f>+Tabla110345345445545647936425164748392101[[#This Row],[Costo]]*Tabla110345345445545647936425164748392101[[#This Row],[Columna2]]</f>
        <v>4566.0225584999998</v>
      </c>
      <c r="I113" s="4"/>
      <c r="J113" s="8" t="s">
        <v>13</v>
      </c>
      <c r="K113" s="15">
        <f>+K111+K112</f>
        <v>24682.402104074001</v>
      </c>
      <c r="M113" s="346" t="s">
        <v>1638</v>
      </c>
    </row>
    <row r="114" spans="2:13" x14ac:dyDescent="0.3">
      <c r="B114" s="10" t="s">
        <v>131</v>
      </c>
      <c r="C114" s="11" t="s">
        <v>67</v>
      </c>
      <c r="D114" s="12">
        <v>150</v>
      </c>
      <c r="E114" s="12">
        <v>0</v>
      </c>
      <c r="F114" s="12">
        <v>150</v>
      </c>
      <c r="G114" s="13">
        <f>+VLOOKUP(Tabla110345345445545647936425164748392101[[#This Row],[Ingrediente]],Tabla34[#All],3,0)</f>
        <v>20.196748509999999</v>
      </c>
      <c r="H114" s="14">
        <f>+Tabla110345345445545647936425164748392101[[#This Row],[Costo]]*Tabla110345345445545647936425164748392101[[#This Row],[Columna2]]</f>
        <v>3029.5122764999996</v>
      </c>
      <c r="I114" s="4"/>
      <c r="J114" s="20" t="s">
        <v>14</v>
      </c>
      <c r="K114" s="21">
        <v>74000</v>
      </c>
      <c r="M114" s="346"/>
    </row>
    <row r="115" spans="2:13" hidden="1" x14ac:dyDescent="0.3">
      <c r="B115" s="24" t="s">
        <v>116</v>
      </c>
      <c r="C115" s="11" t="s">
        <v>605</v>
      </c>
      <c r="D115" s="12">
        <v>1</v>
      </c>
      <c r="E115" s="12">
        <v>0</v>
      </c>
      <c r="F115" s="12">
        <v>1</v>
      </c>
      <c r="G115" s="13">
        <f>+VLOOKUP(Tabla110345345445545647936425164748392101[[#This Row],[Ingrediente]],Tabla34[#All],3,0)</f>
        <v>2012.98701299</v>
      </c>
      <c r="H115" s="14">
        <f>+Tabla110345345445545647936425164748392101[[#This Row],[Costo]]*Tabla110345345445545647936425164748392101[[#This Row],[Columna2]]</f>
        <v>2012.98701299</v>
      </c>
      <c r="I115" s="4"/>
      <c r="J115" s="8" t="s">
        <v>15</v>
      </c>
      <c r="K115" s="15">
        <f>+K114/1.08*0.08</f>
        <v>5481.4814814814808</v>
      </c>
      <c r="M115" s="346"/>
    </row>
    <row r="116" spans="2:13" x14ac:dyDescent="0.3">
      <c r="B116" s="10" t="s">
        <v>674</v>
      </c>
      <c r="C116" s="11" t="s">
        <v>67</v>
      </c>
      <c r="D116" s="12">
        <v>59.999998900000001</v>
      </c>
      <c r="E116" s="12">
        <v>15</v>
      </c>
      <c r="F116" s="12">
        <v>70.588234</v>
      </c>
      <c r="G116" s="13">
        <f>+VLOOKUP(Tabla110345345445545647936425164748392101[[#This Row],[Ingrediente]],Tabla34[#All],3,0)</f>
        <v>4</v>
      </c>
      <c r="H116" s="14">
        <f>+Tabla110345345445545647936425164748392101[[#This Row],[Costo]]*Tabla110345345445545647936425164748392101[[#This Row],[Columna2]]</f>
        <v>282.352936</v>
      </c>
      <c r="I116" s="4"/>
      <c r="J116" s="8" t="s">
        <v>16</v>
      </c>
      <c r="K116" s="15">
        <f>+K114-K115</f>
        <v>68518.518518518526</v>
      </c>
      <c r="M116" s="346"/>
    </row>
    <row r="117" spans="2:13" x14ac:dyDescent="0.3">
      <c r="B117" s="10" t="s">
        <v>122</v>
      </c>
      <c r="C117" s="11" t="s">
        <v>67</v>
      </c>
      <c r="D117" s="12">
        <v>10</v>
      </c>
      <c r="E117" s="12">
        <v>0</v>
      </c>
      <c r="F117" s="12">
        <v>10</v>
      </c>
      <c r="G117" s="13">
        <f>+VLOOKUP(Tabla110345345445545647936425164748392101[[#This Row],[Ingrediente]],Tabla34[#All],3,0)</f>
        <v>20.160619029999999</v>
      </c>
      <c r="H117" s="14">
        <f>+Tabla110345345445545647936425164748392101[[#This Row],[Costo]]*Tabla110345345445545647936425164748392101[[#This Row],[Columna2]]</f>
        <v>201.60619029999998</v>
      </c>
      <c r="I117" s="4"/>
      <c r="J117" s="8" t="s">
        <v>17</v>
      </c>
      <c r="K117" s="22">
        <f>+K113/K116</f>
        <v>0.36022965232972864</v>
      </c>
      <c r="M117" s="377" t="s">
        <v>1377</v>
      </c>
    </row>
    <row r="118" spans="2:13" x14ac:dyDescent="0.3">
      <c r="B118" s="10" t="s">
        <v>42</v>
      </c>
      <c r="C118" s="11" t="s">
        <v>67</v>
      </c>
      <c r="D118" s="12">
        <v>10</v>
      </c>
      <c r="E118" s="12">
        <v>0</v>
      </c>
      <c r="F118" s="12">
        <v>10</v>
      </c>
      <c r="G118" s="13">
        <f>+VLOOKUP(Tabla110345345445545647936425164748392101[[#This Row],[Ingrediente]],Tabla34[#All],3,0)</f>
        <v>12.66172066</v>
      </c>
      <c r="H118" s="14">
        <f>+Tabla110345345445545647936425164748392101[[#This Row],[Costo]]*Tabla110345345445545647936425164748392101[[#This Row],[Columna2]]</f>
        <v>126.6172066</v>
      </c>
      <c r="I118" s="4"/>
      <c r="J118" s="8" t="s">
        <v>18</v>
      </c>
      <c r="K118" s="23">
        <f>+K116-K113</f>
        <v>43836.116414444521</v>
      </c>
      <c r="M118" s="346" t="s">
        <v>1639</v>
      </c>
    </row>
    <row r="119" spans="2:13" x14ac:dyDescent="0.3">
      <c r="B119" s="10" t="s">
        <v>37</v>
      </c>
      <c r="C119" s="11" t="s">
        <v>67</v>
      </c>
      <c r="D119" s="12">
        <v>4</v>
      </c>
      <c r="E119" s="12">
        <v>0</v>
      </c>
      <c r="F119" s="12">
        <v>4</v>
      </c>
      <c r="G119" s="13">
        <f>+VLOOKUP(Tabla110345345445545647936425164748392101[[#This Row],[Ingrediente]],Tabla34[#All],3,0)</f>
        <v>14.25783539</v>
      </c>
      <c r="H119" s="14">
        <f>+Tabla110345345445545647936425164748392101[[#This Row],[Costo]]*Tabla110345345445545647936425164748392101[[#This Row],[Columna2]]</f>
        <v>57.031341560000001</v>
      </c>
      <c r="I119" s="4"/>
      <c r="J119" s="8" t="s">
        <v>19</v>
      </c>
      <c r="K119" s="25">
        <f>+K118/K113</f>
        <v>1.7760068987454454</v>
      </c>
      <c r="M119" s="346" t="s">
        <v>1640</v>
      </c>
    </row>
    <row r="120" spans="2:13" x14ac:dyDescent="0.3">
      <c r="B120" s="10" t="s">
        <v>634</v>
      </c>
      <c r="C120" s="11" t="s">
        <v>67</v>
      </c>
      <c r="D120" s="12">
        <v>5</v>
      </c>
      <c r="E120" s="12">
        <v>0</v>
      </c>
      <c r="F120" s="12">
        <v>5</v>
      </c>
      <c r="G120" s="13">
        <f>+VLOOKUP(Tabla110345345445545647936425164748392101[[#This Row],[Ingrediente]],Tabla34[#All],3,0)</f>
        <v>8.9250000000000007</v>
      </c>
      <c r="H120" s="14">
        <f>+Tabla110345345445545647936425164748392101[[#This Row],[Costo]]*Tabla110345345445545647936425164748392101[[#This Row],[Columna2]]</f>
        <v>44.625</v>
      </c>
      <c r="I120" s="27"/>
      <c r="J120" s="4"/>
      <c r="K120" s="31"/>
      <c r="M120" s="346"/>
    </row>
    <row r="121" spans="2:13" x14ac:dyDescent="0.3">
      <c r="B121" s="10" t="s">
        <v>646</v>
      </c>
      <c r="C121" s="11" t="s">
        <v>67</v>
      </c>
      <c r="D121" s="12">
        <v>10</v>
      </c>
      <c r="E121" s="12">
        <v>0</v>
      </c>
      <c r="F121" s="12">
        <v>10</v>
      </c>
      <c r="G121" s="13">
        <f>+VLOOKUP(Tabla110345345445545647936425164748392101[[#This Row],[Ingrediente]],Tabla34[#All],3,0)</f>
        <v>22.5276</v>
      </c>
      <c r="H121" s="14">
        <f>+Tabla110345345445545647936425164748392101[[#This Row],[Costo]]*Tabla110345345445545647936425164748392101[[#This Row],[Columna2]]</f>
        <v>225.27600000000001</v>
      </c>
      <c r="J121" s="4"/>
      <c r="K121" s="31"/>
    </row>
    <row r="122" spans="2:13" x14ac:dyDescent="0.3">
      <c r="B122" s="16"/>
      <c r="C122" s="17"/>
      <c r="D122" s="17"/>
      <c r="E122" s="17"/>
      <c r="F122" s="17"/>
      <c r="G122" s="18"/>
      <c r="H122" s="18">
        <f>SUBTOTAL(109,Tabla110345345445545647936425164748392101[Total costo])</f>
        <v>22438.547367340001</v>
      </c>
      <c r="J122" s="4"/>
      <c r="K122" s="31"/>
    </row>
    <row r="123" spans="2:13" x14ac:dyDescent="0.3">
      <c r="H123" s="4"/>
      <c r="I123" s="31"/>
    </row>
    <row r="124" spans="2:13" ht="15.6" x14ac:dyDescent="0.3">
      <c r="B124" s="1" t="s">
        <v>77</v>
      </c>
      <c r="C124" s="2"/>
      <c r="D124" s="2"/>
      <c r="E124" s="3"/>
      <c r="F124" s="3"/>
      <c r="G124" s="3"/>
      <c r="H124" s="3"/>
      <c r="J124" s="399" t="s">
        <v>0</v>
      </c>
      <c r="K124" s="399"/>
      <c r="M124" s="377" t="s">
        <v>1394</v>
      </c>
    </row>
    <row r="125" spans="2:13" x14ac:dyDescent="0.3">
      <c r="B125" s="5" t="s">
        <v>1</v>
      </c>
      <c r="C125" s="6" t="s">
        <v>2</v>
      </c>
      <c r="D125" s="6" t="s">
        <v>3</v>
      </c>
      <c r="E125" s="6" t="s">
        <v>920</v>
      </c>
      <c r="F125" s="6" t="s">
        <v>319</v>
      </c>
      <c r="G125" s="7" t="s">
        <v>4</v>
      </c>
      <c r="H125" s="7" t="s">
        <v>5</v>
      </c>
      <c r="J125" s="8" t="s">
        <v>6</v>
      </c>
      <c r="K125" s="9">
        <f>+Tabla110345345445545647936435265758493102[[#Totals],[Total costo]]</f>
        <v>16580.291172339999</v>
      </c>
      <c r="M125" s="346" t="s">
        <v>1636</v>
      </c>
    </row>
    <row r="126" spans="2:13" x14ac:dyDescent="0.3">
      <c r="B126" s="10" t="s">
        <v>333</v>
      </c>
      <c r="C126" s="11" t="s">
        <v>847</v>
      </c>
      <c r="D126" s="12">
        <v>1</v>
      </c>
      <c r="E126" s="12">
        <v>0</v>
      </c>
      <c r="F126" s="12">
        <v>1</v>
      </c>
      <c r="G126" s="13">
        <f>+VLOOKUP(Tabla110345345445545647936435265758493102[[#This Row],[Ingrediente]],Tabla34[#All],3,0)</f>
        <v>13905.503857879999</v>
      </c>
      <c r="H126" s="14">
        <f>+Tabla110345345445545647936435265758493102[[#This Row],[Costo]]*Tabla110345345445545647936435265758493102[[#This Row],[Columna2]]</f>
        <v>13905.503857879999</v>
      </c>
      <c r="I126" s="4"/>
      <c r="J126" s="8" t="s">
        <v>12</v>
      </c>
      <c r="K126" s="15">
        <f>+K125*10%</f>
        <v>1658.0291172340001</v>
      </c>
      <c r="M126" s="346" t="s">
        <v>1641</v>
      </c>
    </row>
    <row r="127" spans="2:13" x14ac:dyDescent="0.3">
      <c r="B127" s="10" t="s">
        <v>182</v>
      </c>
      <c r="C127" s="11" t="s">
        <v>67</v>
      </c>
      <c r="D127" s="12">
        <v>150</v>
      </c>
      <c r="E127" s="12">
        <v>0</v>
      </c>
      <c r="F127" s="12">
        <v>150</v>
      </c>
      <c r="G127" s="13">
        <f>+VLOOKUP(Tabla110345345445545647936435265758493102[[#This Row],[Ingrediente]],Tabla34[#All],3,0)</f>
        <v>11.78</v>
      </c>
      <c r="H127" s="14">
        <f>+Tabla110345345445545647936435265758493102[[#This Row],[Costo]]*Tabla110345345445545647936435265758493102[[#This Row],[Columna2]]</f>
        <v>1767</v>
      </c>
      <c r="I127" s="4"/>
      <c r="J127" s="8" t="s">
        <v>13</v>
      </c>
      <c r="K127" s="15">
        <f>+K125+K126</f>
        <v>18238.320289574</v>
      </c>
      <c r="M127" s="346" t="s">
        <v>1642</v>
      </c>
    </row>
    <row r="128" spans="2:13" x14ac:dyDescent="0.3">
      <c r="B128" s="10" t="s">
        <v>674</v>
      </c>
      <c r="C128" s="11" t="s">
        <v>67</v>
      </c>
      <c r="D128" s="12">
        <v>59.999999299999999</v>
      </c>
      <c r="E128" s="12">
        <v>5</v>
      </c>
      <c r="F128" s="12">
        <v>63.157893999999999</v>
      </c>
      <c r="G128" s="13">
        <f>+VLOOKUP(Tabla110345345445545647936435265758493102[[#This Row],[Ingrediente]],Tabla34[#All],3,0)</f>
        <v>4</v>
      </c>
      <c r="H128" s="14">
        <f>+Tabla110345345445545647936435265758493102[[#This Row],[Costo]]*Tabla110345345445545647936435265758493102[[#This Row],[Columna2]]</f>
        <v>252.631576</v>
      </c>
      <c r="I128" s="4"/>
      <c r="J128" s="20" t="s">
        <v>14</v>
      </c>
      <c r="K128" s="21">
        <v>74000</v>
      </c>
      <c r="M128" s="346"/>
    </row>
    <row r="129" spans="2:13" x14ac:dyDescent="0.3">
      <c r="B129" s="10" t="s">
        <v>122</v>
      </c>
      <c r="C129" s="11" t="s">
        <v>67</v>
      </c>
      <c r="D129" s="12">
        <v>10</v>
      </c>
      <c r="E129" s="12">
        <v>0</v>
      </c>
      <c r="F129" s="12">
        <v>10</v>
      </c>
      <c r="G129" s="13">
        <f>+VLOOKUP(Tabla110345345445545647936435265758493102[[#This Row],[Ingrediente]],Tabla34[#All],3,0)</f>
        <v>20.160619029999999</v>
      </c>
      <c r="H129" s="14">
        <f>+Tabla110345345445545647936435265758493102[[#This Row],[Costo]]*Tabla110345345445545647936435265758493102[[#This Row],[Columna2]]</f>
        <v>201.60619029999998</v>
      </c>
      <c r="I129" s="4"/>
      <c r="J129" s="8" t="s">
        <v>15</v>
      </c>
      <c r="K129" s="15">
        <f>+K128/1.08*0.08</f>
        <v>5481.4814814814808</v>
      </c>
      <c r="M129" s="346"/>
    </row>
    <row r="130" spans="2:13" x14ac:dyDescent="0.3">
      <c r="B130" s="10" t="s">
        <v>646</v>
      </c>
      <c r="C130" s="11" t="s">
        <v>67</v>
      </c>
      <c r="D130" s="12">
        <v>10</v>
      </c>
      <c r="E130" s="12">
        <v>0</v>
      </c>
      <c r="F130" s="12">
        <v>10</v>
      </c>
      <c r="G130" s="13">
        <f>+VLOOKUP(Tabla110345345445545647936435265758493102[[#This Row],[Ingrediente]],Tabla34[#All],3,0)</f>
        <v>22.5276</v>
      </c>
      <c r="H130" s="14">
        <f>+Tabla110345345445545647936435265758493102[[#This Row],[Costo]]*Tabla110345345445545647936435265758493102[[#This Row],[Columna2]]</f>
        <v>225.27600000000001</v>
      </c>
      <c r="I130" s="4"/>
      <c r="J130" s="8" t="s">
        <v>16</v>
      </c>
      <c r="K130" s="15">
        <f>+K128-K129</f>
        <v>68518.518518518526</v>
      </c>
      <c r="M130" s="346"/>
    </row>
    <row r="131" spans="2:13" x14ac:dyDescent="0.3">
      <c r="B131" s="10" t="s">
        <v>42</v>
      </c>
      <c r="C131" s="11" t="s">
        <v>67</v>
      </c>
      <c r="D131" s="12">
        <v>10</v>
      </c>
      <c r="E131" s="12">
        <v>0</v>
      </c>
      <c r="F131" s="12">
        <v>10</v>
      </c>
      <c r="G131" s="13">
        <f>+VLOOKUP(Tabla110345345445545647936435265758493102[[#This Row],[Ingrediente]],Tabla34[#All],3,0)</f>
        <v>12.66172066</v>
      </c>
      <c r="H131" s="14">
        <f>+Tabla110345345445545647936435265758493102[[#This Row],[Costo]]*Tabla110345345445545647936435265758493102[[#This Row],[Columna2]]</f>
        <v>126.6172066</v>
      </c>
      <c r="I131" s="4"/>
      <c r="J131" s="8" t="s">
        <v>17</v>
      </c>
      <c r="K131" s="22">
        <f>+K127/K130</f>
        <v>0.26618089071270157</v>
      </c>
      <c r="M131" s="377" t="s">
        <v>1377</v>
      </c>
    </row>
    <row r="132" spans="2:13" x14ac:dyDescent="0.3">
      <c r="B132" s="10" t="s">
        <v>37</v>
      </c>
      <c r="C132" s="11" t="s">
        <v>67</v>
      </c>
      <c r="D132" s="12">
        <v>4</v>
      </c>
      <c r="E132" s="12">
        <v>0</v>
      </c>
      <c r="F132" s="12">
        <v>4</v>
      </c>
      <c r="G132" s="13">
        <f>+VLOOKUP(Tabla110345345445545647936435265758493102[[#This Row],[Ingrediente]],Tabla34[#All],3,0)</f>
        <v>14.25783539</v>
      </c>
      <c r="H132" s="14">
        <f>+Tabla110345345445545647936435265758493102[[#This Row],[Costo]]*Tabla110345345445545647936435265758493102[[#This Row],[Columna2]]</f>
        <v>57.031341560000001</v>
      </c>
      <c r="I132" s="4"/>
      <c r="J132" s="8" t="s">
        <v>18</v>
      </c>
      <c r="K132" s="23">
        <f>+K130-K127</f>
        <v>50280.19822894453</v>
      </c>
      <c r="M132" s="346" t="s">
        <v>1643</v>
      </c>
    </row>
    <row r="133" spans="2:13" x14ac:dyDescent="0.3">
      <c r="B133" s="10" t="s">
        <v>634</v>
      </c>
      <c r="C133" s="11" t="s">
        <v>67</v>
      </c>
      <c r="D133" s="12">
        <v>5</v>
      </c>
      <c r="E133" s="12">
        <v>0</v>
      </c>
      <c r="F133" s="12">
        <v>5</v>
      </c>
      <c r="G133" s="13">
        <f>+VLOOKUP(Tabla110345345445545647936435265758493102[[#This Row],[Ingrediente]],Tabla34[#All],3,0)</f>
        <v>8.9250000000000007</v>
      </c>
      <c r="H133" s="14">
        <f>+Tabla110345345445545647936435265758493102[[#This Row],[Costo]]*Tabla110345345445545647936435265758493102[[#This Row],[Columna2]]</f>
        <v>44.625</v>
      </c>
      <c r="I133" s="4"/>
      <c r="J133" s="8" t="s">
        <v>19</v>
      </c>
      <c r="K133" s="25">
        <f>+K132/K127</f>
        <v>2.7568436912300189</v>
      </c>
      <c r="M133" s="346" t="s">
        <v>1644</v>
      </c>
    </row>
    <row r="134" spans="2:13" x14ac:dyDescent="0.3">
      <c r="B134" s="16"/>
      <c r="C134" s="17"/>
      <c r="D134" s="17"/>
      <c r="E134" s="17"/>
      <c r="F134" s="17"/>
      <c r="G134" s="18"/>
      <c r="H134" s="18">
        <f>SUBTOTAL(109,Tabla110345345445545647936435265758493102[Total costo])</f>
        <v>16580.291172339999</v>
      </c>
      <c r="I134" s="4"/>
      <c r="J134" s="4"/>
      <c r="K134" s="31"/>
      <c r="M134" s="346"/>
    </row>
    <row r="135" spans="2:13" x14ac:dyDescent="0.3">
      <c r="G135" s="4"/>
      <c r="H135" s="4"/>
      <c r="I135" s="26"/>
    </row>
    <row r="136" spans="2:13" x14ac:dyDescent="0.3">
      <c r="G136" s="4"/>
      <c r="H136" s="4"/>
      <c r="I136" s="26"/>
    </row>
  </sheetData>
  <mergeCells count="8">
    <mergeCell ref="J110:K110"/>
    <mergeCell ref="J124:K124"/>
    <mergeCell ref="J6:K6"/>
    <mergeCell ref="J23:K23"/>
    <mergeCell ref="J35:K35"/>
    <mergeCell ref="J52:K52"/>
    <mergeCell ref="J69:K69"/>
    <mergeCell ref="J91:K91"/>
  </mergeCells>
  <phoneticPr fontId="16" type="noConversion"/>
  <conditionalFormatting sqref="K13">
    <cfRule type="cellIs" dxfId="2563" priority="21" operator="lessThan">
      <formula>0.3</formula>
    </cfRule>
    <cfRule type="cellIs" dxfId="2562" priority="22" operator="greaterThan">
      <formula>0.3</formula>
    </cfRule>
  </conditionalFormatting>
  <conditionalFormatting sqref="K30">
    <cfRule type="cellIs" dxfId="2561" priority="19" operator="lessThan">
      <formula>0.3</formula>
    </cfRule>
    <cfRule type="cellIs" dxfId="2560" priority="20" operator="greaterThan">
      <formula>0.3</formula>
    </cfRule>
  </conditionalFormatting>
  <conditionalFormatting sqref="K42">
    <cfRule type="cellIs" dxfId="2559" priority="17" operator="lessThan">
      <formula>0.3</formula>
    </cfRule>
    <cfRule type="cellIs" dxfId="2558" priority="18" operator="greaterThan">
      <formula>0.3</formula>
    </cfRule>
  </conditionalFormatting>
  <conditionalFormatting sqref="K59">
    <cfRule type="cellIs" dxfId="2557" priority="15" operator="lessThan">
      <formula>0.3</formula>
    </cfRule>
    <cfRule type="cellIs" dxfId="2556" priority="16" operator="greaterThan">
      <formula>0.3</formula>
    </cfRule>
  </conditionalFormatting>
  <conditionalFormatting sqref="K76">
    <cfRule type="cellIs" dxfId="2555" priority="13" operator="lessThan">
      <formula>0.3</formula>
    </cfRule>
    <cfRule type="cellIs" dxfId="2554" priority="14" operator="greaterThan">
      <formula>0.3</formula>
    </cfRule>
  </conditionalFormatting>
  <conditionalFormatting sqref="K98">
    <cfRule type="cellIs" dxfId="2553" priority="11" operator="lessThan">
      <formula>0.3</formula>
    </cfRule>
    <cfRule type="cellIs" dxfId="2552" priority="12" operator="greaterThan">
      <formula>0.3</formula>
    </cfRule>
  </conditionalFormatting>
  <conditionalFormatting sqref="K117">
    <cfRule type="cellIs" dxfId="2551" priority="9" operator="lessThan">
      <formula>0.3</formula>
    </cfRule>
    <cfRule type="cellIs" dxfId="2550" priority="10" operator="greaterThan">
      <formula>0.3</formula>
    </cfRule>
  </conditionalFormatting>
  <conditionalFormatting sqref="K131">
    <cfRule type="cellIs" dxfId="2549" priority="7" operator="lessThan">
      <formula>0.3</formula>
    </cfRule>
    <cfRule type="cellIs" dxfId="2548" priority="8" operator="greaterThan">
      <formula>0.3</formula>
    </cfRule>
  </conditionalFormatting>
  <pageMargins left="0.7" right="0.7" top="0.75" bottom="0.75" header="0.3" footer="0.3"/>
  <pageSetup orientation="portrait" horizontalDpi="360" verticalDpi="360" r:id="rId1"/>
  <drawing r:id="rId2"/>
  <tableParts count="24">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E566-AFEF-40FA-89FF-6BA63E9F7A73}">
  <dimension ref="B6:M32"/>
  <sheetViews>
    <sheetView showGridLines="0" topLeftCell="A28" workbookViewId="0">
      <selection activeCell="H43" sqref="H43"/>
    </sheetView>
  </sheetViews>
  <sheetFormatPr baseColWidth="10" defaultRowHeight="14.4" x14ac:dyDescent="0.3"/>
  <cols>
    <col min="1" max="1" width="4" customWidth="1"/>
    <col min="2" max="2" width="32" customWidth="1"/>
    <col min="4" max="8" width="10.77734375" customWidth="1"/>
    <col min="9" max="9" width="3.77734375" customWidth="1"/>
    <col min="10" max="10" width="27.21875" bestFit="1" customWidth="1"/>
  </cols>
  <sheetData>
    <row r="6" spans="2:13" ht="15.6" x14ac:dyDescent="0.3">
      <c r="B6" s="1" t="s">
        <v>68</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SUM(Tabla1103453454455456479455868[Total costo])</f>
        <v>9862.7807467000002</v>
      </c>
      <c r="M7" s="346" t="s">
        <v>1489</v>
      </c>
    </row>
    <row r="8" spans="2:13" x14ac:dyDescent="0.3">
      <c r="B8" s="24" t="s">
        <v>179</v>
      </c>
      <c r="C8" s="11" t="s">
        <v>67</v>
      </c>
      <c r="D8" s="12">
        <v>30</v>
      </c>
      <c r="E8" s="12">
        <v>0</v>
      </c>
      <c r="F8" s="12">
        <v>30</v>
      </c>
      <c r="G8" s="13">
        <f>+VLOOKUP(Tabla1103453454455456479455868[[#This Row],[Ingrediente]],Tabla34[#All],3,0)</f>
        <v>173.386</v>
      </c>
      <c r="H8" s="14">
        <f>+Tabla1103453454455456479455868[[#This Row],[Costo]]*Tabla1103453454455456479455868[[#This Row],[Cant.]]</f>
        <v>5201.58</v>
      </c>
      <c r="I8" s="4"/>
      <c r="J8" s="8" t="s">
        <v>12</v>
      </c>
      <c r="K8" s="15">
        <f>+K7*10%</f>
        <v>986.27807467000002</v>
      </c>
      <c r="M8" s="346" t="s">
        <v>1490</v>
      </c>
    </row>
    <row r="9" spans="2:13" x14ac:dyDescent="0.3">
      <c r="B9" s="10" t="s">
        <v>85</v>
      </c>
      <c r="C9" s="11" t="s">
        <v>67</v>
      </c>
      <c r="D9" s="12">
        <v>10</v>
      </c>
      <c r="E9" s="12">
        <v>0</v>
      </c>
      <c r="F9" s="12">
        <v>10</v>
      </c>
      <c r="G9" s="13">
        <f>+VLOOKUP(Tabla1103453454455456479455868[[#This Row],[Ingrediente]],Tabla34[#All],3,0)</f>
        <v>4.8816666700000004</v>
      </c>
      <c r="H9" s="14">
        <f>+Tabla1103453454455456479455868[[#This Row],[Costo]]*Tabla1103453454455456479455868[[#This Row],[Cant.]]</f>
        <v>48.816666700000006</v>
      </c>
      <c r="I9" s="4"/>
      <c r="J9" s="8" t="s">
        <v>13</v>
      </c>
      <c r="K9" s="15">
        <f>+K7+K8</f>
        <v>10849.058821369999</v>
      </c>
      <c r="M9" s="346" t="s">
        <v>1491</v>
      </c>
    </row>
    <row r="10" spans="2:13" x14ac:dyDescent="0.3">
      <c r="B10" s="10" t="s">
        <v>321</v>
      </c>
      <c r="C10" s="11" t="s">
        <v>67</v>
      </c>
      <c r="D10" s="12">
        <v>60</v>
      </c>
      <c r="E10" s="12">
        <v>0</v>
      </c>
      <c r="F10" s="12">
        <v>60</v>
      </c>
      <c r="G10" s="13">
        <f>+VLOOKUP(Tabla1103453454455456479455868[[#This Row],[Ingrediente]],Tabla34[#All],3,0)</f>
        <v>12</v>
      </c>
      <c r="H10" s="14">
        <f>+Tabla1103453454455456479455868[[#This Row],[Costo]]*Tabla1103453454455456479455868[[#This Row],[Cant.]]</f>
        <v>720</v>
      </c>
      <c r="I10" s="4"/>
      <c r="J10" s="20" t="s">
        <v>14</v>
      </c>
      <c r="K10" s="21">
        <v>34000</v>
      </c>
      <c r="M10" s="346" t="s">
        <v>1492</v>
      </c>
    </row>
    <row r="11" spans="2:13" x14ac:dyDescent="0.3">
      <c r="B11" s="10" t="s">
        <v>451</v>
      </c>
      <c r="C11" s="11" t="s">
        <v>67</v>
      </c>
      <c r="D11" s="12">
        <v>15</v>
      </c>
      <c r="E11" s="12">
        <v>0</v>
      </c>
      <c r="F11" s="12">
        <v>15</v>
      </c>
      <c r="G11" s="13">
        <f>+VLOOKUP(Tabla1103453454455456479455868[[#This Row],[Ingrediente]],Tabla34[#All],3,0)</f>
        <v>60.987499999999997</v>
      </c>
      <c r="H11" s="14">
        <f>+Tabla1103453454455456479455868[[#This Row],[Costo]]*Tabla1103453454455456479455868[[#This Row],[Cant.]]</f>
        <v>914.8125</v>
      </c>
      <c r="I11" s="4"/>
      <c r="J11" s="8" t="s">
        <v>15</v>
      </c>
      <c r="K11" s="15">
        <f>+K10/1.08*0.08</f>
        <v>2518.5185185185182</v>
      </c>
      <c r="M11" s="346"/>
    </row>
    <row r="12" spans="2:13" x14ac:dyDescent="0.3">
      <c r="B12" s="10" t="s">
        <v>143</v>
      </c>
      <c r="C12" s="11" t="s">
        <v>67</v>
      </c>
      <c r="D12" s="12">
        <v>35</v>
      </c>
      <c r="E12" s="12">
        <v>0</v>
      </c>
      <c r="F12" s="12">
        <v>35</v>
      </c>
      <c r="G12" s="13">
        <f>+VLOOKUP(Tabla1103453454455456479455868[[#This Row],[Ingrediente]],Tabla34[#All],3,0)</f>
        <v>6.3326451500000003</v>
      </c>
      <c r="H12" s="14">
        <f>+Tabla1103453454455456479455868[[#This Row],[Costo]]*Tabla1103453454455456479455868[[#This Row],[Cant.]]</f>
        <v>221.64258025000001</v>
      </c>
      <c r="I12" s="4"/>
      <c r="J12" s="8" t="s">
        <v>16</v>
      </c>
      <c r="K12" s="15">
        <f>+K10-K11</f>
        <v>31481.481481481482</v>
      </c>
      <c r="M12" s="377" t="s">
        <v>1377</v>
      </c>
    </row>
    <row r="13" spans="2:13" x14ac:dyDescent="0.3">
      <c r="B13" s="10" t="s">
        <v>130</v>
      </c>
      <c r="C13" s="11" t="s">
        <v>67</v>
      </c>
      <c r="D13" s="12">
        <v>50</v>
      </c>
      <c r="E13" s="12">
        <v>0</v>
      </c>
      <c r="F13" s="12">
        <v>50</v>
      </c>
      <c r="G13" s="13">
        <f>+VLOOKUP(Tabla1103453454455456479455868[[#This Row],[Ingrediente]],Tabla34[#All],3,0)</f>
        <v>20.152086659999998</v>
      </c>
      <c r="H13" s="14">
        <f>+Tabla1103453454455456479455868[[#This Row],[Costo]]*Tabla1103453454455456479455868[[#This Row],[Cant.]]</f>
        <v>1007.6043329999999</v>
      </c>
      <c r="I13" s="4"/>
      <c r="J13" s="8" t="s">
        <v>17</v>
      </c>
      <c r="K13" s="22">
        <f>+K9/K12</f>
        <v>0.3446171625611647</v>
      </c>
      <c r="M13" s="346" t="s">
        <v>1493</v>
      </c>
    </row>
    <row r="14" spans="2:13" x14ac:dyDescent="0.3">
      <c r="B14" s="10" t="s">
        <v>708</v>
      </c>
      <c r="C14" s="11" t="s">
        <v>67</v>
      </c>
      <c r="D14" s="12">
        <v>10</v>
      </c>
      <c r="E14" s="12">
        <v>5</v>
      </c>
      <c r="F14" s="12">
        <v>10.526</v>
      </c>
      <c r="G14" s="13">
        <f>+VLOOKUP(Tabla1103453454455456479455868[[#This Row],[Ingrediente]],Tabla34[#All],3,0)</f>
        <v>11</v>
      </c>
      <c r="H14" s="14">
        <f>+Tabla1103453454455456479455868[[#This Row],[Costo]]*Tabla1103453454455456479455868[[#This Row],[Cant.]]</f>
        <v>110</v>
      </c>
      <c r="I14" s="4"/>
      <c r="J14" s="8" t="s">
        <v>18</v>
      </c>
      <c r="K14" s="23">
        <f>+K12-K9</f>
        <v>20632.422660111482</v>
      </c>
      <c r="M14" s="346" t="s">
        <v>1494</v>
      </c>
    </row>
    <row r="15" spans="2:13" x14ac:dyDescent="0.3">
      <c r="B15" s="10" t="s">
        <v>745</v>
      </c>
      <c r="C15" s="11" t="s">
        <v>67</v>
      </c>
      <c r="D15" s="12">
        <v>10</v>
      </c>
      <c r="E15" s="12">
        <v>5</v>
      </c>
      <c r="F15" s="12">
        <v>10.526</v>
      </c>
      <c r="G15" s="13">
        <f>+VLOOKUP(Tabla1103453454455456479455868[[#This Row],[Ingrediente]],Tabla34[#All],3,0)</f>
        <v>37.5</v>
      </c>
      <c r="H15" s="14">
        <f>+Tabla1103453454455456479455868[[#This Row],[Costo]]*Tabla1103453454455456479455868[[#This Row],[Cant.]]</f>
        <v>375</v>
      </c>
      <c r="I15" s="4"/>
      <c r="J15" s="8" t="s">
        <v>19</v>
      </c>
      <c r="K15" s="25">
        <f>+K14/K9</f>
        <v>1.901770743418834</v>
      </c>
    </row>
    <row r="16" spans="2:13" x14ac:dyDescent="0.3">
      <c r="B16" s="10" t="s">
        <v>1254</v>
      </c>
      <c r="C16" s="11" t="s">
        <v>67</v>
      </c>
      <c r="D16" s="12">
        <v>25</v>
      </c>
      <c r="E16" s="12">
        <v>0</v>
      </c>
      <c r="F16" s="12">
        <v>25</v>
      </c>
      <c r="G16" s="13">
        <f>+VLOOKUP(Tabla1103453454455456479455868[[#This Row],[Ingrediente]],Tabla34[#All],3,0)</f>
        <v>50.53298667</v>
      </c>
      <c r="H16" s="14">
        <f>+Tabla1103453454455456479455868[[#This Row],[Costo]]*Tabla1103453454455456479455868[[#This Row],[Cant.]]</f>
        <v>1263.32466675</v>
      </c>
      <c r="I16" s="4"/>
      <c r="J16" s="4"/>
      <c r="K16" s="31"/>
    </row>
    <row r="17" spans="2:13" x14ac:dyDescent="0.3">
      <c r="B17" s="16"/>
      <c r="C17" s="17"/>
      <c r="D17" s="17"/>
      <c r="E17" s="17"/>
      <c r="F17" s="17"/>
      <c r="G17" s="18"/>
      <c r="H17" s="18">
        <f>SUBTOTAL(109,Tabla1103453454455456479455868[Total costo])</f>
        <v>9862.7807467000002</v>
      </c>
    </row>
    <row r="18" spans="2:13" x14ac:dyDescent="0.3">
      <c r="B18" s="222"/>
      <c r="C18" s="223"/>
      <c r="D18" s="223"/>
      <c r="E18" s="223"/>
      <c r="F18" s="223"/>
      <c r="G18" s="224"/>
      <c r="H18" s="224"/>
    </row>
    <row r="20" spans="2:13" x14ac:dyDescent="0.3">
      <c r="B20" s="1" t="s">
        <v>69</v>
      </c>
      <c r="C20" s="2"/>
      <c r="D20" s="2"/>
      <c r="E20" s="3"/>
      <c r="F20" s="3"/>
      <c r="G20" s="3"/>
      <c r="H20" s="3"/>
    </row>
    <row r="21" spans="2:13" ht="15.6" x14ac:dyDescent="0.3">
      <c r="B21" s="5" t="s">
        <v>1</v>
      </c>
      <c r="C21" s="6" t="s">
        <v>2</v>
      </c>
      <c r="D21" s="6" t="s">
        <v>3</v>
      </c>
      <c r="E21" s="6" t="s">
        <v>920</v>
      </c>
      <c r="F21" s="6" t="s">
        <v>319</v>
      </c>
      <c r="G21" s="7" t="s">
        <v>4</v>
      </c>
      <c r="H21" s="7" t="s">
        <v>5</v>
      </c>
      <c r="I21" s="4"/>
      <c r="J21" s="399" t="s">
        <v>0</v>
      </c>
      <c r="K21" s="399"/>
      <c r="M21" s="377" t="s">
        <v>1394</v>
      </c>
    </row>
    <row r="22" spans="2:13" x14ac:dyDescent="0.3">
      <c r="B22" s="10" t="s">
        <v>321</v>
      </c>
      <c r="C22" s="11" t="s">
        <v>67</v>
      </c>
      <c r="D22" s="12">
        <v>60</v>
      </c>
      <c r="E22" s="12">
        <v>0</v>
      </c>
      <c r="F22" s="12">
        <v>60</v>
      </c>
      <c r="G22" s="13">
        <f>+VLOOKUP(Tabla110345345445545647936465969[[#This Row],[Ingrediente]],Tabla34[#All],3,0)</f>
        <v>12</v>
      </c>
      <c r="H22" s="14">
        <f>+Tabla110345345445545647936465969[[#This Row],[Costo]]*Tabla110345345445545647936465969[[#This Row],[Columna2]]</f>
        <v>720</v>
      </c>
      <c r="I22" s="4"/>
      <c r="J22" s="8" t="s">
        <v>6</v>
      </c>
      <c r="K22" s="9">
        <f>SUM(Tabla110345345445545647936465969[Total costo])</f>
        <v>7082.0492250000007</v>
      </c>
      <c r="M22" s="346"/>
    </row>
    <row r="23" spans="2:13" x14ac:dyDescent="0.3">
      <c r="B23" s="10" t="s">
        <v>624</v>
      </c>
      <c r="C23" s="11" t="s">
        <v>67</v>
      </c>
      <c r="D23" s="12">
        <v>90</v>
      </c>
      <c r="E23" s="12">
        <v>0</v>
      </c>
      <c r="F23" s="12">
        <v>90</v>
      </c>
      <c r="G23" s="13">
        <f>+VLOOKUP(Tabla110345345445545647936465969[[#This Row],[Ingrediente]],Tabla34[#All],3,0)</f>
        <v>32.29</v>
      </c>
      <c r="H23" s="14">
        <f>+Tabla110345345445545647936465969[[#This Row],[Costo]]*Tabla110345345445545647936465969[[#This Row],[Columna2]]</f>
        <v>2906.1</v>
      </c>
      <c r="I23" s="4"/>
      <c r="J23" s="8" t="s">
        <v>12</v>
      </c>
      <c r="K23" s="15">
        <f>+K22*10%</f>
        <v>708.20492250000007</v>
      </c>
      <c r="M23" s="346"/>
    </row>
    <row r="24" spans="2:13" x14ac:dyDescent="0.3">
      <c r="B24" s="10" t="s">
        <v>832</v>
      </c>
      <c r="C24" s="11" t="s">
        <v>67</v>
      </c>
      <c r="D24" s="12">
        <v>150.0000038</v>
      </c>
      <c r="E24" s="12">
        <v>38</v>
      </c>
      <c r="F24" s="12">
        <v>241.93548999999999</v>
      </c>
      <c r="G24" s="13">
        <f>+VLOOKUP(Tabla110345345445545647936465969[[#This Row],[Ingrediente]],Tabla34[#All],3,0)</f>
        <v>4.8</v>
      </c>
      <c r="H24" s="14">
        <f>+Tabla110345345445545647936465969[[#This Row],[Costo]]*Tabla110345345445545647936465969[[#This Row],[Columna2]]</f>
        <v>1161.290352</v>
      </c>
      <c r="I24" s="4"/>
      <c r="J24" s="8" t="s">
        <v>13</v>
      </c>
      <c r="K24" s="15">
        <f>+K22+K23</f>
        <v>7790.2541475000007</v>
      </c>
      <c r="M24" s="346"/>
    </row>
    <row r="25" spans="2:13" x14ac:dyDescent="0.3">
      <c r="B25" s="10" t="s">
        <v>798</v>
      </c>
      <c r="C25" s="11" t="s">
        <v>67</v>
      </c>
      <c r="D25" s="12">
        <v>50</v>
      </c>
      <c r="E25" s="12">
        <v>75</v>
      </c>
      <c r="F25" s="12">
        <v>200</v>
      </c>
      <c r="G25" s="13">
        <f>+VLOOKUP(Tabla110345345445545647936465969[[#This Row],[Ingrediente]],Tabla34[#All],3,0)</f>
        <v>4.5</v>
      </c>
      <c r="H25" s="14">
        <f>+Tabla110345345445545647936465969[[#This Row],[Costo]]*Tabla110345345445545647936465969[[#This Row],[Columna2]]</f>
        <v>900</v>
      </c>
      <c r="I25" s="4"/>
      <c r="J25" s="20" t="s">
        <v>14</v>
      </c>
      <c r="K25" s="21">
        <v>32000</v>
      </c>
      <c r="M25" s="346"/>
    </row>
    <row r="26" spans="2:13" x14ac:dyDescent="0.3">
      <c r="B26" s="10" t="s">
        <v>147</v>
      </c>
      <c r="C26" s="11" t="s">
        <v>67</v>
      </c>
      <c r="D26" s="12">
        <v>50</v>
      </c>
      <c r="E26" s="12">
        <v>0</v>
      </c>
      <c r="F26" s="12">
        <v>50</v>
      </c>
      <c r="G26" s="13">
        <f>+VLOOKUP(Tabla110345345445545647936465969[[#This Row],[Ingrediente]],Tabla34[#All],3,0)</f>
        <v>13.41970912</v>
      </c>
      <c r="H26" s="14">
        <f>+Tabla110345345445545647936465969[[#This Row],[Costo]]*Tabla110345345445545647936465969[[#This Row],[Columna2]]</f>
        <v>670.985456</v>
      </c>
      <c r="I26" s="4"/>
      <c r="J26" s="8" t="s">
        <v>15</v>
      </c>
      <c r="K26" s="15">
        <f>+K25/1.08*0.08</f>
        <v>2370.3703703703704</v>
      </c>
      <c r="M26" s="346"/>
    </row>
    <row r="27" spans="2:13" x14ac:dyDescent="0.3">
      <c r="B27" s="10" t="s">
        <v>86</v>
      </c>
      <c r="C27" s="11" t="s">
        <v>67</v>
      </c>
      <c r="D27" s="12">
        <v>10</v>
      </c>
      <c r="E27" s="12">
        <v>0</v>
      </c>
      <c r="F27" s="12">
        <v>10</v>
      </c>
      <c r="G27" s="13">
        <f>+VLOOKUP(Tabla110345345445545647936465969[[#This Row],[Ingrediente]],Tabla34[#All],3,0)</f>
        <v>37.630499999999998</v>
      </c>
      <c r="H27" s="14">
        <f>+Tabla110345345445545647936465969[[#This Row],[Costo]]*Tabla110345345445545647936465969[[#This Row],[Columna2]]</f>
        <v>376.30499999999995</v>
      </c>
      <c r="I27" s="4"/>
      <c r="J27" s="8" t="s">
        <v>16</v>
      </c>
      <c r="K27" s="15">
        <f>+K25-K26</f>
        <v>29629.629629629628</v>
      </c>
      <c r="M27" s="377" t="s">
        <v>1377</v>
      </c>
    </row>
    <row r="28" spans="2:13" x14ac:dyDescent="0.3">
      <c r="B28" s="10" t="s">
        <v>708</v>
      </c>
      <c r="C28" s="11" t="s">
        <v>67</v>
      </c>
      <c r="D28" s="12">
        <v>29.999999649999999</v>
      </c>
      <c r="E28" s="12">
        <v>5</v>
      </c>
      <c r="F28" s="12">
        <v>31.578946999999999</v>
      </c>
      <c r="G28" s="13">
        <f>+VLOOKUP(Tabla110345345445545647936465969[[#This Row],[Ingrediente]],Tabla34[#All],3,0)</f>
        <v>11</v>
      </c>
      <c r="H28" s="14">
        <f>+Tabla110345345445545647936465969[[#This Row],[Costo]]*Tabla110345345445545647936465969[[#This Row],[Columna2]]</f>
        <v>347.36841700000002</v>
      </c>
      <c r="I28" s="4"/>
      <c r="J28" s="8" t="s">
        <v>17</v>
      </c>
      <c r="K28" s="22">
        <f>+K24/K27</f>
        <v>0.26292107747812504</v>
      </c>
      <c r="M28" s="346"/>
    </row>
    <row r="29" spans="2:13" x14ac:dyDescent="0.3">
      <c r="B29" s="16"/>
      <c r="C29" s="17"/>
      <c r="D29" s="17"/>
      <c r="E29" s="17"/>
      <c r="F29" s="17"/>
      <c r="G29" s="18"/>
      <c r="H29" s="18">
        <f>SUBTOTAL(109,Tabla110345345445545647936465969[Total costo])</f>
        <v>7082.0492250000007</v>
      </c>
      <c r="I29" s="4"/>
      <c r="J29" s="8" t="s">
        <v>18</v>
      </c>
      <c r="K29" s="23">
        <f>+K27-K24</f>
        <v>21839.375482129628</v>
      </c>
      <c r="M29" s="346"/>
    </row>
    <row r="30" spans="2:13" x14ac:dyDescent="0.3">
      <c r="G30" s="4"/>
      <c r="H30" s="4"/>
      <c r="I30" s="4"/>
      <c r="J30" s="8" t="s">
        <v>19</v>
      </c>
      <c r="K30" s="25">
        <f>+K29/K24</f>
        <v>2.8034227213419194</v>
      </c>
    </row>
    <row r="31" spans="2:13" x14ac:dyDescent="0.3">
      <c r="G31" s="27"/>
      <c r="H31" s="27"/>
      <c r="I31" s="26"/>
    </row>
    <row r="32" spans="2:13" x14ac:dyDescent="0.3">
      <c r="I32" s="27"/>
    </row>
  </sheetData>
  <mergeCells count="2">
    <mergeCell ref="J6:K6"/>
    <mergeCell ref="J21:K21"/>
  </mergeCells>
  <phoneticPr fontId="16" type="noConversion"/>
  <conditionalFormatting sqref="K13">
    <cfRule type="cellIs" dxfId="2547" priority="17" operator="lessThan">
      <formula>0.3</formula>
    </cfRule>
    <cfRule type="cellIs" dxfId="2546" priority="18" operator="greaterThan">
      <formula>0.3</formula>
    </cfRule>
  </conditionalFormatting>
  <conditionalFormatting sqref="K28">
    <cfRule type="cellIs" dxfId="2545" priority="15" operator="lessThan">
      <formula>0.3</formula>
    </cfRule>
    <cfRule type="cellIs" dxfId="2544" priority="16" operator="greaterThan">
      <formula>0.3</formula>
    </cfRule>
  </conditionalFormatting>
  <pageMargins left="0.7" right="0.7" top="0.75" bottom="0.75" header="0.3" footer="0.3"/>
  <pageSetup orientation="portrait" horizontalDpi="360" verticalDpi="360" r:id="rId1"/>
  <drawing r:id="rId2"/>
  <tableParts count="6">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DD09D-2CB0-4D8E-A82A-1400533A7E4E}">
  <dimension ref="A6:P147"/>
  <sheetViews>
    <sheetView showGridLines="0" topLeftCell="A60" zoomScale="85" zoomScaleNormal="85" workbookViewId="0">
      <selection activeCell="K139" sqref="K139"/>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21875" bestFit="1" customWidth="1"/>
  </cols>
  <sheetData>
    <row r="6" spans="2:13" ht="15.6" x14ac:dyDescent="0.3">
      <c r="B6" s="1" t="s">
        <v>1316</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SUM(Tabla110345345445545647945586877[Total costo])</f>
        <v>16771.57438555</v>
      </c>
      <c r="M7" s="346" t="s">
        <v>1495</v>
      </c>
    </row>
    <row r="8" spans="2:13" x14ac:dyDescent="0.3">
      <c r="B8" s="10" t="s">
        <v>837</v>
      </c>
      <c r="C8" s="11" t="s">
        <v>847</v>
      </c>
      <c r="D8" s="12">
        <v>7</v>
      </c>
      <c r="E8" s="12">
        <v>0</v>
      </c>
      <c r="F8" s="12">
        <v>7</v>
      </c>
      <c r="G8" s="13">
        <f>+VLOOKUP(Tabla110345345445545647945586877[[#This Row],[Ingrediente]],Tabla34[#All],3,0)</f>
        <v>514.28</v>
      </c>
      <c r="H8" s="14">
        <f>+Tabla110345345445545647945586877[[#This Row],[Costo]]*Tabla110345345445545647945586877[[#This Row],[Columna2]]</f>
        <v>3599.96</v>
      </c>
      <c r="I8" s="4"/>
      <c r="J8" s="8" t="s">
        <v>12</v>
      </c>
      <c r="K8" s="15">
        <f>+K7*10%</f>
        <v>1677.1574385550002</v>
      </c>
      <c r="M8" s="346" t="s">
        <v>1496</v>
      </c>
    </row>
    <row r="9" spans="2:13" x14ac:dyDescent="0.3">
      <c r="B9" s="10" t="s">
        <v>138</v>
      </c>
      <c r="C9" s="11" t="s">
        <v>67</v>
      </c>
      <c r="D9" s="12">
        <v>120</v>
      </c>
      <c r="E9" s="12">
        <v>0</v>
      </c>
      <c r="F9" s="12">
        <v>120</v>
      </c>
      <c r="G9" s="13">
        <f>+VLOOKUP(Tabla110345345445545647945586877[[#This Row],[Ingrediente]],Tabla34[#All],3,0)</f>
        <v>14.714642169999999</v>
      </c>
      <c r="H9" s="14">
        <f>+Tabla110345345445545647945586877[[#This Row],[Costo]]*Tabla110345345445545647945586877[[#This Row],[Columna2]]</f>
        <v>1765.7570604</v>
      </c>
      <c r="I9" s="4"/>
      <c r="J9" s="8" t="s">
        <v>13</v>
      </c>
      <c r="K9" s="15">
        <f>+K7+K8</f>
        <v>18448.731824105002</v>
      </c>
      <c r="M9" s="346" t="s">
        <v>1497</v>
      </c>
    </row>
    <row r="10" spans="2:13" x14ac:dyDescent="0.3">
      <c r="B10" s="10" t="s">
        <v>831</v>
      </c>
      <c r="C10" s="11" t="s">
        <v>847</v>
      </c>
      <c r="D10" s="12">
        <v>1</v>
      </c>
      <c r="E10" s="12">
        <v>0</v>
      </c>
      <c r="F10" s="12">
        <v>1</v>
      </c>
      <c r="G10" s="13">
        <f>+VLOOKUP(Tabla110345345445545647945586877[[#This Row],[Ingrediente]],Tabla34[#All],3,0)</f>
        <v>1600</v>
      </c>
      <c r="H10" s="14">
        <f>+Tabla110345345445545647945586877[[#This Row],[Costo]]*Tabla110345345445545647945586877[[#This Row],[Columna2]]</f>
        <v>1600</v>
      </c>
      <c r="I10" s="4"/>
      <c r="J10" s="20" t="s">
        <v>14</v>
      </c>
      <c r="K10" s="21">
        <v>59000</v>
      </c>
    </row>
    <row r="11" spans="2:13" x14ac:dyDescent="0.3">
      <c r="B11" s="10" t="s">
        <v>451</v>
      </c>
      <c r="C11" s="11" t="s">
        <v>67</v>
      </c>
      <c r="D11" s="12">
        <v>20</v>
      </c>
      <c r="E11" s="12">
        <v>0</v>
      </c>
      <c r="F11" s="12">
        <v>20</v>
      </c>
      <c r="G11" s="13">
        <f>+VLOOKUP(Tabla110345345445545647945586877[[#This Row],[Ingrediente]],Tabla34[#All],3,0)</f>
        <v>60.987499999999997</v>
      </c>
      <c r="H11" s="14">
        <f>+Tabla110345345445545647945586877[[#This Row],[Costo]]*Tabla110345345445545647945586877[[#This Row],[Columna2]]</f>
        <v>1219.75</v>
      </c>
      <c r="I11" s="4"/>
      <c r="J11" s="8" t="s">
        <v>15</v>
      </c>
      <c r="K11" s="15">
        <f>+K10/1.08*0.08</f>
        <v>4370.3703703703704</v>
      </c>
      <c r="M11" s="377" t="s">
        <v>1377</v>
      </c>
    </row>
    <row r="12" spans="2:13" x14ac:dyDescent="0.3">
      <c r="B12" s="10" t="s">
        <v>633</v>
      </c>
      <c r="C12" s="11" t="s">
        <v>67</v>
      </c>
      <c r="D12" s="12">
        <v>29.999999649999999</v>
      </c>
      <c r="E12" s="12">
        <v>5</v>
      </c>
      <c r="F12" s="12">
        <v>31.578946999999999</v>
      </c>
      <c r="G12" s="13">
        <f>+VLOOKUP(Tabla110345345445545647945586877[[#This Row],[Ingrediente]],Tabla34[#All],3,0)</f>
        <v>27</v>
      </c>
      <c r="H12" s="14">
        <f>+Tabla110345345445545647945586877[[#This Row],[Costo]]*Tabla110345345445545647945586877[[#This Row],[Columna2]]</f>
        <v>852.63156900000001</v>
      </c>
      <c r="I12" s="4"/>
      <c r="J12" s="8" t="s">
        <v>16</v>
      </c>
      <c r="K12" s="15">
        <f>+K10-K11</f>
        <v>54629.629629629628</v>
      </c>
      <c r="M12" s="346" t="s">
        <v>1498</v>
      </c>
    </row>
    <row r="13" spans="2:13" x14ac:dyDescent="0.3">
      <c r="B13" s="10" t="s">
        <v>114</v>
      </c>
      <c r="C13" s="11" t="s">
        <v>847</v>
      </c>
      <c r="D13" s="12">
        <v>2</v>
      </c>
      <c r="E13" s="12">
        <v>0</v>
      </c>
      <c r="F13" s="12">
        <v>2</v>
      </c>
      <c r="G13" s="13">
        <f>+VLOOKUP(Tabla110345345445545647945586877[[#This Row],[Ingrediente]],Tabla34[#All],3,0)</f>
        <v>436</v>
      </c>
      <c r="H13" s="14">
        <f>+Tabla110345345445545647945586877[[#This Row],[Costo]]*Tabla110345345445545647945586877[[#This Row],[Columna2]]</f>
        <v>872</v>
      </c>
      <c r="I13" s="4"/>
      <c r="J13" s="8" t="s">
        <v>17</v>
      </c>
      <c r="K13" s="22">
        <f>+K9/K12</f>
        <v>0.33770559949209156</v>
      </c>
      <c r="M13" s="346" t="s">
        <v>1499</v>
      </c>
    </row>
    <row r="14" spans="2:13" x14ac:dyDescent="0.3">
      <c r="B14" s="24" t="s">
        <v>174</v>
      </c>
      <c r="C14" s="11" t="s">
        <v>67</v>
      </c>
      <c r="D14" s="12">
        <v>5</v>
      </c>
      <c r="E14" s="12">
        <v>0</v>
      </c>
      <c r="F14" s="12">
        <v>5</v>
      </c>
      <c r="G14" s="13">
        <f>+VLOOKUP(Tabla110345345445545647945586877[[#This Row],[Ingrediente]],Tabla34[#All],3,0)</f>
        <v>84.475308639999994</v>
      </c>
      <c r="H14" s="14">
        <f>+Tabla110345345445545647945586877[[#This Row],[Costo]]*Tabla110345345445545647945586877[[#This Row],[Columna2]]</f>
        <v>422.37654319999996</v>
      </c>
      <c r="I14" s="4"/>
      <c r="J14" s="8" t="s">
        <v>18</v>
      </c>
      <c r="K14" s="23">
        <f>+K12-K9</f>
        <v>36180.897805524626</v>
      </c>
      <c r="M14" s="346" t="s">
        <v>1500</v>
      </c>
    </row>
    <row r="15" spans="2:13" x14ac:dyDescent="0.3">
      <c r="B15" s="24" t="s">
        <v>828</v>
      </c>
      <c r="C15" s="11" t="s">
        <v>67</v>
      </c>
      <c r="D15" s="12">
        <v>15.000000200000001</v>
      </c>
      <c r="E15" s="12">
        <v>33</v>
      </c>
      <c r="F15" s="12">
        <v>22.388059999999999</v>
      </c>
      <c r="G15" s="13">
        <f>+VLOOKUP(Tabla110345345445545647945586877[[#This Row],[Ingrediente]],Tabla34[#All],3,0)</f>
        <v>9.8000000000000007</v>
      </c>
      <c r="H15" s="14">
        <f>+Tabla110345345445545647945586877[[#This Row],[Costo]]*Tabla110345345445545647945586877[[#This Row],[Columna2]]</f>
        <v>219.40298800000002</v>
      </c>
      <c r="I15" s="4"/>
      <c r="J15" s="8" t="s">
        <v>19</v>
      </c>
      <c r="K15" s="25">
        <f>+K14/K9</f>
        <v>1.9611590731808939</v>
      </c>
    </row>
    <row r="16" spans="2:13" x14ac:dyDescent="0.3">
      <c r="B16" s="24" t="s">
        <v>824</v>
      </c>
      <c r="C16" s="11" t="s">
        <v>67</v>
      </c>
      <c r="D16" s="12">
        <v>9.9999999000000006</v>
      </c>
      <c r="E16" s="12">
        <v>10</v>
      </c>
      <c r="F16" s="12">
        <v>11.111110999999999</v>
      </c>
      <c r="G16" s="13">
        <f>+VLOOKUP(Tabla110345345445545647945586877[[#This Row],[Ingrediente]],Tabla34[#All],3,0)</f>
        <v>19</v>
      </c>
      <c r="H16" s="14">
        <f>+Tabla110345345445545647945586877[[#This Row],[Costo]]*Tabla110345345445545647945586877[[#This Row],[Columna2]]</f>
        <v>211.111109</v>
      </c>
      <c r="I16" s="4"/>
      <c r="J16" s="4"/>
      <c r="K16" s="31"/>
    </row>
    <row r="17" spans="2:13" x14ac:dyDescent="0.3">
      <c r="B17" s="24" t="s">
        <v>321</v>
      </c>
      <c r="C17" s="11" t="s">
        <v>67</v>
      </c>
      <c r="D17" s="12">
        <v>2</v>
      </c>
      <c r="E17" s="12">
        <v>0</v>
      </c>
      <c r="F17" s="12">
        <v>2</v>
      </c>
      <c r="G17" s="13">
        <f>+VLOOKUP(Tabla110345345445545647945586877[[#This Row],[Ingrediente]],Tabla34[#All],3,0)</f>
        <v>12</v>
      </c>
      <c r="H17" s="14">
        <f>+Tabla110345345445545647945586877[[#This Row],[Costo]]*Tabla110345345445545647945586877[[#This Row],[Columna2]]</f>
        <v>24</v>
      </c>
      <c r="I17" s="4"/>
      <c r="J17" s="4"/>
      <c r="K17" s="31"/>
    </row>
    <row r="18" spans="2:13" x14ac:dyDescent="0.3">
      <c r="B18" s="24" t="s">
        <v>687</v>
      </c>
      <c r="C18" s="11" t="s">
        <v>67</v>
      </c>
      <c r="D18" s="12">
        <v>29.999998909999999</v>
      </c>
      <c r="E18" s="12">
        <v>17</v>
      </c>
      <c r="F18" s="12">
        <v>36.144576999999998</v>
      </c>
      <c r="G18" s="13">
        <f>+VLOOKUP(Tabla110345345445545647945586877[[#This Row],[Ingrediente]],Tabla34[#All],3,0)</f>
        <v>2.8</v>
      </c>
      <c r="H18" s="14">
        <f>+Tabla110345345445545647945586877[[#This Row],[Costo]]*Tabla110345345445545647945586877[[#This Row],[Columna2]]</f>
        <v>101.20481559999999</v>
      </c>
      <c r="I18" s="4"/>
      <c r="J18" s="4"/>
      <c r="K18" s="31"/>
    </row>
    <row r="19" spans="2:13" x14ac:dyDescent="0.3">
      <c r="B19" s="24" t="s">
        <v>695</v>
      </c>
      <c r="C19" s="11" t="s">
        <v>67</v>
      </c>
      <c r="D19" s="12">
        <v>15.000000399999999</v>
      </c>
      <c r="E19" s="12">
        <v>30</v>
      </c>
      <c r="F19" s="12">
        <v>21.428571999999999</v>
      </c>
      <c r="G19" s="13">
        <f>+VLOOKUP(Tabla110345345445545647945586877[[#This Row],[Ingrediente]],Tabla34[#All],3,0)</f>
        <v>5</v>
      </c>
      <c r="H19" s="14">
        <f>+Tabla110345345445545647945586877[[#This Row],[Costo]]*Tabla110345345445545647945586877[[#This Row],[Columna2]]</f>
        <v>107.14286</v>
      </c>
      <c r="I19" s="4"/>
      <c r="J19" s="4"/>
      <c r="K19" s="31"/>
    </row>
    <row r="20" spans="2:13" x14ac:dyDescent="0.3">
      <c r="B20" s="24" t="s">
        <v>838</v>
      </c>
      <c r="C20" s="11" t="s">
        <v>847</v>
      </c>
      <c r="D20" s="12">
        <v>1</v>
      </c>
      <c r="E20" s="12">
        <v>0</v>
      </c>
      <c r="F20" s="12">
        <v>1</v>
      </c>
      <c r="G20" s="13">
        <f>+VLOOKUP(Tabla110345345445545647945586877[[#This Row],[Ingrediente]],Tabla34[#All],3,0)</f>
        <v>4196.75</v>
      </c>
      <c r="H20" s="14">
        <f>+Tabla110345345445545647945586877[[#This Row],[Costo]]*Tabla110345345445545647945586877[[#This Row],[Columna2]]</f>
        <v>4196.75</v>
      </c>
      <c r="I20" s="4"/>
      <c r="J20" s="4"/>
      <c r="K20" s="31"/>
    </row>
    <row r="21" spans="2:13" x14ac:dyDescent="0.3">
      <c r="B21" s="24" t="s">
        <v>634</v>
      </c>
      <c r="C21" s="11" t="s">
        <v>67</v>
      </c>
      <c r="D21" s="12">
        <v>5</v>
      </c>
      <c r="E21" s="12">
        <v>0</v>
      </c>
      <c r="F21" s="12">
        <v>5</v>
      </c>
      <c r="G21" s="13">
        <f>+VLOOKUP(Tabla110345345445545647945586877[[#This Row],[Ingrediente]],Tabla34[#All],3,0)</f>
        <v>8.9250000000000007</v>
      </c>
      <c r="H21" s="14">
        <f>+Tabla110345345445545647945586877[[#This Row],[Costo]]*Tabla110345345445545647945586877[[#This Row],[Columna2]]</f>
        <v>44.625</v>
      </c>
      <c r="I21" s="4"/>
      <c r="J21" s="4"/>
      <c r="K21" s="31"/>
    </row>
    <row r="22" spans="2:13" x14ac:dyDescent="0.3">
      <c r="B22" s="10" t="s">
        <v>730</v>
      </c>
      <c r="C22" s="11" t="s">
        <v>67</v>
      </c>
      <c r="D22" s="12">
        <v>4.9999998000000003</v>
      </c>
      <c r="E22" s="12">
        <v>40</v>
      </c>
      <c r="F22" s="12">
        <v>8.3333329999999997</v>
      </c>
      <c r="G22" s="13">
        <f>+VLOOKUP(Tabla110345345445545647945586877[[#This Row],[Ingrediente]],Tabla34[#All],3,0)</f>
        <v>12</v>
      </c>
      <c r="H22" s="14">
        <f>+Tabla110345345445545647945586877[[#This Row],[Costo]]*Tabla110345345445545647945586877[[#This Row],[Columna2]]</f>
        <v>99.999995999999996</v>
      </c>
      <c r="I22" s="4"/>
      <c r="J22" s="4"/>
      <c r="K22" s="31"/>
    </row>
    <row r="23" spans="2:13" x14ac:dyDescent="0.3">
      <c r="B23" s="10" t="s">
        <v>313</v>
      </c>
      <c r="C23" s="11" t="s">
        <v>67</v>
      </c>
      <c r="D23" s="12">
        <v>5</v>
      </c>
      <c r="E23" s="12">
        <v>0</v>
      </c>
      <c r="F23" s="12">
        <v>5</v>
      </c>
      <c r="G23" s="13">
        <f>+VLOOKUP(Tabla110345345445545647945586877[[#This Row],[Ingrediente]],Tabla34[#All],3,0)</f>
        <v>7.6838499999999996</v>
      </c>
      <c r="H23" s="14">
        <f>+Tabla110345345445545647945586877[[#This Row],[Costo]]*Tabla110345345445545647945586877[[#This Row],[Columna2]]</f>
        <v>38.419249999999998</v>
      </c>
      <c r="I23" s="4"/>
      <c r="J23" s="4"/>
      <c r="K23" s="31"/>
    </row>
    <row r="24" spans="2:13" x14ac:dyDescent="0.3">
      <c r="B24" s="24" t="s">
        <v>40</v>
      </c>
      <c r="C24" s="11" t="s">
        <v>67</v>
      </c>
      <c r="D24" s="12">
        <v>40</v>
      </c>
      <c r="E24" s="12">
        <v>0</v>
      </c>
      <c r="F24" s="12">
        <v>40</v>
      </c>
      <c r="G24" s="13">
        <f>+VLOOKUP(Tabla110345345445545647945586877[[#This Row],[Ingrediente]],Tabla34[#All],3,0)</f>
        <v>0</v>
      </c>
      <c r="H24" s="14">
        <f>+Tabla110345345445545647945586877[[#This Row],[Costo]]*Tabla110345345445545647945586877[[#This Row],[Columna2]]</f>
        <v>0</v>
      </c>
      <c r="I24" s="4"/>
      <c r="J24" s="4"/>
      <c r="K24" s="31"/>
    </row>
    <row r="25" spans="2:13" x14ac:dyDescent="0.3">
      <c r="B25" s="24" t="s">
        <v>127</v>
      </c>
      <c r="C25" s="11" t="s">
        <v>67</v>
      </c>
      <c r="D25" s="12">
        <v>15</v>
      </c>
      <c r="E25" s="12">
        <v>0</v>
      </c>
      <c r="F25" s="12">
        <v>15</v>
      </c>
      <c r="G25" s="13">
        <f>+VLOOKUP(Tabla110345345445545647945586877[[#This Row],[Ingrediente]],Tabla34[#All],3,0)</f>
        <v>15.69091749</v>
      </c>
      <c r="H25" s="14">
        <f>+Tabla110345345445545647945586877[[#This Row],[Costo]]*Tabla110345345445545647945586877[[#This Row],[Columna2]]</f>
        <v>235.36376235</v>
      </c>
      <c r="I25" s="4"/>
      <c r="J25" s="4"/>
      <c r="K25" s="31"/>
    </row>
    <row r="26" spans="2:13" x14ac:dyDescent="0.3">
      <c r="B26" s="24" t="s">
        <v>119</v>
      </c>
      <c r="C26" s="11" t="s">
        <v>67</v>
      </c>
      <c r="D26" s="12">
        <v>200</v>
      </c>
      <c r="E26" s="12">
        <v>0</v>
      </c>
      <c r="F26" s="12">
        <v>200</v>
      </c>
      <c r="G26" s="13">
        <f>+VLOOKUP(Tabla110345345445545647945586877[[#This Row],[Ingrediente]],Tabla34[#All],3,0)</f>
        <v>5.8053971600000001</v>
      </c>
      <c r="H26" s="14">
        <f>+Tabla110345345445545647945586877[[#This Row],[Costo]]*Tabla110345345445545647945586877[[#This Row],[Columna2]]</f>
        <v>1161.079432</v>
      </c>
      <c r="I26" s="4"/>
      <c r="J26" s="4"/>
      <c r="K26" s="26"/>
    </row>
    <row r="27" spans="2:13" x14ac:dyDescent="0.3">
      <c r="B27" s="16"/>
      <c r="C27" s="17"/>
      <c r="D27" s="17"/>
      <c r="E27" s="17"/>
      <c r="F27" s="17"/>
      <c r="G27" s="18"/>
      <c r="H27" s="18">
        <f>SUBTOTAL(109,Tabla110345345445545647945586877[Total costo])</f>
        <v>16771.57438555</v>
      </c>
    </row>
    <row r="29" spans="2:13" ht="15.6" x14ac:dyDescent="0.3">
      <c r="B29" s="1" t="s">
        <v>1315</v>
      </c>
      <c r="C29" s="2"/>
      <c r="D29" s="2"/>
      <c r="E29" s="3"/>
      <c r="F29" s="3"/>
      <c r="G29" s="3"/>
      <c r="H29" s="3"/>
      <c r="I29" s="4"/>
      <c r="J29" s="399" t="s">
        <v>0</v>
      </c>
      <c r="K29" s="399"/>
      <c r="M29" s="377" t="s">
        <v>1394</v>
      </c>
    </row>
    <row r="30" spans="2:13" x14ac:dyDescent="0.3">
      <c r="B30" s="5" t="s">
        <v>1</v>
      </c>
      <c r="C30" s="6" t="s">
        <v>2</v>
      </c>
      <c r="D30" s="6" t="s">
        <v>3</v>
      </c>
      <c r="E30" s="6" t="s">
        <v>920</v>
      </c>
      <c r="F30" s="6" t="s">
        <v>319</v>
      </c>
      <c r="G30" s="7" t="s">
        <v>4</v>
      </c>
      <c r="H30" s="7" t="s">
        <v>5</v>
      </c>
      <c r="I30" s="4"/>
      <c r="J30" s="8" t="s">
        <v>6</v>
      </c>
      <c r="K30" s="9">
        <f>SUM(Tabla11034534544554564793646596978[Total costo])</f>
        <v>19472.882281790004</v>
      </c>
      <c r="M30" s="346" t="s">
        <v>1501</v>
      </c>
    </row>
    <row r="31" spans="2:13" x14ac:dyDescent="0.3">
      <c r="B31" s="10" t="s">
        <v>917</v>
      </c>
      <c r="C31" s="11" t="s">
        <v>847</v>
      </c>
      <c r="D31" s="12">
        <v>1</v>
      </c>
      <c r="E31" s="12">
        <v>0</v>
      </c>
      <c r="F31" s="12">
        <v>1</v>
      </c>
      <c r="G31" s="13">
        <f>+VLOOKUP(Tabla11034534544554564793646596978[[#This Row],[Ingrediente]],Tabla34[#All],3,0)</f>
        <v>11140.90909091</v>
      </c>
      <c r="H31" s="14">
        <f>+Tabla11034534544554564793646596978[[#This Row],[Costo]]*Tabla11034534544554564793646596978[[#This Row],[Columna2]]</f>
        <v>11140.90909091</v>
      </c>
      <c r="I31" s="4"/>
      <c r="J31" s="8" t="s">
        <v>12</v>
      </c>
      <c r="K31" s="15">
        <f>+K30*10%</f>
        <v>1947.2882281790005</v>
      </c>
      <c r="M31" s="346" t="s">
        <v>1502</v>
      </c>
    </row>
    <row r="32" spans="2:13" x14ac:dyDescent="0.3">
      <c r="B32" s="10" t="s">
        <v>106</v>
      </c>
      <c r="C32" s="11" t="s">
        <v>67</v>
      </c>
      <c r="D32" s="12">
        <v>100</v>
      </c>
      <c r="E32" s="12">
        <v>0</v>
      </c>
      <c r="F32" s="12">
        <v>100</v>
      </c>
      <c r="G32" s="13">
        <f>+VLOOKUP(Tabla11034534544554564793646596978[[#This Row],[Ingrediente]],Tabla34[#All],3,0)</f>
        <v>19.804166670000001</v>
      </c>
      <c r="H32" s="14">
        <f>+Tabla11034534544554564793646596978[[#This Row],[Costo]]*Tabla11034534544554564793646596978[[#This Row],[Columna2]]</f>
        <v>1980.416667</v>
      </c>
      <c r="I32" s="4"/>
      <c r="J32" s="8" t="s">
        <v>13</v>
      </c>
      <c r="K32" s="15">
        <f>+K30+K31</f>
        <v>21420.170509969004</v>
      </c>
      <c r="M32" s="346" t="s">
        <v>1503</v>
      </c>
    </row>
    <row r="33" spans="2:13" x14ac:dyDescent="0.3">
      <c r="B33" s="10" t="s">
        <v>451</v>
      </c>
      <c r="C33" s="11" t="s">
        <v>67</v>
      </c>
      <c r="D33" s="12">
        <v>20</v>
      </c>
      <c r="E33" s="12">
        <v>0</v>
      </c>
      <c r="F33" s="12">
        <v>20</v>
      </c>
      <c r="G33" s="13">
        <f>+VLOOKUP(Tabla11034534544554564793646596978[[#This Row],[Ingrediente]],Tabla34[#All],3,0)</f>
        <v>60.987499999999997</v>
      </c>
      <c r="H33" s="14">
        <f>+Tabla11034534544554564793646596978[[#This Row],[Costo]]*Tabla11034534544554564793646596978[[#This Row],[Columna2]]</f>
        <v>1219.75</v>
      </c>
      <c r="I33" s="4"/>
      <c r="J33" s="20" t="s">
        <v>14</v>
      </c>
      <c r="K33" s="21">
        <v>63000</v>
      </c>
      <c r="M33" s="346" t="s">
        <v>1504</v>
      </c>
    </row>
    <row r="34" spans="2:13" x14ac:dyDescent="0.3">
      <c r="B34" s="24" t="s">
        <v>119</v>
      </c>
      <c r="C34" s="11" t="s">
        <v>67</v>
      </c>
      <c r="D34" s="12">
        <v>200</v>
      </c>
      <c r="E34" s="12">
        <v>0</v>
      </c>
      <c r="F34" s="12">
        <v>200</v>
      </c>
      <c r="G34" s="13">
        <f>+VLOOKUP(Tabla11034534544554564793646596978[[#This Row],[Ingrediente]],Tabla34[#All],3,0)</f>
        <v>5.8053971600000001</v>
      </c>
      <c r="H34" s="14">
        <f>+Tabla11034534544554564793646596978[[#This Row],[Costo]]*Tabla11034534544554564793646596978[[#This Row],[Columna2]]</f>
        <v>1161.079432</v>
      </c>
      <c r="I34" s="4"/>
      <c r="J34" s="8" t="s">
        <v>15</v>
      </c>
      <c r="K34" s="15">
        <f>+K33/1.08*0.08</f>
        <v>4666.6666666666661</v>
      </c>
    </row>
    <row r="35" spans="2:13" x14ac:dyDescent="0.3">
      <c r="B35" s="24" t="s">
        <v>128</v>
      </c>
      <c r="C35" s="11" t="s">
        <v>67</v>
      </c>
      <c r="D35" s="12">
        <v>50</v>
      </c>
      <c r="E35" s="12">
        <v>0</v>
      </c>
      <c r="F35" s="12">
        <v>50</v>
      </c>
      <c r="G35" s="13">
        <f>+VLOOKUP(Tabla11034534544554564793646596978[[#This Row],[Ingrediente]],Tabla34[#All],3,0)</f>
        <v>18.434479750000001</v>
      </c>
      <c r="H35" s="14">
        <f>+Tabla11034534544554564793646596978[[#This Row],[Costo]]*Tabla11034534544554564793646596978[[#This Row],[Columna2]]</f>
        <v>921.72398750000002</v>
      </c>
      <c r="I35" s="4"/>
      <c r="J35" s="8" t="s">
        <v>16</v>
      </c>
      <c r="K35" s="15">
        <f>+K33-K34</f>
        <v>58333.333333333336</v>
      </c>
      <c r="M35" s="377" t="s">
        <v>1377</v>
      </c>
    </row>
    <row r="36" spans="2:13" x14ac:dyDescent="0.3">
      <c r="B36" s="24" t="s">
        <v>716</v>
      </c>
      <c r="C36" s="11" t="s">
        <v>847</v>
      </c>
      <c r="D36" s="12">
        <v>1</v>
      </c>
      <c r="E36" s="12">
        <v>0</v>
      </c>
      <c r="F36" s="12">
        <v>1</v>
      </c>
      <c r="G36" s="13">
        <f>+VLOOKUP(Tabla11034534544554564793646596978[[#This Row],[Ingrediente]],Tabla34[#All],3,0)</f>
        <v>809.99</v>
      </c>
      <c r="H36" s="14">
        <f>+Tabla11034534544554564793646596978[[#This Row],[Costo]]*Tabla11034534544554564793646596978[[#This Row],[Columna2]]</f>
        <v>809.99</v>
      </c>
      <c r="I36" s="4"/>
      <c r="J36" s="8" t="s">
        <v>17</v>
      </c>
      <c r="K36" s="22">
        <f>+K32/K35</f>
        <v>0.36720292302804008</v>
      </c>
      <c r="M36" s="346" t="s">
        <v>1505</v>
      </c>
    </row>
    <row r="37" spans="2:13" x14ac:dyDescent="0.3">
      <c r="B37" s="24" t="s">
        <v>633</v>
      </c>
      <c r="C37" s="11" t="s">
        <v>67</v>
      </c>
      <c r="D37" s="12">
        <v>19.999999450000001</v>
      </c>
      <c r="E37" s="12">
        <v>5</v>
      </c>
      <c r="F37" s="12">
        <v>21.052631000000002</v>
      </c>
      <c r="G37" s="13">
        <f>+VLOOKUP(Tabla11034534544554564793646596978[[#This Row],[Ingrediente]],Tabla34[#All],3,0)</f>
        <v>27</v>
      </c>
      <c r="H37" s="14">
        <f>+Tabla11034534544554564793646596978[[#This Row],[Costo]]*Tabla11034534544554564793646596978[[#This Row],[Columna2]]</f>
        <v>568.42103700000007</v>
      </c>
      <c r="I37" s="4"/>
      <c r="J37" s="8" t="s">
        <v>18</v>
      </c>
      <c r="K37" s="23">
        <f>+K35-K32</f>
        <v>36913.162823364328</v>
      </c>
      <c r="M37" s="346" t="s">
        <v>1506</v>
      </c>
    </row>
    <row r="38" spans="2:13" x14ac:dyDescent="0.3">
      <c r="B38" s="24" t="s">
        <v>711</v>
      </c>
      <c r="C38" s="11" t="s">
        <v>67</v>
      </c>
      <c r="D38" s="12">
        <v>39.999998699999999</v>
      </c>
      <c r="E38" s="12">
        <v>10</v>
      </c>
      <c r="F38" s="12">
        <v>44.444443</v>
      </c>
      <c r="G38" s="13">
        <f>+VLOOKUP(Tabla11034534544554564793646596978[[#This Row],[Ingrediente]],Tabla34[#All],3,0)</f>
        <v>12.5</v>
      </c>
      <c r="H38" s="14">
        <f>+Tabla11034534544554564793646596978[[#This Row],[Costo]]*Tabla11034534544554564793646596978[[#This Row],[Columna2]]</f>
        <v>555.55553750000001</v>
      </c>
      <c r="I38" s="4"/>
      <c r="J38" s="8" t="s">
        <v>19</v>
      </c>
      <c r="K38" s="25">
        <f>+K37/K32</f>
        <v>1.7232898685930087</v>
      </c>
      <c r="M38" s="346" t="s">
        <v>1507</v>
      </c>
    </row>
    <row r="39" spans="2:13" x14ac:dyDescent="0.3">
      <c r="B39" s="24" t="s">
        <v>218</v>
      </c>
      <c r="C39" s="11" t="s">
        <v>67</v>
      </c>
      <c r="D39" s="12">
        <v>30</v>
      </c>
      <c r="E39" s="12">
        <v>0</v>
      </c>
      <c r="F39" s="12">
        <v>30</v>
      </c>
      <c r="G39" s="13">
        <f>+VLOOKUP(Tabla11034534544554564793646596978[[#This Row],[Ingrediente]],Tabla34[#All],3,0)</f>
        <v>9</v>
      </c>
      <c r="H39" s="14">
        <f>+Tabla11034534544554564793646596978[[#This Row],[Costo]]*Tabla11034534544554564793646596978[[#This Row],[Columna2]]</f>
        <v>270</v>
      </c>
      <c r="I39" s="4"/>
      <c r="J39" s="4"/>
      <c r="K39" s="31"/>
    </row>
    <row r="40" spans="2:13" x14ac:dyDescent="0.3">
      <c r="B40" s="24" t="s">
        <v>174</v>
      </c>
      <c r="C40" s="11" t="s">
        <v>67</v>
      </c>
      <c r="D40" s="12">
        <v>3</v>
      </c>
      <c r="E40" s="12">
        <v>0</v>
      </c>
      <c r="F40" s="12">
        <v>3</v>
      </c>
      <c r="G40" s="13">
        <f>+VLOOKUP(Tabla11034534544554564793646596978[[#This Row],[Ingrediente]],Tabla34[#All],3,0)</f>
        <v>84.475308639999994</v>
      </c>
      <c r="H40" s="14">
        <f>+Tabla11034534544554564793646596978[[#This Row],[Costo]]*Tabla11034534544554564793646596978[[#This Row],[Columna2]]</f>
        <v>253.42592592</v>
      </c>
      <c r="I40" s="4"/>
      <c r="J40" s="4"/>
      <c r="K40" s="31"/>
    </row>
    <row r="41" spans="2:13" x14ac:dyDescent="0.3">
      <c r="B41" s="10" t="s">
        <v>134</v>
      </c>
      <c r="C41" s="11" t="s">
        <v>67</v>
      </c>
      <c r="D41" s="12">
        <v>40</v>
      </c>
      <c r="E41" s="12">
        <v>0</v>
      </c>
      <c r="F41" s="12">
        <v>40</v>
      </c>
      <c r="G41" s="13">
        <f>+VLOOKUP(Tabla11034534544554564793646596978[[#This Row],[Ingrediente]],Tabla34[#All],3,0)</f>
        <v>5.7702915900000002</v>
      </c>
      <c r="H41" s="14">
        <f>+Tabla11034534544554564793646596978[[#This Row],[Costo]]*Tabla11034534544554564793646596978[[#This Row],[Columna2]]</f>
        <v>230.8116636</v>
      </c>
      <c r="I41" s="4"/>
      <c r="J41" s="4"/>
      <c r="K41" s="31"/>
    </row>
    <row r="42" spans="2:13" x14ac:dyDescent="0.3">
      <c r="B42" s="10" t="s">
        <v>281</v>
      </c>
      <c r="C42" s="11" t="s">
        <v>67</v>
      </c>
      <c r="D42" s="12">
        <v>5</v>
      </c>
      <c r="E42" s="12">
        <v>0</v>
      </c>
      <c r="F42" s="12">
        <v>5</v>
      </c>
      <c r="G42" s="13">
        <f>+VLOOKUP(Tabla11034534544554564793646596978[[#This Row],[Ingrediente]],Tabla34[#All],3,0)</f>
        <v>25.61066254</v>
      </c>
      <c r="H42" s="14">
        <f>+Tabla11034534544554564793646596978[[#This Row],[Costo]]*Tabla11034534544554564793646596978[[#This Row],[Columna2]]</f>
        <v>128.05331269999999</v>
      </c>
      <c r="I42" s="4"/>
      <c r="J42" s="4"/>
      <c r="K42" s="31"/>
    </row>
    <row r="43" spans="2:13" x14ac:dyDescent="0.3">
      <c r="B43" s="24" t="s">
        <v>754</v>
      </c>
      <c r="C43" s="11" t="s">
        <v>67</v>
      </c>
      <c r="D43" s="12">
        <v>30.000000100000001</v>
      </c>
      <c r="E43" s="12">
        <v>30</v>
      </c>
      <c r="F43" s="12">
        <v>42.857143000000001</v>
      </c>
      <c r="G43" s="13">
        <f>+VLOOKUP(Tabla11034534544554564793646596978[[#This Row],[Ingrediente]],Tabla34[#All],3,0)</f>
        <v>2.7</v>
      </c>
      <c r="H43" s="14">
        <f>+Tabla11034534544554564793646596978[[#This Row],[Costo]]*Tabla11034534544554564793646596978[[#This Row],[Columna2]]</f>
        <v>115.71428610000001</v>
      </c>
      <c r="I43" s="4"/>
      <c r="J43" s="4"/>
      <c r="K43" s="31"/>
    </row>
    <row r="44" spans="2:13" x14ac:dyDescent="0.3">
      <c r="B44" s="10" t="s">
        <v>730</v>
      </c>
      <c r="C44" s="11" t="s">
        <v>67</v>
      </c>
      <c r="D44" s="12">
        <v>3</v>
      </c>
      <c r="E44" s="12">
        <v>40</v>
      </c>
      <c r="F44" s="12">
        <v>5</v>
      </c>
      <c r="G44" s="13">
        <f>+VLOOKUP(Tabla11034534544554564793646596978[[#This Row],[Ingrediente]],Tabla34[#All],3,0)</f>
        <v>12</v>
      </c>
      <c r="H44" s="14">
        <f>+Tabla11034534544554564793646596978[[#This Row],[Costo]]*Tabla11034534544554564793646596978[[#This Row],[Columna2]]</f>
        <v>60</v>
      </c>
      <c r="I44" s="4"/>
      <c r="J44" s="4"/>
      <c r="K44" s="31"/>
    </row>
    <row r="45" spans="2:13" x14ac:dyDescent="0.3">
      <c r="B45" s="10" t="s">
        <v>37</v>
      </c>
      <c r="C45" s="11" t="s">
        <v>67</v>
      </c>
      <c r="D45" s="12">
        <v>4</v>
      </c>
      <c r="E45" s="12">
        <v>0</v>
      </c>
      <c r="F45" s="12">
        <v>4</v>
      </c>
      <c r="G45" s="13">
        <f>+VLOOKUP(Tabla11034534544554564793646596978[[#This Row],[Ingrediente]],Tabla34[#All],3,0)</f>
        <v>14.25783539</v>
      </c>
      <c r="H45" s="14">
        <f>+Tabla11034534544554564793646596978[[#This Row],[Costo]]*Tabla11034534544554564793646596978[[#This Row],[Columna2]]</f>
        <v>57.031341560000001</v>
      </c>
      <c r="I45" s="4"/>
      <c r="J45" s="4"/>
      <c r="K45" s="31"/>
    </row>
    <row r="46" spans="2:13" x14ac:dyDescent="0.3">
      <c r="B46" s="10" t="s">
        <v>166</v>
      </c>
      <c r="C46" s="11" t="s">
        <v>67</v>
      </c>
      <c r="D46" s="12">
        <v>20</v>
      </c>
      <c r="E46" s="12">
        <v>0</v>
      </c>
      <c r="F46" s="12">
        <v>20</v>
      </c>
      <c r="G46" s="13">
        <f>+VLOOKUP(Tabla11034534544554564793646596978[[#This Row],[Ingrediente]],Tabla34[#All],3,0)</f>
        <v>0</v>
      </c>
      <c r="H46" s="14">
        <f>+Tabla11034534544554564793646596978[[#This Row],[Costo]]*Tabla11034534544554564793646596978[[#This Row],[Columna2]]</f>
        <v>0</v>
      </c>
      <c r="I46" s="4"/>
      <c r="J46" s="4"/>
      <c r="K46" s="26"/>
    </row>
    <row r="47" spans="2:13" x14ac:dyDescent="0.3">
      <c r="B47" s="16"/>
      <c r="C47" s="17"/>
      <c r="D47" s="17"/>
      <c r="E47" s="17"/>
      <c r="F47" s="17"/>
      <c r="G47" s="18"/>
      <c r="H47" s="18">
        <f>SUBTOTAL(109,Tabla11034534544554564793646596978[Total costo])</f>
        <v>19472.882281790004</v>
      </c>
      <c r="I47" s="27"/>
      <c r="J47" s="27"/>
      <c r="K47" s="27"/>
    </row>
    <row r="50" spans="2:13" ht="15.6" x14ac:dyDescent="0.3">
      <c r="B50" s="1" t="s">
        <v>326</v>
      </c>
      <c r="C50" s="2"/>
      <c r="D50" s="2"/>
      <c r="E50" s="3"/>
      <c r="F50" s="3"/>
      <c r="G50" s="3"/>
      <c r="H50" s="3"/>
      <c r="I50" s="4"/>
      <c r="J50" s="399" t="s">
        <v>0</v>
      </c>
      <c r="K50" s="399"/>
      <c r="M50" s="377" t="s">
        <v>1394</v>
      </c>
    </row>
    <row r="51" spans="2:13" x14ac:dyDescent="0.3">
      <c r="B51" s="5" t="s">
        <v>1</v>
      </c>
      <c r="C51" s="6" t="s">
        <v>2</v>
      </c>
      <c r="D51" s="6" t="s">
        <v>3</v>
      </c>
      <c r="E51" s="6" t="s">
        <v>920</v>
      </c>
      <c r="F51" s="6" t="s">
        <v>319</v>
      </c>
      <c r="G51" s="7" t="s">
        <v>4</v>
      </c>
      <c r="H51" s="7" t="s">
        <v>5</v>
      </c>
      <c r="I51" s="4"/>
      <c r="J51" s="8" t="s">
        <v>6</v>
      </c>
      <c r="K51" s="9">
        <f>SUM(Tabla1103453454455456479363747607079[Total costo])</f>
        <v>13966.663454069998</v>
      </c>
      <c r="M51" s="346" t="s">
        <v>1508</v>
      </c>
    </row>
    <row r="52" spans="2:13" x14ac:dyDescent="0.3">
      <c r="B52" s="24" t="s">
        <v>620</v>
      </c>
      <c r="C52" s="11" t="s">
        <v>67</v>
      </c>
      <c r="D52" s="12">
        <v>200.00000700000001</v>
      </c>
      <c r="E52" s="12">
        <v>10</v>
      </c>
      <c r="F52" s="12">
        <v>222.22223</v>
      </c>
      <c r="G52" s="13">
        <f>+VLOOKUP(B52,Tabla34[#All],3,0)</f>
        <v>39</v>
      </c>
      <c r="H52" s="14">
        <f>+Tabla1103453454455456479363747607079[[#This Row],[Costo]]*Tabla1103453454455456479363747607079[[#This Row],[Columna2]]</f>
        <v>8666.6669700000002</v>
      </c>
      <c r="I52" s="4"/>
      <c r="J52" s="8" t="s">
        <v>12</v>
      </c>
      <c r="K52" s="15">
        <f>+K51*10%</f>
        <v>1396.6663454069999</v>
      </c>
      <c r="M52" s="346" t="s">
        <v>1509</v>
      </c>
    </row>
    <row r="53" spans="2:13" x14ac:dyDescent="0.3">
      <c r="B53" s="24" t="s">
        <v>451</v>
      </c>
      <c r="C53" s="11" t="s">
        <v>67</v>
      </c>
      <c r="D53" s="12">
        <v>20</v>
      </c>
      <c r="E53" s="12">
        <v>0</v>
      </c>
      <c r="F53" s="12">
        <v>20</v>
      </c>
      <c r="G53" s="13">
        <f>+VLOOKUP(B53,Tabla34[#All],3,0)</f>
        <v>60.987499999999997</v>
      </c>
      <c r="H53" s="14">
        <f>+Tabla1103453454455456479363747607079[[#This Row],[Costo]]*Tabla1103453454455456479363747607079[[#This Row],[Columna2]]</f>
        <v>1219.75</v>
      </c>
      <c r="I53" s="4"/>
      <c r="J53" s="8" t="s">
        <v>13</v>
      </c>
      <c r="K53" s="15">
        <f>+K51+K52</f>
        <v>15363.329799476998</v>
      </c>
      <c r="M53" s="346" t="s">
        <v>1510</v>
      </c>
    </row>
    <row r="54" spans="2:13" x14ac:dyDescent="0.3">
      <c r="B54" s="10" t="s">
        <v>633</v>
      </c>
      <c r="C54" s="11" t="s">
        <v>67</v>
      </c>
      <c r="D54" s="12">
        <v>29.999999649999999</v>
      </c>
      <c r="E54" s="12">
        <v>5</v>
      </c>
      <c r="F54" s="12">
        <v>31.578946999999999</v>
      </c>
      <c r="G54" s="13">
        <f>+VLOOKUP(B54,Tabla34[#All],3,0)</f>
        <v>27</v>
      </c>
      <c r="H54" s="14">
        <f>+Tabla1103453454455456479363747607079[[#This Row],[Costo]]*Tabla1103453454455456479363747607079[[#This Row],[Columna2]]</f>
        <v>852.63156900000001</v>
      </c>
      <c r="I54" s="4"/>
      <c r="J54" s="20" t="s">
        <v>14</v>
      </c>
      <c r="K54" s="21">
        <v>54000</v>
      </c>
      <c r="M54" s="346" t="s">
        <v>1511</v>
      </c>
    </row>
    <row r="55" spans="2:13" x14ac:dyDescent="0.3">
      <c r="B55" s="10" t="s">
        <v>634</v>
      </c>
      <c r="C55" s="11" t="s">
        <v>67</v>
      </c>
      <c r="D55" s="12">
        <v>50</v>
      </c>
      <c r="E55" s="12">
        <v>0</v>
      </c>
      <c r="F55" s="12">
        <v>50</v>
      </c>
      <c r="G55" s="13">
        <f>+VLOOKUP(B55,Tabla34[#All],3,0)</f>
        <v>8.9250000000000007</v>
      </c>
      <c r="H55" s="14">
        <f>+Tabla1103453454455456479363747607079[[#This Row],[Costo]]*Tabla1103453454455456479363747607079[[#This Row],[Columna2]]</f>
        <v>446.25000000000006</v>
      </c>
      <c r="I55" s="4"/>
      <c r="J55" s="8" t="s">
        <v>15</v>
      </c>
      <c r="K55" s="15">
        <f>+K54/1.08*0.08</f>
        <v>4000</v>
      </c>
    </row>
    <row r="56" spans="2:13" x14ac:dyDescent="0.3">
      <c r="B56" s="10" t="s">
        <v>678</v>
      </c>
      <c r="C56" s="11" t="s">
        <v>67</v>
      </c>
      <c r="D56" s="12">
        <v>60</v>
      </c>
      <c r="E56" s="12">
        <v>0</v>
      </c>
      <c r="F56" s="12">
        <v>60</v>
      </c>
      <c r="G56" s="13">
        <f>+VLOOKUP(B56,Tabla34[#All],3,0)</f>
        <v>8</v>
      </c>
      <c r="H56" s="14">
        <f>+Tabla1103453454455456479363747607079[[#This Row],[Costo]]*Tabla1103453454455456479363747607079[[#This Row],[Columna2]]</f>
        <v>480</v>
      </c>
      <c r="I56" s="4"/>
      <c r="J56" s="8" t="s">
        <v>16</v>
      </c>
      <c r="K56" s="15">
        <f>+K54-K55</f>
        <v>50000</v>
      </c>
      <c r="M56" s="377" t="s">
        <v>1377</v>
      </c>
    </row>
    <row r="57" spans="2:13" x14ac:dyDescent="0.3">
      <c r="B57" s="24" t="s">
        <v>708</v>
      </c>
      <c r="C57" s="11" t="s">
        <v>67</v>
      </c>
      <c r="D57" s="12">
        <v>29.999999649999999</v>
      </c>
      <c r="E57" s="12">
        <v>5</v>
      </c>
      <c r="F57" s="12">
        <v>31.578946999999999</v>
      </c>
      <c r="G57" s="13">
        <f>+VLOOKUP(B57,Tabla34[#All],3,0)</f>
        <v>11</v>
      </c>
      <c r="H57" s="14">
        <f>+Tabla1103453454455456479363747607079[[#This Row],[Costo]]*Tabla1103453454455456479363747607079[[#This Row],[Columna2]]</f>
        <v>347.36841700000002</v>
      </c>
      <c r="I57" s="4"/>
      <c r="J57" s="8" t="s">
        <v>17</v>
      </c>
      <c r="K57" s="22">
        <f>+K53/K56</f>
        <v>0.30726659598953998</v>
      </c>
      <c r="M57" s="346" t="s">
        <v>1498</v>
      </c>
    </row>
    <row r="58" spans="2:13" x14ac:dyDescent="0.3">
      <c r="B58" s="24" t="s">
        <v>122</v>
      </c>
      <c r="C58" s="11" t="s">
        <v>67</v>
      </c>
      <c r="D58" s="12">
        <v>10</v>
      </c>
      <c r="E58" s="12">
        <v>0</v>
      </c>
      <c r="F58" s="12">
        <v>10</v>
      </c>
      <c r="G58" s="13">
        <f>+VLOOKUP(B58,Tabla34[#All],3,0)</f>
        <v>20.160619029999999</v>
      </c>
      <c r="H58" s="14">
        <f>+Tabla1103453454455456479363747607079[[#This Row],[Costo]]*Tabla1103453454455456479363747607079[[#This Row],[Columna2]]</f>
        <v>201.60619029999998</v>
      </c>
      <c r="I58" s="4"/>
      <c r="J58" s="8" t="s">
        <v>18</v>
      </c>
      <c r="K58" s="23">
        <f>+K56-K53</f>
        <v>34636.670200523004</v>
      </c>
      <c r="M58" s="346" t="s">
        <v>1499</v>
      </c>
    </row>
    <row r="59" spans="2:13" x14ac:dyDescent="0.3">
      <c r="B59" s="10" t="s">
        <v>728</v>
      </c>
      <c r="C59" s="11" t="s">
        <v>67</v>
      </c>
      <c r="D59" s="12">
        <v>14.999999649999999</v>
      </c>
      <c r="E59" s="12">
        <v>59</v>
      </c>
      <c r="F59" s="12">
        <v>36.585365000000003</v>
      </c>
      <c r="G59" s="13">
        <f>+VLOOKUP(B59,Tabla34[#All],3,0)</f>
        <v>4.5</v>
      </c>
      <c r="H59" s="14">
        <f>+Tabla1103453454455456479363747607079[[#This Row],[Costo]]*Tabla1103453454455456479363747607079[[#This Row],[Columna2]]</f>
        <v>164.63414250000002</v>
      </c>
      <c r="I59" s="4"/>
      <c r="J59" s="8" t="s">
        <v>19</v>
      </c>
      <c r="K59" s="25">
        <f>+K58/K53</f>
        <v>2.2545028097816471</v>
      </c>
      <c r="M59" s="346" t="s">
        <v>1512</v>
      </c>
    </row>
    <row r="60" spans="2:13" x14ac:dyDescent="0.3">
      <c r="B60" s="10" t="s">
        <v>233</v>
      </c>
      <c r="C60" s="11" t="s">
        <v>67</v>
      </c>
      <c r="D60" s="12">
        <v>1</v>
      </c>
      <c r="E60" s="12">
        <v>0</v>
      </c>
      <c r="F60" s="12">
        <v>1</v>
      </c>
      <c r="G60" s="13">
        <f>+VLOOKUP(B60,Tabla34[#All],3,0)</f>
        <v>99.166666669999998</v>
      </c>
      <c r="H60" s="14">
        <f>+Tabla1103453454455456479363747607079[[#This Row],[Costo]]*Tabla1103453454455456479363747607079[[#This Row],[Columna2]]</f>
        <v>99.166666669999998</v>
      </c>
      <c r="I60" s="4"/>
      <c r="J60" s="4"/>
      <c r="K60" s="31"/>
      <c r="M60" s="346" t="s">
        <v>1513</v>
      </c>
    </row>
    <row r="61" spans="2:13" x14ac:dyDescent="0.3">
      <c r="B61" s="24" t="s">
        <v>42</v>
      </c>
      <c r="C61" s="11" t="s">
        <v>67</v>
      </c>
      <c r="D61" s="12">
        <v>10</v>
      </c>
      <c r="E61" s="12">
        <v>0</v>
      </c>
      <c r="F61" s="12">
        <v>10</v>
      </c>
      <c r="G61" s="13">
        <f>+VLOOKUP(B61,Tabla34[#All],3,0)</f>
        <v>12.66172066</v>
      </c>
      <c r="H61" s="14">
        <f>+Tabla1103453454455456479363747607079[[#This Row],[Costo]]*Tabla1103453454455456479363747607079[[#This Row],[Columna2]]</f>
        <v>126.6172066</v>
      </c>
      <c r="I61" s="4"/>
      <c r="J61" s="4"/>
      <c r="K61" s="31"/>
    </row>
    <row r="62" spans="2:13" x14ac:dyDescent="0.3">
      <c r="B62" s="10" t="s">
        <v>695</v>
      </c>
      <c r="C62" s="11" t="s">
        <v>67</v>
      </c>
      <c r="D62" s="12">
        <v>15.000000399999999</v>
      </c>
      <c r="E62" s="12">
        <v>30</v>
      </c>
      <c r="F62" s="12">
        <v>21.428571999999999</v>
      </c>
      <c r="G62" s="13">
        <f>+VLOOKUP(B62,Tabla34[#All],3,0)</f>
        <v>5</v>
      </c>
      <c r="H62" s="14">
        <f>+Tabla1103453454455456479363747607079[[#This Row],[Costo]]*Tabla1103453454455456479363747607079[[#This Row],[Columna2]]</f>
        <v>107.14286</v>
      </c>
      <c r="I62" s="4"/>
      <c r="J62" s="4"/>
      <c r="K62" s="31"/>
    </row>
    <row r="63" spans="2:13" x14ac:dyDescent="0.3">
      <c r="B63" s="10" t="s">
        <v>710</v>
      </c>
      <c r="C63" s="11" t="s">
        <v>67</v>
      </c>
      <c r="D63" s="12">
        <v>30</v>
      </c>
      <c r="E63" s="12">
        <v>20</v>
      </c>
      <c r="F63" s="12">
        <v>37.5</v>
      </c>
      <c r="G63" s="13">
        <f>+VLOOKUP(B63,Tabla34[#All],3,0)</f>
        <v>2.5</v>
      </c>
      <c r="H63" s="14">
        <f>+Tabla1103453454455456479363747607079[[#This Row],[Costo]]*Tabla1103453454455456479363747607079[[#This Row],[Columna2]]</f>
        <v>93.75</v>
      </c>
      <c r="I63" s="4"/>
      <c r="J63" s="4"/>
      <c r="K63" s="31"/>
    </row>
    <row r="64" spans="2:13" x14ac:dyDescent="0.3">
      <c r="B64" s="24" t="s">
        <v>119</v>
      </c>
      <c r="C64" s="11" t="s">
        <v>67</v>
      </c>
      <c r="D64" s="12">
        <v>200</v>
      </c>
      <c r="E64" s="12">
        <v>0</v>
      </c>
      <c r="F64" s="12">
        <v>200</v>
      </c>
      <c r="G64" s="13">
        <f>+VLOOKUP(B64,Tabla34[#All],3,0)</f>
        <v>5.8053971600000001</v>
      </c>
      <c r="H64" s="14">
        <f>+Tabla1103453454455456479363747607079[[#This Row],[Costo]]*Tabla1103453454455456479363747607079[[#This Row],[Columna2]]</f>
        <v>1161.079432</v>
      </c>
      <c r="I64" s="4"/>
      <c r="J64" s="4"/>
      <c r="K64" s="31"/>
    </row>
    <row r="65" spans="2:13" x14ac:dyDescent="0.3">
      <c r="B65" s="16"/>
      <c r="C65" s="17"/>
      <c r="D65" s="17"/>
      <c r="E65" s="17"/>
      <c r="F65" s="17"/>
      <c r="G65" s="18"/>
      <c r="H65" s="18">
        <f>SUBTOTAL(109,Tabla1103453454455456479363747607079[Total costo])</f>
        <v>13966.663454069998</v>
      </c>
      <c r="J65" s="27"/>
      <c r="K65" s="27"/>
    </row>
    <row r="68" spans="2:13" ht="15.6" x14ac:dyDescent="0.3">
      <c r="B68" s="1" t="s">
        <v>862</v>
      </c>
      <c r="C68" s="2"/>
      <c r="D68" s="2"/>
      <c r="E68" s="3"/>
      <c r="F68" s="3"/>
      <c r="G68" s="3"/>
      <c r="H68" s="3"/>
      <c r="I68" s="4"/>
      <c r="J68" s="399" t="s">
        <v>0</v>
      </c>
      <c r="K68" s="399"/>
      <c r="M68" s="377" t="s">
        <v>1394</v>
      </c>
    </row>
    <row r="69" spans="2:13" x14ac:dyDescent="0.3">
      <c r="B69" t="s">
        <v>857</v>
      </c>
      <c r="C69" t="s">
        <v>895</v>
      </c>
      <c r="D69" t="s">
        <v>892</v>
      </c>
      <c r="E69" t="s">
        <v>893</v>
      </c>
      <c r="F69" t="s">
        <v>894</v>
      </c>
      <c r="G69" t="s">
        <v>901</v>
      </c>
      <c r="H69" t="s">
        <v>902</v>
      </c>
      <c r="I69" s="4"/>
      <c r="J69" s="8" t="s">
        <v>6</v>
      </c>
      <c r="K69" s="9">
        <f>SUM(Tabla1103453454455456479363848617180[Coste LÃ­nea])</f>
        <v>17041.528329004999</v>
      </c>
      <c r="M69" s="346" t="s">
        <v>1514</v>
      </c>
    </row>
    <row r="70" spans="2:13" x14ac:dyDescent="0.3">
      <c r="B70" s="10" t="s">
        <v>917</v>
      </c>
      <c r="C70" s="11" t="s">
        <v>847</v>
      </c>
      <c r="D70" s="12">
        <v>0.5</v>
      </c>
      <c r="E70" s="12">
        <v>0</v>
      </c>
      <c r="F70" s="12">
        <v>0.5</v>
      </c>
      <c r="G70" s="13">
        <f>+VLOOKUP(Tabla1103453454455456479363848617180[[#This Row],[ArtÃ­culo]],Tabla34[#All],3,0)</f>
        <v>11140.90909091</v>
      </c>
      <c r="H70" s="14">
        <f>+Tabla1103453454455456479363848617180[[#This Row],[Coste Componente]]*Tabla1103453454455456479363848617180[[#This Row],[Unidades]]</f>
        <v>5570.4545454549998</v>
      </c>
      <c r="I70" s="4"/>
      <c r="J70" s="8" t="s">
        <v>12</v>
      </c>
      <c r="K70" s="15">
        <f>+K69*10%</f>
        <v>1704.1528329005</v>
      </c>
      <c r="M70" s="346" t="s">
        <v>1515</v>
      </c>
    </row>
    <row r="71" spans="2:13" x14ac:dyDescent="0.3">
      <c r="B71" s="10" t="s">
        <v>837</v>
      </c>
      <c r="C71" s="11" t="s">
        <v>847</v>
      </c>
      <c r="D71" s="12">
        <v>7</v>
      </c>
      <c r="E71" s="12">
        <v>0</v>
      </c>
      <c r="F71" s="12">
        <v>7</v>
      </c>
      <c r="G71" s="13">
        <f>+VLOOKUP(Tabla1103453454455456479363848617180[[#This Row],[ArtÃ­culo]],Tabla34[#All],3,0)</f>
        <v>514.28</v>
      </c>
      <c r="H71" s="14">
        <f>+Tabla1103453454455456479363848617180[[#This Row],[Coste Componente]]*Tabla1103453454455456479363848617180[[#This Row],[Unidades]]</f>
        <v>3599.96</v>
      </c>
      <c r="I71" s="4"/>
      <c r="J71" s="8" t="s">
        <v>13</v>
      </c>
      <c r="K71" s="15">
        <f>+K69+K70</f>
        <v>18745.681161905501</v>
      </c>
      <c r="M71" s="346" t="s">
        <v>1516</v>
      </c>
    </row>
    <row r="72" spans="2:13" x14ac:dyDescent="0.3">
      <c r="B72" s="10" t="s">
        <v>106</v>
      </c>
      <c r="C72" s="11" t="s">
        <v>67</v>
      </c>
      <c r="D72" s="12">
        <v>120</v>
      </c>
      <c r="E72" s="12">
        <v>0</v>
      </c>
      <c r="F72" s="12">
        <v>120</v>
      </c>
      <c r="G72" s="13">
        <f>+VLOOKUP(Tabla1103453454455456479363848617180[[#This Row],[ArtÃ­culo]],Tabla34[#All],3,0)</f>
        <v>19.804166670000001</v>
      </c>
      <c r="H72" s="14">
        <f>+Tabla1103453454455456479363848617180[[#This Row],[Coste Componente]]*Tabla1103453454455456479363848617180[[#This Row],[Unidades]]</f>
        <v>2376.5000004000003</v>
      </c>
      <c r="I72" s="4"/>
      <c r="J72" s="20" t="s">
        <v>14</v>
      </c>
      <c r="K72" s="21">
        <v>56000</v>
      </c>
    </row>
    <row r="73" spans="2:13" x14ac:dyDescent="0.3">
      <c r="B73" s="24" t="s">
        <v>633</v>
      </c>
      <c r="C73" s="11" t="s">
        <v>67</v>
      </c>
      <c r="D73" s="12">
        <v>50.000000999999997</v>
      </c>
      <c r="E73" s="12">
        <v>5</v>
      </c>
      <c r="F73" s="12">
        <v>52.63158</v>
      </c>
      <c r="G73" s="13">
        <f>+VLOOKUP(Tabla1103453454455456479363848617180[[#This Row],[ArtÃ­culo]],Tabla34[#All],3,0)</f>
        <v>27</v>
      </c>
      <c r="H73" s="14">
        <f>+Tabla1103453454455456479363848617180[[#This Row],[Coste Componente]]*Tabla1103453454455456479363848617180[[#This Row],[Unidades]]</f>
        <v>1421.0526600000001</v>
      </c>
      <c r="I73" s="4"/>
      <c r="J73" s="8" t="s">
        <v>15</v>
      </c>
      <c r="K73" s="15">
        <f>+K72/1.08*0.08</f>
        <v>4148.1481481481478</v>
      </c>
      <c r="M73" s="377" t="s">
        <v>1377</v>
      </c>
    </row>
    <row r="74" spans="2:13" x14ac:dyDescent="0.3">
      <c r="B74" s="10" t="s">
        <v>451</v>
      </c>
      <c r="C74" s="11" t="s">
        <v>67</v>
      </c>
      <c r="D74" s="12">
        <v>20</v>
      </c>
      <c r="E74" s="12">
        <v>0</v>
      </c>
      <c r="F74" s="12">
        <v>20</v>
      </c>
      <c r="G74" s="13">
        <f>+VLOOKUP(Tabla1103453454455456479363848617180[[#This Row],[ArtÃ­culo]],Tabla34[#All],3,0)</f>
        <v>60.987499999999997</v>
      </c>
      <c r="H74" s="14">
        <f>+Tabla1103453454455456479363848617180[[#This Row],[Coste Componente]]*Tabla1103453454455456479363848617180[[#This Row],[Unidades]]</f>
        <v>1219.75</v>
      </c>
      <c r="I74" s="4"/>
      <c r="J74" s="8" t="s">
        <v>16</v>
      </c>
      <c r="K74" s="15">
        <f>+K72-K73</f>
        <v>51851.851851851854</v>
      </c>
      <c r="M74" s="346" t="s">
        <v>1498</v>
      </c>
    </row>
    <row r="75" spans="2:13" x14ac:dyDescent="0.3">
      <c r="B75" s="10" t="s">
        <v>119</v>
      </c>
      <c r="C75" s="11" t="s">
        <v>67</v>
      </c>
      <c r="D75" s="12">
        <v>200</v>
      </c>
      <c r="E75" s="12">
        <v>0</v>
      </c>
      <c r="F75" s="12">
        <v>200</v>
      </c>
      <c r="G75" s="13">
        <f>+VLOOKUP(Tabla1103453454455456479363848617180[[#This Row],[ArtÃ­culo]],Tabla34[#All],3,0)</f>
        <v>5.8053971600000001</v>
      </c>
      <c r="H75" s="14">
        <f>+Tabla1103453454455456479363848617180[[#This Row],[Coste Componente]]*Tabla1103453454455456479363848617180[[#This Row],[Unidades]]</f>
        <v>1161.079432</v>
      </c>
      <c r="I75" s="4"/>
      <c r="J75" s="8" t="s">
        <v>17</v>
      </c>
      <c r="K75" s="22">
        <f>+K71/K74</f>
        <v>0.36152385097960604</v>
      </c>
      <c r="M75" s="346" t="s">
        <v>1499</v>
      </c>
    </row>
    <row r="76" spans="2:13" x14ac:dyDescent="0.3">
      <c r="B76" s="10" t="s">
        <v>308</v>
      </c>
      <c r="C76" s="11" t="s">
        <v>67</v>
      </c>
      <c r="D76" s="12">
        <v>20</v>
      </c>
      <c r="E76" s="12">
        <v>0</v>
      </c>
      <c r="F76" s="12">
        <v>20</v>
      </c>
      <c r="G76" s="13">
        <f>+VLOOKUP(Tabla1103453454455456479363848617180[[#This Row],[ArtÃ­culo]],Tabla34[#All],3,0)</f>
        <v>24.115200000000002</v>
      </c>
      <c r="H76" s="14">
        <f>+Tabla1103453454455456479363848617180[[#This Row],[Coste Componente]]*Tabla1103453454455456479363848617180[[#This Row],[Unidades]]</f>
        <v>482.30400000000003</v>
      </c>
      <c r="I76" s="4"/>
      <c r="J76" s="8" t="s">
        <v>18</v>
      </c>
      <c r="K76" s="23">
        <f>+K74-K71</f>
        <v>33106.170689946353</v>
      </c>
      <c r="M76" s="346" t="s">
        <v>1517</v>
      </c>
    </row>
    <row r="77" spans="2:13" x14ac:dyDescent="0.3">
      <c r="B77" s="10" t="s">
        <v>760</v>
      </c>
      <c r="C77" s="11" t="s">
        <v>67</v>
      </c>
      <c r="D77" s="12">
        <v>5</v>
      </c>
      <c r="E77" s="12">
        <v>0</v>
      </c>
      <c r="F77" s="12">
        <v>5</v>
      </c>
      <c r="G77" s="13">
        <f>+VLOOKUP(Tabla1103453454455456479363848617180[[#This Row],[ArtÃ­culo]],Tabla34[#All],3,0)</f>
        <v>71.281041669999993</v>
      </c>
      <c r="H77" s="14">
        <f>+Tabla1103453454455456479363848617180[[#This Row],[Coste Componente]]*Tabla1103453454455456479363848617180[[#This Row],[Unidades]]</f>
        <v>356.40520834999995</v>
      </c>
      <c r="I77" s="4"/>
      <c r="J77" s="8" t="s">
        <v>19</v>
      </c>
      <c r="K77" s="25">
        <f>+K76/K71</f>
        <v>1.7660692297073672</v>
      </c>
    </row>
    <row r="78" spans="2:13" x14ac:dyDescent="0.3">
      <c r="B78" s="10" t="s">
        <v>828</v>
      </c>
      <c r="C78" s="11" t="s">
        <v>67</v>
      </c>
      <c r="D78" s="12">
        <v>19.999999819999999</v>
      </c>
      <c r="E78" s="12">
        <v>33</v>
      </c>
      <c r="F78" s="12">
        <v>29.850746000000001</v>
      </c>
      <c r="G78" s="13">
        <f>+VLOOKUP(Tabla1103453454455456479363848617180[[#This Row],[ArtÃ­culo]],Tabla34[#All],3,0)</f>
        <v>9.8000000000000007</v>
      </c>
      <c r="H78" s="14">
        <f>+Tabla1103453454455456479363848617180[[#This Row],[Coste Componente]]*Tabla1103453454455456479363848617180[[#This Row],[Unidades]]</f>
        <v>292.53731080000006</v>
      </c>
      <c r="I78" s="4"/>
      <c r="J78" s="4"/>
      <c r="K78" s="26"/>
    </row>
    <row r="79" spans="2:13" x14ac:dyDescent="0.3">
      <c r="B79" s="10" t="s">
        <v>88</v>
      </c>
      <c r="C79" s="11" t="s">
        <v>67</v>
      </c>
      <c r="D79" s="12">
        <v>10</v>
      </c>
      <c r="E79" s="12">
        <v>0</v>
      </c>
      <c r="F79" s="12">
        <v>10</v>
      </c>
      <c r="G79" s="13">
        <f>+VLOOKUP(Tabla1103453454455456479363848617180[[#This Row],[ArtÃ­culo]],Tabla34[#All],3,0)</f>
        <v>45.428217600000004</v>
      </c>
      <c r="H79" s="14">
        <f>+Tabla1103453454455456479363848617180[[#This Row],[Coste Componente]]*Tabla1103453454455456479363848617180[[#This Row],[Unidades]]</f>
        <v>454.28217600000005</v>
      </c>
      <c r="I79" s="4"/>
      <c r="J79" s="4"/>
      <c r="K79" s="26"/>
    </row>
    <row r="80" spans="2:13" x14ac:dyDescent="0.3">
      <c r="B80" s="10" t="s">
        <v>730</v>
      </c>
      <c r="C80" s="11" t="s">
        <v>67</v>
      </c>
      <c r="D80" s="12">
        <v>4.9999998000000003</v>
      </c>
      <c r="E80" s="12">
        <v>40</v>
      </c>
      <c r="F80" s="12">
        <v>8.3333329999999997</v>
      </c>
      <c r="G80" s="13">
        <f>+VLOOKUP(Tabla1103453454455456479363848617180[[#This Row],[ArtÃ­culo]],Tabla34[#All],3,0)</f>
        <v>12</v>
      </c>
      <c r="H80" s="14">
        <f>+Tabla1103453454455456479363848617180[[#This Row],[Coste Componente]]*Tabla1103453454455456479363848617180[[#This Row],[Unidades]]</f>
        <v>99.999995999999996</v>
      </c>
      <c r="I80" s="4"/>
      <c r="J80" s="4"/>
      <c r="K80" s="26"/>
    </row>
    <row r="81" spans="1:16" x14ac:dyDescent="0.3">
      <c r="B81" s="10" t="s">
        <v>89</v>
      </c>
      <c r="C81" s="11" t="s">
        <v>67</v>
      </c>
      <c r="D81" s="12">
        <v>3</v>
      </c>
      <c r="E81" s="12">
        <v>0</v>
      </c>
      <c r="F81" s="12">
        <v>3</v>
      </c>
      <c r="G81" s="13">
        <f>+VLOOKUP(Tabla1103453454455456479363848617180[[#This Row],[ArtÃ­culo]],Tabla34[#All],3,0)</f>
        <v>2.4009999999999998</v>
      </c>
      <c r="H81" s="14">
        <f>+Tabla1103453454455456479363848617180[[#This Row],[Coste Componente]]*Tabla1103453454455456479363848617180[[#This Row],[Unidades]]</f>
        <v>7.2029999999999994</v>
      </c>
      <c r="I81" s="27"/>
      <c r="J81" s="4"/>
      <c r="K81" s="26"/>
      <c r="P81" s="28"/>
    </row>
    <row r="82" spans="1:16" x14ac:dyDescent="0.3">
      <c r="B82" s="16"/>
      <c r="C82" s="17"/>
      <c r="D82" s="17"/>
      <c r="E82" s="17"/>
      <c r="F82" s="17"/>
      <c r="G82" s="18"/>
      <c r="H82" s="18">
        <f>SUBTOTAL(109,Tabla1103453454455456479363848617180[Coste LÃ­nea])</f>
        <v>17041.528329004999</v>
      </c>
      <c r="J82" s="27"/>
      <c r="K82" s="27"/>
    </row>
    <row r="83" spans="1:16" s="28" customFormat="1" x14ac:dyDescent="0.3">
      <c r="A83"/>
      <c r="B83" s="32"/>
      <c r="C83" s="33"/>
      <c r="D83" s="33"/>
      <c r="E83" s="34"/>
      <c r="F83" s="34"/>
      <c r="H83" s="35"/>
      <c r="I83" s="35"/>
      <c r="M83"/>
    </row>
    <row r="84" spans="1:16" s="28" customFormat="1" x14ac:dyDescent="0.3">
      <c r="A84"/>
      <c r="B84" s="32"/>
      <c r="C84" s="33"/>
      <c r="D84" s="33"/>
      <c r="E84" s="34"/>
      <c r="F84" s="34"/>
      <c r="H84"/>
      <c r="I84"/>
    </row>
    <row r="85" spans="1:16" ht="15.6" x14ac:dyDescent="0.3">
      <c r="B85" s="1" t="s">
        <v>325</v>
      </c>
      <c r="C85" s="2"/>
      <c r="D85" s="2"/>
      <c r="E85" s="3"/>
      <c r="F85" s="3"/>
      <c r="G85" s="3"/>
      <c r="H85" s="3"/>
      <c r="I85" s="4"/>
      <c r="J85" s="399" t="s">
        <v>0</v>
      </c>
      <c r="K85" s="399"/>
      <c r="M85" s="377" t="s">
        <v>1394</v>
      </c>
    </row>
    <row r="86" spans="1:16" x14ac:dyDescent="0.3">
      <c r="B86" s="5" t="s">
        <v>1</v>
      </c>
      <c r="C86" s="6" t="s">
        <v>2</v>
      </c>
      <c r="D86" s="6" t="s">
        <v>3</v>
      </c>
      <c r="E86" s="6" t="s">
        <v>920</v>
      </c>
      <c r="F86" s="6" t="s">
        <v>319</v>
      </c>
      <c r="G86" s="7" t="s">
        <v>4</v>
      </c>
      <c r="H86" s="7" t="s">
        <v>5</v>
      </c>
      <c r="I86" s="4"/>
      <c r="J86" s="8" t="s">
        <v>6</v>
      </c>
      <c r="K86" s="9">
        <f>SUM(Tabla1103453454455456479363949627281[Total costo])</f>
        <v>14175.044258820002</v>
      </c>
      <c r="M86" s="346" t="s">
        <v>1514</v>
      </c>
    </row>
    <row r="87" spans="1:16" x14ac:dyDescent="0.3">
      <c r="B87" s="10" t="s">
        <v>620</v>
      </c>
      <c r="C87" s="11" t="s">
        <v>67</v>
      </c>
      <c r="D87" s="12">
        <v>119.99999699999999</v>
      </c>
      <c r="E87" s="12">
        <v>10</v>
      </c>
      <c r="F87" s="12">
        <v>133.33332999999999</v>
      </c>
      <c r="G87" s="13">
        <f>+VLOOKUP(Tabla1103453454455456479363949627281[[#This Row],[Ingrediente]],Tabla34[#All],3,0)</f>
        <v>39</v>
      </c>
      <c r="H87" s="14">
        <f>+Tabla1103453454455456479363949627281[[#This Row],[Costo]]*Tabla1103453454455456479363949627281[[#This Row],[Columna2]]</f>
        <v>5199.9998699999996</v>
      </c>
      <c r="I87" s="4"/>
      <c r="J87" s="8" t="s">
        <v>12</v>
      </c>
      <c r="K87" s="15">
        <f>+K86*10%</f>
        <v>1417.5044258820003</v>
      </c>
      <c r="M87" s="346" t="s">
        <v>1515</v>
      </c>
    </row>
    <row r="88" spans="1:16" x14ac:dyDescent="0.3">
      <c r="B88" s="10" t="s">
        <v>837</v>
      </c>
      <c r="C88" s="11" t="s">
        <v>847</v>
      </c>
      <c r="D88" s="12">
        <v>7</v>
      </c>
      <c r="E88" s="12">
        <v>0</v>
      </c>
      <c r="F88" s="12">
        <v>7</v>
      </c>
      <c r="G88" s="13">
        <f>+VLOOKUP(Tabla1103453454455456479363949627281[[#This Row],[Ingrediente]],Tabla34[#All],3,0)</f>
        <v>514.28</v>
      </c>
      <c r="H88" s="14">
        <f>+Tabla1103453454455456479363949627281[[#This Row],[Costo]]*Tabla1103453454455456479363949627281[[#This Row],[Columna2]]</f>
        <v>3599.96</v>
      </c>
      <c r="I88" s="4"/>
      <c r="J88" s="8" t="s">
        <v>13</v>
      </c>
      <c r="K88" s="15">
        <f>+K86+K87</f>
        <v>15592.548684702002</v>
      </c>
      <c r="M88" s="346" t="s">
        <v>1516</v>
      </c>
    </row>
    <row r="89" spans="1:16" x14ac:dyDescent="0.3">
      <c r="B89" s="10" t="s">
        <v>145</v>
      </c>
      <c r="C89" s="11" t="s">
        <v>67</v>
      </c>
      <c r="D89" s="12">
        <v>50</v>
      </c>
      <c r="E89" s="12">
        <v>0</v>
      </c>
      <c r="F89" s="12">
        <v>50</v>
      </c>
      <c r="G89" s="13">
        <f>+VLOOKUP(Tabla1103453454455456479363949627281[[#This Row],[Ingrediente]],Tabla34[#All],3,0)</f>
        <v>40.425119780000003</v>
      </c>
      <c r="H89" s="14">
        <f>+Tabla1103453454455456479363949627281[[#This Row],[Costo]]*Tabla1103453454455456479363949627281[[#This Row],[Columna2]]</f>
        <v>2021.2559890000002</v>
      </c>
      <c r="I89" s="4"/>
      <c r="J89" s="20" t="s">
        <v>14</v>
      </c>
      <c r="K89" s="21">
        <v>59000</v>
      </c>
    </row>
    <row r="90" spans="1:16" x14ac:dyDescent="0.3">
      <c r="B90" s="10" t="s">
        <v>138</v>
      </c>
      <c r="C90" s="11" t="s">
        <v>67</v>
      </c>
      <c r="D90" s="12">
        <v>50</v>
      </c>
      <c r="E90" s="12">
        <v>0</v>
      </c>
      <c r="F90" s="12">
        <v>50</v>
      </c>
      <c r="G90" s="13">
        <f>+VLOOKUP(Tabla1103453454455456479363949627281[[#This Row],[Ingrediente]],Tabla34[#All],3,0)</f>
        <v>14.714642169999999</v>
      </c>
      <c r="H90" s="14">
        <f>+Tabla1103453454455456479363949627281[[#This Row],[Costo]]*Tabla1103453454455456479363949627281[[#This Row],[Columna2]]</f>
        <v>735.73210849999998</v>
      </c>
      <c r="I90" s="4"/>
      <c r="J90" s="8" t="s">
        <v>15</v>
      </c>
      <c r="K90" s="15">
        <f>+K89/1.08*0.08</f>
        <v>4370.3703703703704</v>
      </c>
      <c r="M90" s="377" t="s">
        <v>1377</v>
      </c>
    </row>
    <row r="91" spans="1:16" x14ac:dyDescent="0.3">
      <c r="B91" s="24" t="s">
        <v>119</v>
      </c>
      <c r="C91" s="11" t="s">
        <v>67</v>
      </c>
      <c r="D91" s="12">
        <v>150</v>
      </c>
      <c r="E91" s="12">
        <v>0</v>
      </c>
      <c r="F91" s="12">
        <v>150</v>
      </c>
      <c r="G91" s="13">
        <f>+VLOOKUP(Tabla1103453454455456479363949627281[[#This Row],[Ingrediente]],Tabla34[#All],3,0)</f>
        <v>5.8053971600000001</v>
      </c>
      <c r="H91" s="14">
        <f>+Tabla1103453454455456479363949627281[[#This Row],[Costo]]*Tabla1103453454455456479363949627281[[#This Row],[Columna2]]</f>
        <v>870.809574</v>
      </c>
      <c r="I91" s="4"/>
      <c r="J91" s="8" t="s">
        <v>16</v>
      </c>
      <c r="K91" s="15">
        <f>+K89-K90</f>
        <v>54629.629629629628</v>
      </c>
      <c r="M91" s="346" t="s">
        <v>1518</v>
      </c>
    </row>
    <row r="92" spans="1:16" x14ac:dyDescent="0.3">
      <c r="B92" s="10" t="s">
        <v>1230</v>
      </c>
      <c r="C92" s="11" t="s">
        <v>67</v>
      </c>
      <c r="D92" s="12">
        <v>150</v>
      </c>
      <c r="E92" s="12">
        <v>0</v>
      </c>
      <c r="F92" s="12">
        <v>150</v>
      </c>
      <c r="G92" s="13">
        <f>+VLOOKUP(Tabla1103453454455456479363949627281[[#This Row],[Ingrediente]],Tabla34[#All],3,0)</f>
        <v>2.3696000000000002</v>
      </c>
      <c r="H92" s="14">
        <f>+Tabla1103453454455456479363949627281[[#This Row],[Costo]]*Tabla1103453454455456479363949627281[[#This Row],[Columna2]]</f>
        <v>355.44</v>
      </c>
      <c r="I92" s="4"/>
      <c r="J92" s="8" t="s">
        <v>17</v>
      </c>
      <c r="K92" s="22">
        <f>+K88/K91</f>
        <v>0.28542292507590106</v>
      </c>
      <c r="M92" s="346" t="s">
        <v>1519</v>
      </c>
    </row>
    <row r="93" spans="1:16" x14ac:dyDescent="0.3">
      <c r="B93" s="10" t="s">
        <v>833</v>
      </c>
      <c r="C93" s="11" t="s">
        <v>67</v>
      </c>
      <c r="D93" s="12">
        <v>1</v>
      </c>
      <c r="E93" s="12">
        <v>0</v>
      </c>
      <c r="F93" s="12">
        <v>1</v>
      </c>
      <c r="G93" s="13">
        <f>+VLOOKUP(Tabla1103453454455456479363949627281[[#This Row],[Ingrediente]],Tabla34[#All],3,0)</f>
        <v>307.5</v>
      </c>
      <c r="H93" s="14">
        <f>+Tabla1103453454455456479363949627281[[#This Row],[Costo]]*Tabla1103453454455456479363949627281[[#This Row],[Columna2]]</f>
        <v>307.5</v>
      </c>
      <c r="I93" s="4"/>
      <c r="J93" s="8" t="s">
        <v>18</v>
      </c>
      <c r="K93" s="23">
        <f>+K91-K88</f>
        <v>39037.080944927628</v>
      </c>
      <c r="M93" s="346" t="s">
        <v>1520</v>
      </c>
    </row>
    <row r="94" spans="1:16" x14ac:dyDescent="0.3">
      <c r="B94" s="10" t="s">
        <v>121</v>
      </c>
      <c r="C94" s="11" t="s">
        <v>67</v>
      </c>
      <c r="D94" s="12">
        <v>10</v>
      </c>
      <c r="E94" s="12">
        <v>0</v>
      </c>
      <c r="F94" s="12">
        <v>10</v>
      </c>
      <c r="G94" s="13">
        <f>+VLOOKUP(Tabla1103453454455456479363949627281[[#This Row],[Ingrediente]],Tabla34[#All],3,0)</f>
        <v>23.79844713</v>
      </c>
      <c r="H94" s="14">
        <f>+Tabla1103453454455456479363949627281[[#This Row],[Costo]]*Tabla1103453454455456479363949627281[[#This Row],[Columna2]]</f>
        <v>237.9844713</v>
      </c>
      <c r="I94" s="4"/>
      <c r="J94" s="8" t="s">
        <v>19</v>
      </c>
      <c r="K94" s="25">
        <f>+K93/K88</f>
        <v>2.5035728112381834</v>
      </c>
    </row>
    <row r="95" spans="1:16" x14ac:dyDescent="0.3">
      <c r="B95" s="10" t="s">
        <v>835</v>
      </c>
      <c r="C95" s="11" t="s">
        <v>67</v>
      </c>
      <c r="D95" s="12">
        <v>19.999999800000001</v>
      </c>
      <c r="E95" s="12">
        <v>78</v>
      </c>
      <c r="F95" s="12">
        <v>90.909090000000006</v>
      </c>
      <c r="G95" s="13">
        <f>+VLOOKUP(Tabla1103453454455456479363949627281[[#This Row],[Ingrediente]],Tabla34[#All],3,0)</f>
        <v>4.5</v>
      </c>
      <c r="H95" s="14">
        <f>+Tabla1103453454455456479363949627281[[#This Row],[Costo]]*Tabla1103453454455456479363949627281[[#This Row],[Columna2]]</f>
        <v>409.09090500000002</v>
      </c>
      <c r="I95" s="4"/>
      <c r="J95" s="4"/>
      <c r="K95" s="31"/>
    </row>
    <row r="96" spans="1:16" x14ac:dyDescent="0.3">
      <c r="B96" s="10" t="s">
        <v>170</v>
      </c>
      <c r="C96" s="11" t="s">
        <v>67</v>
      </c>
      <c r="D96" s="12">
        <v>1</v>
      </c>
      <c r="E96" s="12">
        <v>0</v>
      </c>
      <c r="F96" s="12">
        <v>1</v>
      </c>
      <c r="G96" s="13">
        <f>+VLOOKUP(Tabla1103453454455456479363949627281[[#This Row],[Ingrediente]],Tabla34[#All],3,0)</f>
        <v>131.40016807000001</v>
      </c>
      <c r="H96" s="14">
        <f>+Tabla1103453454455456479363949627281[[#This Row],[Costo]]*Tabla1103453454455456479363949627281[[#This Row],[Columna2]]</f>
        <v>131.40016807000001</v>
      </c>
      <c r="I96" s="4"/>
      <c r="J96" s="4"/>
      <c r="K96" s="31"/>
    </row>
    <row r="97" spans="1:13" x14ac:dyDescent="0.3">
      <c r="B97" s="10" t="s">
        <v>37</v>
      </c>
      <c r="C97" s="11" t="s">
        <v>67</v>
      </c>
      <c r="D97" s="12">
        <v>5</v>
      </c>
      <c r="E97" s="12">
        <v>0</v>
      </c>
      <c r="F97" s="12">
        <v>5</v>
      </c>
      <c r="G97" s="13">
        <f>+VLOOKUP(Tabla1103453454455456479363949627281[[#This Row],[Ingrediente]],Tabla34[#All],3,0)</f>
        <v>14.25783539</v>
      </c>
      <c r="H97" s="14">
        <f>+Tabla1103453454455456479363949627281[[#This Row],[Costo]]*Tabla1103453454455456479363949627281[[#This Row],[Columna2]]</f>
        <v>71.289176949999998</v>
      </c>
      <c r="I97" s="4"/>
      <c r="J97" s="4"/>
      <c r="K97" s="31"/>
    </row>
    <row r="98" spans="1:13" x14ac:dyDescent="0.3">
      <c r="B98" s="10" t="s">
        <v>687</v>
      </c>
      <c r="C98" s="11" t="s">
        <v>67</v>
      </c>
      <c r="D98" s="12">
        <v>20</v>
      </c>
      <c r="E98" s="12">
        <v>0</v>
      </c>
      <c r="F98" s="12">
        <v>20</v>
      </c>
      <c r="G98" s="13">
        <f>+VLOOKUP(Tabla1103453454455456479363949627281[[#This Row],[Ingrediente]],Tabla34[#All],3,0)</f>
        <v>2.8</v>
      </c>
      <c r="H98" s="14">
        <f>+Tabla1103453454455456479363949627281[[#This Row],[Costo]]*Tabla1103453454455456479363949627281[[#This Row],[Columna2]]</f>
        <v>56</v>
      </c>
      <c r="I98" s="4"/>
      <c r="J98" s="4"/>
      <c r="K98" s="31"/>
    </row>
    <row r="99" spans="1:13" x14ac:dyDescent="0.3">
      <c r="B99" s="10" t="s">
        <v>730</v>
      </c>
      <c r="C99" s="11" t="s">
        <v>67</v>
      </c>
      <c r="D99" s="12">
        <v>4.9999998000000003</v>
      </c>
      <c r="E99" s="12">
        <v>40</v>
      </c>
      <c r="F99" s="12">
        <v>8.3333329999999997</v>
      </c>
      <c r="G99" s="13">
        <f>+VLOOKUP(Tabla1103453454455456479363949627281[[#This Row],[Ingrediente]],Tabla34[#All],3,0)</f>
        <v>12</v>
      </c>
      <c r="H99" s="14">
        <f>+Tabla1103453454455456479363949627281[[#This Row],[Costo]]*Tabla1103453454455456479363949627281[[#This Row],[Columna2]]</f>
        <v>99.999995999999996</v>
      </c>
      <c r="I99" s="4"/>
      <c r="J99" s="4"/>
      <c r="K99" s="31"/>
    </row>
    <row r="100" spans="1:13" x14ac:dyDescent="0.3">
      <c r="B100" s="10" t="s">
        <v>1091</v>
      </c>
      <c r="C100" s="11" t="s">
        <v>67</v>
      </c>
      <c r="D100" s="12">
        <v>1</v>
      </c>
      <c r="E100" s="12">
        <v>0</v>
      </c>
      <c r="F100" s="12">
        <v>1</v>
      </c>
      <c r="G100" s="13">
        <f>+VLOOKUP(Tabla1103453454455456479363949627281[[#This Row],[Ingrediente]],Tabla34[#All],3,0)</f>
        <v>73.78</v>
      </c>
      <c r="H100" s="14">
        <f>+Tabla1103453454455456479363949627281[[#This Row],[Costo]]*Tabla1103453454455456479363949627281[[#This Row],[Columna2]]</f>
        <v>73.78</v>
      </c>
      <c r="I100" s="4"/>
      <c r="J100" s="4"/>
      <c r="K100" s="31"/>
    </row>
    <row r="101" spans="1:13" x14ac:dyDescent="0.3">
      <c r="B101" s="10" t="s">
        <v>795</v>
      </c>
      <c r="C101" s="11" t="s">
        <v>67</v>
      </c>
      <c r="D101" s="12">
        <v>1</v>
      </c>
      <c r="E101" s="12">
        <v>0</v>
      </c>
      <c r="F101" s="12">
        <v>1</v>
      </c>
      <c r="G101" s="13">
        <f>+VLOOKUP(Tabla1103453454455456479363949627281[[#This Row],[Ingrediente]],Tabla34[#All],3,0)</f>
        <v>0</v>
      </c>
      <c r="H101" s="14">
        <f>+Tabla1103453454455456479363949627281[[#This Row],[Costo]]*Tabla1103453454455456479363949627281[[#This Row],[Columna2]]</f>
        <v>0</v>
      </c>
      <c r="I101" s="4"/>
      <c r="J101" s="4"/>
      <c r="K101" s="26"/>
    </row>
    <row r="102" spans="1:13" x14ac:dyDescent="0.3">
      <c r="B102" s="10" t="s">
        <v>89</v>
      </c>
      <c r="C102" s="11" t="s">
        <v>67</v>
      </c>
      <c r="D102" s="12">
        <v>2</v>
      </c>
      <c r="E102" s="12">
        <v>0</v>
      </c>
      <c r="F102" s="12">
        <v>2</v>
      </c>
      <c r="G102" s="13">
        <f>+VLOOKUP(Tabla1103453454455456479363949627281[[#This Row],[Ingrediente]],Tabla34[#All],3,0)</f>
        <v>2.4009999999999998</v>
      </c>
      <c r="H102" s="14">
        <f>+Tabla1103453454455456479363949627281[[#This Row],[Costo]]*Tabla1103453454455456479363949627281[[#This Row],[Columna2]]</f>
        <v>4.8019999999999996</v>
      </c>
      <c r="I102" s="4"/>
      <c r="J102" s="4"/>
      <c r="K102" s="26"/>
    </row>
    <row r="103" spans="1:13" x14ac:dyDescent="0.3">
      <c r="B103" s="16"/>
      <c r="C103" s="17"/>
      <c r="D103" s="17"/>
      <c r="E103" s="17"/>
      <c r="F103" s="17"/>
      <c r="G103" s="18"/>
      <c r="H103" s="18">
        <f>SUBTOTAL(109,Tabla1103453454455456479363949627281[Total costo])</f>
        <v>14175.044258820002</v>
      </c>
      <c r="I103" s="27"/>
      <c r="J103" s="4"/>
      <c r="K103" s="26"/>
    </row>
    <row r="104" spans="1:13" x14ac:dyDescent="0.3">
      <c r="B104" s="32"/>
      <c r="C104" s="33"/>
      <c r="D104" s="33"/>
      <c r="E104" s="34"/>
      <c r="F104" s="34"/>
      <c r="H104" s="27"/>
      <c r="I104" s="27"/>
    </row>
    <row r="105" spans="1:13" s="28" customFormat="1" x14ac:dyDescent="0.3">
      <c r="B105" s="32"/>
      <c r="C105" s="33"/>
      <c r="D105" s="33"/>
      <c r="E105" s="34"/>
      <c r="F105" s="34"/>
      <c r="H105" s="35"/>
      <c r="I105" s="35"/>
    </row>
    <row r="106" spans="1:13" s="28" customFormat="1" ht="15.6" x14ac:dyDescent="0.3">
      <c r="B106" s="1" t="s">
        <v>70</v>
      </c>
      <c r="C106" s="2"/>
      <c r="D106" s="2"/>
      <c r="E106" s="3"/>
      <c r="F106" s="3"/>
      <c r="G106" s="3"/>
      <c r="H106" s="3"/>
      <c r="J106" s="399" t="s">
        <v>0</v>
      </c>
      <c r="K106" s="399"/>
      <c r="M106" s="377" t="s">
        <v>1394</v>
      </c>
    </row>
    <row r="107" spans="1:13" x14ac:dyDescent="0.3">
      <c r="A107" s="28"/>
      <c r="B107" s="5" t="s">
        <v>1</v>
      </c>
      <c r="C107" s="6" t="s">
        <v>2</v>
      </c>
      <c r="D107" s="6" t="s">
        <v>3</v>
      </c>
      <c r="E107" s="6" t="s">
        <v>920</v>
      </c>
      <c r="F107" s="6" t="s">
        <v>319</v>
      </c>
      <c r="G107" s="7" t="s">
        <v>4</v>
      </c>
      <c r="H107" s="7" t="s">
        <v>5</v>
      </c>
      <c r="I107" s="4"/>
      <c r="J107" s="8" t="s">
        <v>6</v>
      </c>
      <c r="K107" s="9">
        <f>SUM(Tabla1103453454455456479364050637382[Total costo])</f>
        <v>17087.078554000003</v>
      </c>
      <c r="M107" s="346" t="s">
        <v>1521</v>
      </c>
    </row>
    <row r="108" spans="1:13" x14ac:dyDescent="0.3">
      <c r="A108" s="28"/>
      <c r="B108" s="10" t="s">
        <v>167</v>
      </c>
      <c r="C108" s="11" t="s">
        <v>847</v>
      </c>
      <c r="D108" s="12">
        <v>5</v>
      </c>
      <c r="E108" s="12">
        <v>0</v>
      </c>
      <c r="F108" s="12">
        <v>5</v>
      </c>
      <c r="G108" s="13">
        <f>+VLOOKUP(Tabla1103453454455456479364050637382[[#This Row],[Ingrediente]],Tabla34[#All],3,0)</f>
        <v>1735.8</v>
      </c>
      <c r="H108" s="14">
        <f>+Tabla1103453454455456479364050637382[[#This Row],[Costo]]*Tabla1103453454455456479364050637382[[#This Row],[Columna2]]</f>
        <v>8679</v>
      </c>
      <c r="I108" s="4"/>
      <c r="J108" s="8" t="s">
        <v>12</v>
      </c>
      <c r="K108" s="15">
        <f>+K107*10%</f>
        <v>1708.7078554000004</v>
      </c>
      <c r="M108" s="346" t="s">
        <v>1522</v>
      </c>
    </row>
    <row r="109" spans="1:13" x14ac:dyDescent="0.3">
      <c r="A109" s="28"/>
      <c r="B109" s="10" t="s">
        <v>52</v>
      </c>
      <c r="C109" s="11" t="s">
        <v>67</v>
      </c>
      <c r="D109" s="12">
        <v>100</v>
      </c>
      <c r="E109" s="12">
        <v>0</v>
      </c>
      <c r="F109" s="12">
        <v>100</v>
      </c>
      <c r="G109" s="13">
        <f>+VLOOKUP(Tabla1103453454455456479364050637382[[#This Row],[Ingrediente]],Tabla34[#All],3,0)</f>
        <v>27.651436050000001</v>
      </c>
      <c r="H109" s="14">
        <f>+Tabla1103453454455456479364050637382[[#This Row],[Costo]]*Tabla1103453454455456479364050637382[[#This Row],[Columna2]]</f>
        <v>2765.1436050000002</v>
      </c>
      <c r="I109" s="4"/>
      <c r="J109" s="8" t="s">
        <v>13</v>
      </c>
      <c r="K109" s="15">
        <f>+K107+K108</f>
        <v>18795.786409400003</v>
      </c>
      <c r="M109" s="346" t="s">
        <v>1523</v>
      </c>
    </row>
    <row r="110" spans="1:13" x14ac:dyDescent="0.3">
      <c r="A110" s="28"/>
      <c r="B110" s="10" t="s">
        <v>692</v>
      </c>
      <c r="C110" s="11" t="s">
        <v>67</v>
      </c>
      <c r="D110" s="12">
        <v>60</v>
      </c>
      <c r="E110" s="12">
        <v>0</v>
      </c>
      <c r="F110" s="12">
        <v>60</v>
      </c>
      <c r="G110" s="13">
        <f>+VLOOKUP(Tabla1103453454455456479364050637382[[#This Row],[Ingrediente]],Tabla34[#All],3,0)</f>
        <v>18.698499999999999</v>
      </c>
      <c r="H110" s="14">
        <f>+Tabla1103453454455456479364050637382[[#This Row],[Costo]]*Tabla1103453454455456479364050637382[[#This Row],[Columna2]]</f>
        <v>1121.9099999999999</v>
      </c>
      <c r="I110" s="4"/>
      <c r="J110" s="20" t="s">
        <v>14</v>
      </c>
      <c r="K110" s="21">
        <v>64000</v>
      </c>
    </row>
    <row r="111" spans="1:13" x14ac:dyDescent="0.3">
      <c r="A111" s="28"/>
      <c r="B111" s="10" t="s">
        <v>451</v>
      </c>
      <c r="C111" s="11" t="s">
        <v>67</v>
      </c>
      <c r="D111" s="12">
        <v>15</v>
      </c>
      <c r="E111" s="12">
        <v>0</v>
      </c>
      <c r="F111" s="12">
        <v>15</v>
      </c>
      <c r="G111" s="13">
        <f>+VLOOKUP(Tabla1103453454455456479364050637382[[#This Row],[Ingrediente]],Tabla34[#All],3,0)</f>
        <v>60.987499999999997</v>
      </c>
      <c r="H111" s="14">
        <f>+Tabla1103453454455456479364050637382[[#This Row],[Costo]]*Tabla1103453454455456479364050637382[[#This Row],[Columna2]]</f>
        <v>914.8125</v>
      </c>
      <c r="I111" s="4"/>
      <c r="J111" s="8" t="s">
        <v>15</v>
      </c>
      <c r="K111" s="15">
        <f>+K110/1.08*0.08</f>
        <v>4740.7407407407409</v>
      </c>
      <c r="M111" s="377" t="s">
        <v>1377</v>
      </c>
    </row>
    <row r="112" spans="1:13" x14ac:dyDescent="0.3">
      <c r="A112" s="28"/>
      <c r="B112" s="24" t="s">
        <v>833</v>
      </c>
      <c r="C112" s="11" t="s">
        <v>67</v>
      </c>
      <c r="D112" s="12">
        <v>3</v>
      </c>
      <c r="E112" s="12">
        <v>0</v>
      </c>
      <c r="F112" s="12">
        <v>3</v>
      </c>
      <c r="G112" s="13">
        <f>+VLOOKUP(Tabla1103453454455456479364050637382[[#This Row],[Ingrediente]],Tabla34[#All],3,0)</f>
        <v>307.5</v>
      </c>
      <c r="H112" s="14">
        <f>+Tabla1103453454455456479364050637382[[#This Row],[Costo]]*Tabla1103453454455456479364050637382[[#This Row],[Columna2]]</f>
        <v>922.5</v>
      </c>
      <c r="I112" s="4"/>
      <c r="J112" s="8" t="s">
        <v>16</v>
      </c>
      <c r="K112" s="15">
        <f>+K110-K111</f>
        <v>59259.259259259255</v>
      </c>
      <c r="M112" s="346" t="s">
        <v>1505</v>
      </c>
    </row>
    <row r="113" spans="1:13" x14ac:dyDescent="0.3">
      <c r="A113" s="28"/>
      <c r="B113" s="10" t="s">
        <v>820</v>
      </c>
      <c r="C113" s="11" t="s">
        <v>67</v>
      </c>
      <c r="D113" s="12">
        <v>15.0000003</v>
      </c>
      <c r="E113" s="12">
        <v>5</v>
      </c>
      <c r="F113" s="12">
        <v>15.789474</v>
      </c>
      <c r="G113" s="13">
        <f>+VLOOKUP(Tabla1103453454455456479364050637382[[#This Row],[Ingrediente]],Tabla34[#All],3,0)</f>
        <v>35</v>
      </c>
      <c r="H113" s="14">
        <f>+Tabla1103453454455456479364050637382[[#This Row],[Costo]]*Tabla1103453454455456479364050637382[[#This Row],[Columna2]]</f>
        <v>552.63158999999996</v>
      </c>
      <c r="I113" s="4"/>
      <c r="J113" s="8" t="s">
        <v>17</v>
      </c>
      <c r="K113" s="22">
        <f>+K109/K112</f>
        <v>0.31717889565862506</v>
      </c>
      <c r="M113" s="346" t="s">
        <v>1524</v>
      </c>
    </row>
    <row r="114" spans="1:13" x14ac:dyDescent="0.3">
      <c r="A114" s="28"/>
      <c r="B114" s="10" t="s">
        <v>633</v>
      </c>
      <c r="C114" s="11" t="s">
        <v>67</v>
      </c>
      <c r="D114" s="12">
        <v>15.0000003</v>
      </c>
      <c r="E114" s="12">
        <v>5</v>
      </c>
      <c r="F114" s="12">
        <v>15.789474</v>
      </c>
      <c r="G114" s="13">
        <f>+VLOOKUP(Tabla1103453454455456479364050637382[[#This Row],[Ingrediente]],Tabla34[#All],3,0)</f>
        <v>27</v>
      </c>
      <c r="H114" s="14">
        <f>+Tabla1103453454455456479364050637382[[#This Row],[Costo]]*Tabla1103453454455456479364050637382[[#This Row],[Columna2]]</f>
        <v>426.31579800000003</v>
      </c>
      <c r="I114" s="4"/>
      <c r="J114" s="8" t="s">
        <v>18</v>
      </c>
      <c r="K114" s="23">
        <f>+K112-K109</f>
        <v>40463.472849859252</v>
      </c>
      <c r="M114" s="346" t="s">
        <v>1525</v>
      </c>
    </row>
    <row r="115" spans="1:13" x14ac:dyDescent="0.3">
      <c r="A115" s="28"/>
      <c r="B115" s="10" t="s">
        <v>728</v>
      </c>
      <c r="C115" s="11" t="s">
        <v>67</v>
      </c>
      <c r="D115" s="12">
        <v>29.999999299999999</v>
      </c>
      <c r="E115" s="12">
        <v>59</v>
      </c>
      <c r="F115" s="12">
        <v>73.170730000000006</v>
      </c>
      <c r="G115" s="13">
        <f>+VLOOKUP(Tabla1103453454455456479364050637382[[#This Row],[Ingrediente]],Tabla34[#All],3,0)</f>
        <v>4.5</v>
      </c>
      <c r="H115" s="14">
        <f>+Tabla1103453454455456479364050637382[[#This Row],[Costo]]*Tabla1103453454455456479364050637382[[#This Row],[Columna2]]</f>
        <v>329.26828500000005</v>
      </c>
      <c r="I115" s="4"/>
      <c r="J115" s="8" t="s">
        <v>19</v>
      </c>
      <c r="K115" s="25">
        <f>+K114/K109</f>
        <v>2.1527948854336296</v>
      </c>
    </row>
    <row r="116" spans="1:13" x14ac:dyDescent="0.3">
      <c r="A116" s="28"/>
      <c r="B116" s="10" t="s">
        <v>828</v>
      </c>
      <c r="C116" s="11" t="s">
        <v>67</v>
      </c>
      <c r="D116" s="12">
        <v>15.000000200000001</v>
      </c>
      <c r="E116" s="12">
        <v>33</v>
      </c>
      <c r="F116" s="12">
        <v>22.388059999999999</v>
      </c>
      <c r="G116" s="13">
        <f>+VLOOKUP(Tabla1103453454455456479364050637382[[#This Row],[Ingrediente]],Tabla34[#All],3,0)</f>
        <v>9.8000000000000007</v>
      </c>
      <c r="H116" s="14">
        <f>+Tabla1103453454455456479364050637382[[#This Row],[Costo]]*Tabla1103453454455456479364050637382[[#This Row],[Columna2]]</f>
        <v>219.40298800000002</v>
      </c>
      <c r="I116" s="4"/>
      <c r="J116" s="4"/>
      <c r="K116" s="26"/>
    </row>
    <row r="117" spans="1:13" x14ac:dyDescent="0.3">
      <c r="A117" s="28"/>
      <c r="B117" s="10" t="s">
        <v>708</v>
      </c>
      <c r="C117" s="11" t="s">
        <v>67</v>
      </c>
      <c r="D117" s="12">
        <v>15.0000003</v>
      </c>
      <c r="E117" s="12">
        <v>5</v>
      </c>
      <c r="F117" s="12">
        <v>15.789474</v>
      </c>
      <c r="G117" s="13">
        <f>+VLOOKUP(Tabla1103453454455456479364050637382[[#This Row],[Ingrediente]],Tabla34[#All],3,0)</f>
        <v>11</v>
      </c>
      <c r="H117" s="14">
        <f>+Tabla1103453454455456479364050637382[[#This Row],[Costo]]*Tabla1103453454455456479364050637382[[#This Row],[Columna2]]</f>
        <v>173.684214</v>
      </c>
      <c r="I117" s="4"/>
      <c r="J117" s="4"/>
      <c r="K117" s="26"/>
    </row>
    <row r="118" spans="1:13" x14ac:dyDescent="0.3">
      <c r="A118" s="28"/>
      <c r="B118" s="10" t="s">
        <v>710</v>
      </c>
      <c r="C118" s="11" t="s">
        <v>67</v>
      </c>
      <c r="D118" s="12">
        <v>30</v>
      </c>
      <c r="E118" s="12">
        <v>20</v>
      </c>
      <c r="F118" s="12">
        <v>37.5</v>
      </c>
      <c r="G118" s="13">
        <f>+VLOOKUP(Tabla1103453454455456479364050637382[[#This Row],[Ingrediente]],Tabla34[#All],3,0)</f>
        <v>2.5</v>
      </c>
      <c r="H118" s="14">
        <f>+Tabla1103453454455456479364050637382[[#This Row],[Costo]]*Tabla1103453454455456479364050637382[[#This Row],[Columna2]]</f>
        <v>93.75</v>
      </c>
      <c r="I118" s="4"/>
      <c r="J118" s="4"/>
      <c r="K118" s="26"/>
    </row>
    <row r="119" spans="1:13" x14ac:dyDescent="0.3">
      <c r="A119" s="28"/>
      <c r="B119" s="10" t="s">
        <v>634</v>
      </c>
      <c r="C119" s="11" t="s">
        <v>67</v>
      </c>
      <c r="D119" s="12">
        <v>2</v>
      </c>
      <c r="E119" s="12">
        <v>0</v>
      </c>
      <c r="F119" s="12">
        <v>2</v>
      </c>
      <c r="G119" s="13">
        <f>+VLOOKUP(Tabla1103453454455456479364050637382[[#This Row],[Ingrediente]],Tabla34[#All],3,0)</f>
        <v>8.9250000000000007</v>
      </c>
      <c r="H119" s="14">
        <f>+Tabla1103453454455456479364050637382[[#This Row],[Costo]]*Tabla1103453454455456479364050637382[[#This Row],[Columna2]]</f>
        <v>17.850000000000001</v>
      </c>
      <c r="I119" s="4"/>
      <c r="J119" s="4"/>
      <c r="K119" s="26"/>
    </row>
    <row r="120" spans="1:13" x14ac:dyDescent="0.3">
      <c r="A120" s="28"/>
      <c r="B120" s="10" t="s">
        <v>119</v>
      </c>
      <c r="C120" s="11" t="s">
        <v>67</v>
      </c>
      <c r="D120" s="12">
        <v>150</v>
      </c>
      <c r="E120" s="12">
        <v>0</v>
      </c>
      <c r="F120" s="12">
        <v>150</v>
      </c>
      <c r="G120" s="13">
        <f>+VLOOKUP(Tabla1103453454455456479364050637382[[#This Row],[Ingrediente]],Tabla34[#All],3,0)</f>
        <v>5.8053971600000001</v>
      </c>
      <c r="H120" s="14">
        <f>+Tabla1103453454455456479364050637382[[#This Row],[Costo]]*Tabla1103453454455456479364050637382[[#This Row],[Columna2]]</f>
        <v>870.809574</v>
      </c>
      <c r="I120" s="4"/>
      <c r="J120" s="4"/>
      <c r="K120" s="26"/>
    </row>
    <row r="121" spans="1:13" x14ac:dyDescent="0.3">
      <c r="B121" s="16"/>
      <c r="C121" s="17"/>
      <c r="D121" s="17"/>
      <c r="E121" s="17"/>
      <c r="F121" s="17"/>
      <c r="G121" s="18"/>
      <c r="H121" s="18">
        <f>SUBTOTAL(109,Tabla1103453454455456479364050637382[Total costo])</f>
        <v>17087.078554000003</v>
      </c>
      <c r="I121" s="4"/>
      <c r="J121" s="27"/>
      <c r="K121" s="27"/>
    </row>
    <row r="122" spans="1:13" x14ac:dyDescent="0.3">
      <c r="G122" s="27"/>
    </row>
    <row r="124" spans="1:13" ht="15.6" x14ac:dyDescent="0.3">
      <c r="B124" s="1" t="s">
        <v>1283</v>
      </c>
      <c r="C124" s="2"/>
      <c r="D124" s="2"/>
      <c r="E124" s="3"/>
      <c r="F124" s="3"/>
      <c r="G124" s="3"/>
      <c r="H124" s="3"/>
      <c r="I124" s="242"/>
      <c r="J124" s="399" t="s">
        <v>0</v>
      </c>
      <c r="K124" s="399"/>
      <c r="M124" s="377" t="s">
        <v>1394</v>
      </c>
    </row>
    <row r="125" spans="1:13" x14ac:dyDescent="0.3">
      <c r="B125" s="16" t="s">
        <v>857</v>
      </c>
      <c r="C125" s="17" t="s">
        <v>895</v>
      </c>
      <c r="D125" s="17" t="s">
        <v>892</v>
      </c>
      <c r="E125" s="17" t="s">
        <v>893</v>
      </c>
      <c r="F125" s="17" t="s">
        <v>894</v>
      </c>
      <c r="G125" s="76" t="s">
        <v>4</v>
      </c>
      <c r="H125" s="76" t="s">
        <v>5</v>
      </c>
      <c r="I125" s="40"/>
      <c r="J125" s="8" t="s">
        <v>6</v>
      </c>
      <c r="K125" s="9">
        <f>SUM(Tabla110345345445545647945586877869510811712713622823724627233260269297315316348494493499527528374243440177[Total costo])</f>
        <v>15313.730986385001</v>
      </c>
      <c r="M125" s="346"/>
    </row>
    <row r="126" spans="1:13" x14ac:dyDescent="0.3">
      <c r="B126" s="10" t="s">
        <v>315</v>
      </c>
      <c r="C126" s="11" t="s">
        <v>847</v>
      </c>
      <c r="D126" s="12">
        <v>0.5</v>
      </c>
      <c r="E126" s="12">
        <v>0</v>
      </c>
      <c r="F126" s="12">
        <v>0.5</v>
      </c>
      <c r="G126" s="13">
        <f>+VLOOKUP(Tabla110345345445545647945586877869510811712713622823724627233260269297315316348494493499527528374243440177[[#This Row],[ArtÃ­culo]],Tabla34[#All],3,0)</f>
        <v>9017.9941012300005</v>
      </c>
      <c r="H126" s="14">
        <f>+Tabla110345345445545647945586877869510811712713622823724627233260269297315316348494493499527528374243440177[[#This Row],[Costo]]*Tabla110345345445545647945586877869510811712713622823724627233260269297315316348494493499527528374243440177[[#This Row],[Unidades]]</f>
        <v>4508.9970506150003</v>
      </c>
      <c r="I126" s="40"/>
      <c r="J126" s="8" t="s">
        <v>533</v>
      </c>
      <c r="K126" s="15">
        <f>+K125*5%</f>
        <v>765.68654931925005</v>
      </c>
      <c r="M126" s="346"/>
    </row>
    <row r="127" spans="1:13" x14ac:dyDescent="0.3">
      <c r="B127" s="10" t="s">
        <v>837</v>
      </c>
      <c r="C127" s="11" t="s">
        <v>847</v>
      </c>
      <c r="D127" s="12">
        <v>7</v>
      </c>
      <c r="E127" s="12">
        <v>0</v>
      </c>
      <c r="F127" s="12">
        <v>7</v>
      </c>
      <c r="G127" s="13">
        <f>+VLOOKUP(Tabla110345345445545647945586877869510811712713622823724627233260269297315316348494493499527528374243440177[[#This Row],[ArtÃ­culo]],Tabla34[#All],3,0)</f>
        <v>514.28</v>
      </c>
      <c r="H127" s="14">
        <f>+Tabla110345345445545647945586877869510811712713622823724627233260269297315316348494493499527528374243440177[[#This Row],[Costo]]*Tabla110345345445545647945586877869510811712713622823724627233260269297315316348494493499527528374243440177[[#This Row],[Unidades]]</f>
        <v>3599.96</v>
      </c>
      <c r="I127" s="40"/>
      <c r="J127" s="8" t="s">
        <v>13</v>
      </c>
      <c r="K127" s="15">
        <f>+K125+K126</f>
        <v>16079.417535704251</v>
      </c>
      <c r="M127" s="346"/>
    </row>
    <row r="128" spans="1:13" x14ac:dyDescent="0.3">
      <c r="B128" s="10" t="s">
        <v>52</v>
      </c>
      <c r="C128" s="11" t="s">
        <v>67</v>
      </c>
      <c r="D128" s="12">
        <v>50</v>
      </c>
      <c r="E128" s="12">
        <v>0</v>
      </c>
      <c r="F128" s="12">
        <v>50</v>
      </c>
      <c r="G128" s="13">
        <f>+VLOOKUP(Tabla110345345445545647945586877869510811712713622823724627233260269297315316348494493499527528374243440177[[#This Row],[ArtÃ­culo]],Tabla34[#All],3,0)</f>
        <v>27.651436050000001</v>
      </c>
      <c r="H128" s="14">
        <f>+Tabla110345345445545647945586877869510811712713622823724627233260269297315316348494493499527528374243440177[[#This Row],[Costo]]*Tabla110345345445545647945586877869510811712713622823724627233260269297315316348494493499527528374243440177[[#This Row],[Unidades]]</f>
        <v>1382.5718025000001</v>
      </c>
      <c r="I128" s="40"/>
      <c r="J128" s="20" t="s">
        <v>14</v>
      </c>
      <c r="K128" s="21">
        <v>59000</v>
      </c>
      <c r="M128" s="346"/>
    </row>
    <row r="129" spans="2:13" x14ac:dyDescent="0.3">
      <c r="B129" s="10" t="s">
        <v>624</v>
      </c>
      <c r="C129" s="11" t="s">
        <v>67</v>
      </c>
      <c r="D129" s="12">
        <v>30</v>
      </c>
      <c r="E129" s="12">
        <v>0</v>
      </c>
      <c r="F129" s="12">
        <v>30</v>
      </c>
      <c r="G129" s="13">
        <f>+VLOOKUP(Tabla110345345445545647945586877869510811712713622823724627233260269297315316348494493499527528374243440177[[#This Row],[ArtÃ­culo]],Tabla34[#All],3,0)</f>
        <v>32.29</v>
      </c>
      <c r="H129" s="14">
        <f>+Tabla110345345445545647945586877869510811712713622823724627233260269297315316348494493499527528374243440177[[#This Row],[Costo]]*Tabla110345345445545647945586877869510811712713622823724627233260269297315316348494493499527528374243440177[[#This Row],[Unidades]]</f>
        <v>968.69999999999993</v>
      </c>
      <c r="I129" s="40"/>
      <c r="J129" s="8" t="s">
        <v>15</v>
      </c>
      <c r="K129" s="15">
        <f>+K128/1.08*0.08</f>
        <v>4370.3703703703704</v>
      </c>
    </row>
    <row r="130" spans="2:13" x14ac:dyDescent="0.3">
      <c r="B130" s="10" t="s">
        <v>229</v>
      </c>
      <c r="C130" s="11" t="s">
        <v>67</v>
      </c>
      <c r="D130" s="12">
        <v>30</v>
      </c>
      <c r="E130" s="12">
        <v>0</v>
      </c>
      <c r="F130" s="12">
        <v>30</v>
      </c>
      <c r="G130" s="13">
        <f>+VLOOKUP(Tabla110345345445545647945586877869510811712713622823724627233260269297315316348494493499527528374243440177[[#This Row],[ArtÃ­culo]],Tabla34[#All],3,0)</f>
        <v>24.714500000000001</v>
      </c>
      <c r="H130" s="14">
        <f>+Tabla110345345445545647945586877869510811712713622823724627233260269297315316348494493499527528374243440177[[#This Row],[Costo]]*Tabla110345345445545647945586877869510811712713622823724627233260269297315316348494493499527528374243440177[[#This Row],[Unidades]]</f>
        <v>741.43500000000006</v>
      </c>
      <c r="I130" s="40"/>
      <c r="J130" s="8" t="s">
        <v>16</v>
      </c>
      <c r="K130" s="15">
        <f>+K128-K129</f>
        <v>54629.629629629628</v>
      </c>
      <c r="M130" s="377" t="s">
        <v>1377</v>
      </c>
    </row>
    <row r="131" spans="2:13" x14ac:dyDescent="0.3">
      <c r="B131" s="10" t="s">
        <v>835</v>
      </c>
      <c r="C131" s="11" t="s">
        <v>67</v>
      </c>
      <c r="D131" s="12">
        <v>30</v>
      </c>
      <c r="E131" s="12">
        <v>78</v>
      </c>
      <c r="F131" s="12">
        <v>136.364</v>
      </c>
      <c r="G131" s="13">
        <f>+VLOOKUP(Tabla110345345445545647945586877869510811712713622823724627233260269297315316348494493499527528374243440177[[#This Row],[ArtÃ­culo]],Tabla34[#All],3,0)</f>
        <v>4.5</v>
      </c>
      <c r="H131" s="14">
        <f>+Tabla110345345445545647945586877869510811712713622823724627233260269297315316348494493499527528374243440177[[#This Row],[Costo]]*Tabla110345345445545647945586877869510811712713622823724627233260269297315316348494493499527528374243440177[[#This Row],[Unidades]]</f>
        <v>613.63800000000003</v>
      </c>
      <c r="I131" s="40"/>
      <c r="J131" s="8" t="s">
        <v>17</v>
      </c>
      <c r="K131" s="41">
        <f>+K127/K130</f>
        <v>0.29433510065356938</v>
      </c>
      <c r="M131" s="346"/>
    </row>
    <row r="132" spans="2:13" x14ac:dyDescent="0.3">
      <c r="B132" s="10" t="s">
        <v>119</v>
      </c>
      <c r="C132" s="11" t="s">
        <v>67</v>
      </c>
      <c r="D132" s="12">
        <v>150</v>
      </c>
      <c r="E132" s="12">
        <v>0</v>
      </c>
      <c r="F132" s="12">
        <v>150</v>
      </c>
      <c r="G132" s="13">
        <f>+VLOOKUP(Tabla110345345445545647945586877869510811712713622823724627233260269297315316348494493499527528374243440177[[#This Row],[ArtÃ­culo]],Tabla34[#All],3,0)</f>
        <v>5.8053971600000001</v>
      </c>
      <c r="H132" s="14">
        <f>+Tabla110345345445545647945586877869510811712713622823724627233260269297315316348494493499527528374243440177[[#This Row],[Costo]]*Tabla110345345445545647945586877869510811712713622823724627233260269297315316348494493499527528374243440177[[#This Row],[Unidades]]</f>
        <v>870.809574</v>
      </c>
      <c r="I132" s="40"/>
      <c r="J132" s="8" t="s">
        <v>18</v>
      </c>
      <c r="K132" s="42">
        <f>+K130-K127</f>
        <v>38550.21209392538</v>
      </c>
      <c r="M132" s="346"/>
    </row>
    <row r="133" spans="2:13" x14ac:dyDescent="0.3">
      <c r="B133" s="10" t="s">
        <v>827</v>
      </c>
      <c r="C133" s="11" t="s">
        <v>67</v>
      </c>
      <c r="D133" s="12">
        <v>1</v>
      </c>
      <c r="E133" s="12">
        <v>0</v>
      </c>
      <c r="F133" s="12">
        <v>1</v>
      </c>
      <c r="G133" s="13">
        <f>+VLOOKUP(Tabla110345345445545647945586877869510811712713622823724627233260269297315316348494493499527528374243440177[[#This Row],[ArtÃ­culo]],Tabla34[#All],3,0)</f>
        <v>511</v>
      </c>
      <c r="H133" s="14">
        <f>+Tabla110345345445545647945586877869510811712713622823724627233260269297315316348494493499527528374243440177[[#This Row],[Costo]]*Tabla110345345445545647945586877869510811712713622823724627233260269297315316348494493499527528374243440177[[#This Row],[Unidades]]</f>
        <v>511</v>
      </c>
      <c r="I133" s="40"/>
      <c r="J133" s="8" t="s">
        <v>19</v>
      </c>
      <c r="K133" s="43">
        <f>+K132/K127</f>
        <v>2.3974880936031955</v>
      </c>
      <c r="M133" s="346"/>
    </row>
    <row r="134" spans="2:13" x14ac:dyDescent="0.3">
      <c r="B134" s="10" t="s">
        <v>121</v>
      </c>
      <c r="C134" s="11" t="s">
        <v>67</v>
      </c>
      <c r="D134" s="12">
        <v>20</v>
      </c>
      <c r="E134" s="12">
        <v>0</v>
      </c>
      <c r="F134" s="12">
        <v>20</v>
      </c>
      <c r="G134" s="13">
        <f>+VLOOKUP(Tabla110345345445545647945586877869510811712713622823724627233260269297315316348494493499527528374243440177[[#This Row],[ArtÃ­culo]],Tabla34[#All],3,0)</f>
        <v>23.79844713</v>
      </c>
      <c r="H134" s="14">
        <f>+Tabla110345345445545647945586877869510811712713622823724627233260269297315316348494493499527528374243440177[[#This Row],[Costo]]*Tabla110345345445545647945586877869510811712713622823724627233260269297315316348494493499527528374243440177[[#This Row],[Unidades]]</f>
        <v>475.96894259999999</v>
      </c>
      <c r="M134" s="346"/>
    </row>
    <row r="135" spans="2:13" x14ac:dyDescent="0.3">
      <c r="B135" s="10" t="s">
        <v>1223</v>
      </c>
      <c r="C135" s="11" t="s">
        <v>67</v>
      </c>
      <c r="D135" s="12">
        <v>20</v>
      </c>
      <c r="E135" s="12">
        <v>0</v>
      </c>
      <c r="F135" s="12">
        <v>20</v>
      </c>
      <c r="G135" s="13">
        <f>+VLOOKUP(Tabla110345345445545647945586877869510811712713622823724627233260269297315316348494493499527528374243440177[[#This Row],[ArtÃ­culo]],Tabla34[#All],3,0)</f>
        <v>8.6245170299999998</v>
      </c>
      <c r="H135" s="14">
        <f>+Tabla110345345445545647945586877869510811712713622823724627233260269297315316348494493499527528374243440177[[#This Row],[Costo]]*Tabla110345345445545647945586877869510811712713622823724627233260269297315316348494493499527528374243440177[[#This Row],[Unidades]]</f>
        <v>172.4903406</v>
      </c>
    </row>
    <row r="136" spans="2:13" x14ac:dyDescent="0.3">
      <c r="B136" s="10" t="s">
        <v>36</v>
      </c>
      <c r="C136" s="11" t="s">
        <v>67</v>
      </c>
      <c r="D136" s="12">
        <v>30</v>
      </c>
      <c r="E136" s="12">
        <v>0</v>
      </c>
      <c r="F136" s="12">
        <v>30</v>
      </c>
      <c r="G136" s="13">
        <f>+VLOOKUP(Tabla110345345445545647945586877869510811712713622823724627233260269297315316348494493499527528374243440177[[#This Row],[ArtÃ­culo]],Tabla34[#All],3,0)</f>
        <v>11.13732628</v>
      </c>
      <c r="H136" s="14">
        <f>+Tabla110345345445545647945586877869510811712713622823724627233260269297315316348494493499527528374243440177[[#This Row],[Costo]]*Tabla110345345445545647945586877869510811712713622823724627233260269297315316348494493499527528374243440177[[#This Row],[Unidades]]</f>
        <v>334.1197884</v>
      </c>
    </row>
    <row r="137" spans="2:13" x14ac:dyDescent="0.3">
      <c r="B137" s="10" t="s">
        <v>833</v>
      </c>
      <c r="C137" s="11" t="s">
        <v>67</v>
      </c>
      <c r="D137" s="12">
        <v>1</v>
      </c>
      <c r="E137" s="12">
        <v>0</v>
      </c>
      <c r="F137" s="12">
        <v>1</v>
      </c>
      <c r="G137" s="13">
        <f>+VLOOKUP(Tabla110345345445545647945586877869510811712713622823724627233260269297315316348494493499527528374243440177[[#This Row],[ArtÃ­culo]],Tabla34[#All],3,0)</f>
        <v>307.5</v>
      </c>
      <c r="H137" s="14">
        <f>+Tabla110345345445545647945586877869510811712713622823724627233260269297315316348494493499527528374243440177[[#This Row],[Costo]]*Tabla110345345445545647945586877869510811712713622823724627233260269297315316348494493499527528374243440177[[#This Row],[Unidades]]</f>
        <v>307.5</v>
      </c>
    </row>
    <row r="138" spans="2:13" x14ac:dyDescent="0.3">
      <c r="B138" s="10" t="s">
        <v>36</v>
      </c>
      <c r="C138" s="11" t="s">
        <v>67</v>
      </c>
      <c r="D138" s="12">
        <v>25</v>
      </c>
      <c r="E138" s="12">
        <v>0</v>
      </c>
      <c r="F138" s="12">
        <v>25</v>
      </c>
      <c r="G138" s="13">
        <f>+VLOOKUP(Tabla110345345445545647945586877869510811712713622823724627233260269297315316348494493499527528374243440177[[#This Row],[ArtÃ­culo]],Tabla34[#All],3,0)</f>
        <v>11.13732628</v>
      </c>
      <c r="H138" s="14">
        <f>+Tabla110345345445545647945586877869510811712713622823724627233260269297315316348494493499527528374243440177[[#This Row],[Costo]]*Tabla110345345445545647945586877869510811712713622823724627233260269297315316348494493499527528374243440177[[#This Row],[Unidades]]</f>
        <v>278.43315699999999</v>
      </c>
    </row>
    <row r="139" spans="2:13" x14ac:dyDescent="0.3">
      <c r="B139" s="10" t="s">
        <v>124</v>
      </c>
      <c r="C139" s="11" t="s">
        <v>67</v>
      </c>
      <c r="D139" s="12">
        <v>50</v>
      </c>
      <c r="E139" s="12">
        <v>0</v>
      </c>
      <c r="F139" s="12">
        <v>50</v>
      </c>
      <c r="G139" s="13">
        <f>+VLOOKUP(Tabla110345345445545647945586877869510811712713622823724627233260269297315316348494493499527528374243440177[[#This Row],[ArtÃ­culo]],Tabla34[#All],3,0)</f>
        <v>3.1357552800000001</v>
      </c>
      <c r="H139" s="14">
        <f>+Tabla110345345445545647945586877869510811712713622823724627233260269297315316348494493499527528374243440177[[#This Row],[Costo]]*Tabla110345345445545647945586877869510811712713622823724627233260269297315316348494493499527528374243440177[[#This Row],[Unidades]]</f>
        <v>156.78776400000001</v>
      </c>
    </row>
    <row r="140" spans="2:13" x14ac:dyDescent="0.3">
      <c r="B140" s="10" t="s">
        <v>233</v>
      </c>
      <c r="C140" s="11" t="s">
        <v>67</v>
      </c>
      <c r="D140" s="12">
        <v>1</v>
      </c>
      <c r="E140" s="12">
        <v>0</v>
      </c>
      <c r="F140" s="12">
        <v>1</v>
      </c>
      <c r="G140" s="13">
        <f>+VLOOKUP(Tabla110345345445545647945586877869510811712713622823724627233260269297315316348494493499527528374243440177[[#This Row],[ArtÃ­culo]],Tabla34[#All],3,0)</f>
        <v>99.166666669999998</v>
      </c>
      <c r="H140" s="14">
        <f>+Tabla110345345445545647945586877869510811712713622823724627233260269297315316348494493499527528374243440177[[#This Row],[Costo]]*Tabla110345345445545647945586877869510811712713622823724627233260269297315316348494493499527528374243440177[[#This Row],[Unidades]]</f>
        <v>99.166666669999998</v>
      </c>
    </row>
    <row r="141" spans="2:13" x14ac:dyDescent="0.3">
      <c r="B141" s="10" t="s">
        <v>634</v>
      </c>
      <c r="C141" s="11" t="s">
        <v>67</v>
      </c>
      <c r="D141" s="12">
        <v>10</v>
      </c>
      <c r="E141" s="12">
        <v>0</v>
      </c>
      <c r="F141" s="12">
        <v>10</v>
      </c>
      <c r="G141" s="13">
        <f>+VLOOKUP(Tabla110345345445545647945586877869510811712713622823724627233260269297315316348494493499527528374243440177[[#This Row],[ArtÃ­culo]],Tabla34[#All],3,0)</f>
        <v>8.9250000000000007</v>
      </c>
      <c r="H141" s="14">
        <f>+Tabla110345345445545647945586877869510811712713622823724627233260269297315316348494493499527528374243440177[[#This Row],[Costo]]*Tabla110345345445545647945586877869510811712713622823724627233260269297315316348494493499527528374243440177[[#This Row],[Unidades]]</f>
        <v>89.25</v>
      </c>
    </row>
    <row r="142" spans="2:13" x14ac:dyDescent="0.3">
      <c r="B142" s="10" t="s">
        <v>187</v>
      </c>
      <c r="C142" s="11" t="s">
        <v>67</v>
      </c>
      <c r="D142" s="12">
        <v>15</v>
      </c>
      <c r="E142" s="12">
        <v>10</v>
      </c>
      <c r="F142" s="12">
        <v>16.667000000000002</v>
      </c>
      <c r="G142" s="13">
        <f>+VLOOKUP(Tabla110345345445545647945586877869510811712713622823724627233260269297315316348494493499527528374243440177[[#This Row],[ArtÃ­culo]],Tabla34[#All],3,0)</f>
        <v>4.7</v>
      </c>
      <c r="H142" s="14">
        <f>+Tabla110345345445545647945586877869510811712713622823724627233260269297315316348494493499527528374243440177[[#This Row],[Costo]]*Tabla110345345445545647945586877869510811712713622823724627233260269297315316348494493499527528374243440177[[#This Row],[Unidades]]</f>
        <v>78.334900000000005</v>
      </c>
    </row>
    <row r="143" spans="2:13" x14ac:dyDescent="0.3">
      <c r="B143" s="10" t="s">
        <v>828</v>
      </c>
      <c r="C143" s="11" t="s">
        <v>67</v>
      </c>
      <c r="D143" s="12">
        <v>5</v>
      </c>
      <c r="E143" s="12">
        <v>0</v>
      </c>
      <c r="F143" s="12">
        <v>5</v>
      </c>
      <c r="G143" s="13">
        <f>+VLOOKUP(Tabla110345345445545647945586877869510811712713622823724627233260269297315316348494493499527528374243440177[[#This Row],[ArtÃ­culo]],Tabla34[#All],3,0)</f>
        <v>9.8000000000000007</v>
      </c>
      <c r="H143" s="14">
        <f>+Tabla110345345445545647945586877869510811712713622823724627233260269297315316348494493499527528374243440177[[#This Row],[Costo]]*Tabla110345345445545647945586877869510811712713622823724627233260269297315316348494493499527528374243440177[[#This Row],[Unidades]]</f>
        <v>49</v>
      </c>
    </row>
    <row r="144" spans="2:13" x14ac:dyDescent="0.3">
      <c r="B144" s="10" t="s">
        <v>219</v>
      </c>
      <c r="C144" s="11" t="s">
        <v>67</v>
      </c>
      <c r="D144" s="12">
        <v>1</v>
      </c>
      <c r="E144" s="12">
        <v>0</v>
      </c>
      <c r="F144" s="12">
        <v>1</v>
      </c>
      <c r="G144" s="13">
        <f>+VLOOKUP(Tabla110345345445545647945586877869510811712713622823724627233260269297315316348494493499527528374243440177[[#This Row],[ArtÃ­culo]],Tabla34[#All],3,0)</f>
        <v>30.77</v>
      </c>
      <c r="H144" s="14">
        <f>+Tabla110345345445545647945586877869510811712713622823724627233260269297315316348494493499527528374243440177[[#This Row],[Costo]]*Tabla110345345445545647945586877869510811712713622823724627233260269297315316348494493499527528374243440177[[#This Row],[Unidades]]</f>
        <v>30.77</v>
      </c>
    </row>
    <row r="145" spans="2:8" x14ac:dyDescent="0.3">
      <c r="B145" s="10" t="s">
        <v>730</v>
      </c>
      <c r="C145" s="11" t="s">
        <v>67</v>
      </c>
      <c r="D145" s="12">
        <v>2</v>
      </c>
      <c r="E145" s="12">
        <v>40</v>
      </c>
      <c r="F145" s="12">
        <v>3.3330000000000002</v>
      </c>
      <c r="G145" s="13">
        <f>+VLOOKUP(Tabla110345345445545647945586877869510811712713622823724627233260269297315316348494493499527528374243440177[[#This Row],[ArtÃ­culo]],Tabla34[#All],3,0)</f>
        <v>12</v>
      </c>
      <c r="H145" s="14">
        <f>+Tabla110345345445545647945586877869510811712713622823724627233260269297315316348494493499527528374243440177[[#This Row],[Costo]]*Tabla110345345445545647945586877869510811712713622823724627233260269297315316348494493499527528374243440177[[#This Row],[Unidades]]</f>
        <v>39.996000000000002</v>
      </c>
    </row>
    <row r="146" spans="2:8" x14ac:dyDescent="0.3">
      <c r="B146" s="10" t="s">
        <v>89</v>
      </c>
      <c r="C146" s="11" t="s">
        <v>67</v>
      </c>
      <c r="D146" s="12">
        <v>2</v>
      </c>
      <c r="E146" s="12">
        <v>0</v>
      </c>
      <c r="F146" s="12">
        <v>2</v>
      </c>
      <c r="G146" s="13">
        <f>+VLOOKUP(Tabla110345345445545647945586877869510811712713622823724627233260269297315316348494493499527528374243440177[[#This Row],[ArtÃ­culo]],Tabla34[#All],3,0)</f>
        <v>2.4009999999999998</v>
      </c>
      <c r="H146" s="14">
        <f>+Tabla110345345445545647945586877869510811712713622823724627233260269297315316348494493499527528374243440177[[#This Row],[Costo]]*Tabla110345345445545647945586877869510811712713622823724627233260269297315316348494493499527528374243440177[[#This Row],[Unidades]]</f>
        <v>4.8019999999999996</v>
      </c>
    </row>
    <row r="147" spans="2:8" x14ac:dyDescent="0.3">
      <c r="B147" s="16"/>
      <c r="C147" s="17"/>
      <c r="D147" s="17"/>
      <c r="E147" s="17"/>
      <c r="F147" s="17"/>
      <c r="G147" s="18"/>
      <c r="H147" s="18">
        <f>SUBTOTAL(109,Tabla110345345445545647945586877869510811712713622823724627233260269297315316348494493499527528374243440177[Total costo])</f>
        <v>15313.730986385001</v>
      </c>
    </row>
  </sheetData>
  <mergeCells count="7">
    <mergeCell ref="J124:K124"/>
    <mergeCell ref="J106:K106"/>
    <mergeCell ref="J6:K6"/>
    <mergeCell ref="J29:K29"/>
    <mergeCell ref="J50:K50"/>
    <mergeCell ref="J68:K68"/>
    <mergeCell ref="J85:K85"/>
  </mergeCells>
  <phoneticPr fontId="16" type="noConversion"/>
  <conditionalFormatting sqref="K13">
    <cfRule type="cellIs" dxfId="2543" priority="19" operator="lessThan">
      <formula>0.3</formula>
    </cfRule>
    <cfRule type="cellIs" dxfId="2542" priority="20" operator="greaterThan">
      <formula>0.3</formula>
    </cfRule>
  </conditionalFormatting>
  <conditionalFormatting sqref="K36">
    <cfRule type="cellIs" dxfId="2541" priority="17" operator="lessThan">
      <formula>0.3</formula>
    </cfRule>
    <cfRule type="cellIs" dxfId="2540" priority="18" operator="greaterThan">
      <formula>0.3</formula>
    </cfRule>
  </conditionalFormatting>
  <conditionalFormatting sqref="K57">
    <cfRule type="cellIs" dxfId="2539" priority="15" operator="lessThan">
      <formula>0.3</formula>
    </cfRule>
    <cfRule type="cellIs" dxfId="2538" priority="16" operator="greaterThan">
      <formula>0.3</formula>
    </cfRule>
  </conditionalFormatting>
  <conditionalFormatting sqref="K75">
    <cfRule type="cellIs" dxfId="2537" priority="13" operator="lessThan">
      <formula>0.3</formula>
    </cfRule>
    <cfRule type="cellIs" dxfId="2536" priority="14" operator="greaterThan">
      <formula>0.3</formula>
    </cfRule>
  </conditionalFormatting>
  <conditionalFormatting sqref="K92">
    <cfRule type="cellIs" dxfId="2535" priority="11" operator="lessThan">
      <formula>0.3</formula>
    </cfRule>
    <cfRule type="cellIs" dxfId="2534" priority="12" operator="greaterThan">
      <formula>0.3</formula>
    </cfRule>
  </conditionalFormatting>
  <conditionalFormatting sqref="K113">
    <cfRule type="cellIs" dxfId="2533" priority="9" operator="lessThan">
      <formula>0.3</formula>
    </cfRule>
    <cfRule type="cellIs" dxfId="2532" priority="10" operator="greaterThan">
      <formula>0.3</formula>
    </cfRule>
  </conditionalFormatting>
  <conditionalFormatting sqref="K131">
    <cfRule type="cellIs" dxfId="2531" priority="1" operator="lessThan">
      <formula>0.3</formula>
    </cfRule>
    <cfRule type="cellIs" dxfId="2530" priority="2" operator="greaterThan">
      <formula>0.3</formula>
    </cfRule>
  </conditionalFormatting>
  <pageMargins left="0.7" right="0.7" top="0.75" bottom="0.75" header="0.3" footer="0.3"/>
  <pageSetup orientation="portrait" horizontalDpi="360" verticalDpi="360" r:id="rId1"/>
  <drawing r:id="rId2"/>
  <tableParts count="21">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5BEE-397A-4C73-B1F2-A6419E6CD378}">
  <dimension ref="B6:M285"/>
  <sheetViews>
    <sheetView showGridLines="0" topLeftCell="A277" zoomScale="90" zoomScaleNormal="90" workbookViewId="0">
      <selection activeCell="G297" sqref="G297"/>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21875" bestFit="1" customWidth="1"/>
  </cols>
  <sheetData>
    <row r="6" spans="2:13" ht="15.6" x14ac:dyDescent="0.3">
      <c r="B6" s="1" t="s">
        <v>569</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SUM(Tabla11034534544554564794558687786[Total costo])</f>
        <v>70205.367670291991</v>
      </c>
      <c r="M7" s="346" t="s">
        <v>1589</v>
      </c>
    </row>
    <row r="8" spans="2:13" x14ac:dyDescent="0.3">
      <c r="B8" s="24" t="s">
        <v>823</v>
      </c>
      <c r="C8" s="11" t="s">
        <v>847</v>
      </c>
      <c r="D8" s="12">
        <v>2</v>
      </c>
      <c r="E8" s="12">
        <v>0</v>
      </c>
      <c r="F8" s="12">
        <v>2</v>
      </c>
      <c r="G8" s="13">
        <f>+VLOOKUP(Tabla11034534544554564794558687786[[#This Row],[Ingrediente]],Tabla34[#All],3,0)</f>
        <v>19000</v>
      </c>
      <c r="H8" s="14">
        <f>+Tabla11034534544554564794558687786[[#This Row],[Costo]]*Tabla11034534544554564794558687786[[#This Row],[Columna2]]</f>
        <v>38000</v>
      </c>
      <c r="I8" s="4"/>
      <c r="J8" s="8" t="s">
        <v>12</v>
      </c>
      <c r="K8" s="15">
        <f>+K7*10%</f>
        <v>7020.5367670291998</v>
      </c>
      <c r="M8" s="346" t="s">
        <v>1590</v>
      </c>
    </row>
    <row r="9" spans="2:13" x14ac:dyDescent="0.3">
      <c r="B9" s="24" t="s">
        <v>620</v>
      </c>
      <c r="C9" s="11" t="s">
        <v>67</v>
      </c>
      <c r="D9" s="12">
        <v>200.00000700000001</v>
      </c>
      <c r="E9" s="12">
        <v>10</v>
      </c>
      <c r="F9" s="12">
        <v>222.22223</v>
      </c>
      <c r="G9" s="13">
        <f>+VLOOKUP(Tabla11034534544554564794558687786[[#This Row],[Ingrediente]],Tabla34[#All],3,0)</f>
        <v>39</v>
      </c>
      <c r="H9" s="14">
        <f>+Tabla11034534544554564794558687786[[#This Row],[Costo]]*Tabla11034534544554564794558687786[[#This Row],[Columna2]]</f>
        <v>8666.6669700000002</v>
      </c>
      <c r="I9" s="4"/>
      <c r="J9" s="8" t="s">
        <v>13</v>
      </c>
      <c r="K9" s="15">
        <f>+K7+K8</f>
        <v>77225.904437321195</v>
      </c>
    </row>
    <row r="10" spans="2:13" x14ac:dyDescent="0.3">
      <c r="B10" s="24" t="s">
        <v>829</v>
      </c>
      <c r="C10" s="11" t="s">
        <v>847</v>
      </c>
      <c r="D10" s="12">
        <v>0.5</v>
      </c>
      <c r="E10" s="12">
        <v>0</v>
      </c>
      <c r="F10" s="12">
        <v>0.5</v>
      </c>
      <c r="G10" s="13">
        <f>+VLOOKUP(Tabla11034534544554564794558687786[[#This Row],[Ingrediente]],Tabla34[#All],3,0)</f>
        <v>16247.637500000001</v>
      </c>
      <c r="H10" s="14">
        <f>+Tabla11034534544554564794558687786[[#This Row],[Costo]]*Tabla11034534544554564794558687786[[#This Row],[Columna2]]</f>
        <v>8123.8187500000004</v>
      </c>
      <c r="I10" s="4"/>
      <c r="J10" s="20" t="s">
        <v>14</v>
      </c>
      <c r="K10" s="21">
        <v>280000</v>
      </c>
      <c r="M10" s="377" t="s">
        <v>1377</v>
      </c>
    </row>
    <row r="11" spans="2:13" x14ac:dyDescent="0.3">
      <c r="B11" s="24" t="s">
        <v>52</v>
      </c>
      <c r="C11" s="11" t="s">
        <v>67</v>
      </c>
      <c r="D11" s="12">
        <v>100</v>
      </c>
      <c r="E11" s="12">
        <v>0</v>
      </c>
      <c r="F11" s="12">
        <v>100</v>
      </c>
      <c r="G11" s="13">
        <f>+VLOOKUP(Tabla11034534544554564794558687786[[#This Row],[Ingrediente]],Tabla34[#All],3,0)</f>
        <v>27.651436050000001</v>
      </c>
      <c r="H11" s="14">
        <f>+Tabla11034534544554564794558687786[[#This Row],[Costo]]*Tabla11034534544554564794558687786[[#This Row],[Columna2]]</f>
        <v>2765.1436050000002</v>
      </c>
      <c r="I11" s="4"/>
      <c r="J11" s="8" t="s">
        <v>15</v>
      </c>
      <c r="K11" s="15">
        <f>+K10/1.08*0.08</f>
        <v>20740.740740740741</v>
      </c>
      <c r="M11" s="346" t="s">
        <v>1591</v>
      </c>
    </row>
    <row r="12" spans="2:13" x14ac:dyDescent="0.3">
      <c r="B12" s="24" t="s">
        <v>137</v>
      </c>
      <c r="C12" s="11" t="s">
        <v>67</v>
      </c>
      <c r="D12" s="12">
        <v>150</v>
      </c>
      <c r="E12" s="12">
        <v>0</v>
      </c>
      <c r="F12" s="12">
        <v>150</v>
      </c>
      <c r="G12" s="13">
        <f>+VLOOKUP(Tabla11034534544554564794558687786[[#This Row],[Ingrediente]],Tabla34[#All],3,0)</f>
        <v>16.730960419999999</v>
      </c>
      <c r="H12" s="14">
        <f>+Tabla11034534544554564794558687786[[#This Row],[Costo]]*Tabla11034534544554564794558687786[[#This Row],[Columna2]]</f>
        <v>2509.6440629999997</v>
      </c>
      <c r="I12" s="4"/>
      <c r="J12" s="8" t="s">
        <v>16</v>
      </c>
      <c r="K12" s="15">
        <f>+K10-K11</f>
        <v>259259.25925925927</v>
      </c>
      <c r="M12" s="346" t="s">
        <v>1592</v>
      </c>
    </row>
    <row r="13" spans="2:13" x14ac:dyDescent="0.3">
      <c r="B13" s="10" t="s">
        <v>682</v>
      </c>
      <c r="C13" s="11" t="s">
        <v>67</v>
      </c>
      <c r="D13" s="12">
        <v>40</v>
      </c>
      <c r="E13" s="12">
        <v>0</v>
      </c>
      <c r="F13" s="12">
        <v>40</v>
      </c>
      <c r="G13" s="13">
        <f>+VLOOKUP(Tabla11034534544554564794558687786[[#This Row],[Ingrediente]],Tabla34[#All],3,0)</f>
        <v>39.071701390000001</v>
      </c>
      <c r="H13" s="14">
        <f>+Tabla11034534544554564794558687786[[#This Row],[Costo]]*Tabla11034534544554564794558687786[[#This Row],[Columna2]]</f>
        <v>1562.8680555999999</v>
      </c>
      <c r="I13" s="4"/>
      <c r="J13" s="8" t="s">
        <v>17</v>
      </c>
      <c r="K13" s="22">
        <f>+K9/K12</f>
        <v>0.29787134568681028</v>
      </c>
      <c r="M13" s="346" t="s">
        <v>1593</v>
      </c>
    </row>
    <row r="14" spans="2:13" x14ac:dyDescent="0.3">
      <c r="B14" s="24" t="s">
        <v>114</v>
      </c>
      <c r="C14" s="11" t="s">
        <v>847</v>
      </c>
      <c r="D14" s="12">
        <v>3</v>
      </c>
      <c r="E14" s="12">
        <v>0</v>
      </c>
      <c r="F14" s="12">
        <v>3</v>
      </c>
      <c r="G14" s="13">
        <f>+VLOOKUP(Tabla11034534544554564794558687786[[#This Row],[Ingrediente]],Tabla34[#All],3,0)</f>
        <v>436</v>
      </c>
      <c r="H14" s="14">
        <f>+Tabla11034534544554564794558687786[[#This Row],[Costo]]*Tabla11034534544554564794558687786[[#This Row],[Columna2]]</f>
        <v>1308</v>
      </c>
      <c r="I14" s="4"/>
      <c r="J14" s="8" t="s">
        <v>18</v>
      </c>
      <c r="K14" s="23">
        <f>+K12-K9</f>
        <v>182033.35482193809</v>
      </c>
    </row>
    <row r="15" spans="2:13" x14ac:dyDescent="0.3">
      <c r="B15" s="10" t="s">
        <v>835</v>
      </c>
      <c r="C15" s="11" t="s">
        <v>67</v>
      </c>
      <c r="D15" s="12">
        <v>49.999998400000003</v>
      </c>
      <c r="E15" s="12">
        <v>78</v>
      </c>
      <c r="F15" s="12">
        <v>227.27271999999999</v>
      </c>
      <c r="G15" s="13">
        <f>+VLOOKUP(Tabla11034534544554564794558687786[[#This Row],[Ingrediente]],Tabla34[#All],3,0)</f>
        <v>4.5</v>
      </c>
      <c r="H15" s="14">
        <f>+Tabla11034534544554564794558687786[[#This Row],[Costo]]*Tabla11034534544554564794558687786[[#This Row],[Columna2]]</f>
        <v>1022.7272399999999</v>
      </c>
      <c r="I15" s="4"/>
      <c r="J15" s="8" t="s">
        <v>19</v>
      </c>
      <c r="K15" s="25">
        <f>+K14/K9</f>
        <v>2.3571540682917052</v>
      </c>
    </row>
    <row r="16" spans="2:13" x14ac:dyDescent="0.3">
      <c r="B16" s="24" t="s">
        <v>106</v>
      </c>
      <c r="C16" s="11" t="s">
        <v>67</v>
      </c>
      <c r="D16" s="12">
        <v>30</v>
      </c>
      <c r="E16" s="12">
        <v>0</v>
      </c>
      <c r="F16" s="12">
        <v>30</v>
      </c>
      <c r="G16" s="13">
        <f>+VLOOKUP(Tabla11034534544554564794558687786[[#This Row],[Ingrediente]],Tabla34[#All],3,0)</f>
        <v>19.804166670000001</v>
      </c>
      <c r="H16" s="14">
        <f>+Tabla11034534544554564794558687786[[#This Row],[Costo]]*Tabla11034534544554564794558687786[[#This Row],[Columna2]]</f>
        <v>594.12500010000008</v>
      </c>
      <c r="I16" s="4"/>
      <c r="J16" s="4"/>
      <c r="K16" s="31"/>
    </row>
    <row r="17" spans="2:11" x14ac:dyDescent="0.3">
      <c r="B17" s="10" t="s">
        <v>37</v>
      </c>
      <c r="C17" s="11" t="s">
        <v>67</v>
      </c>
      <c r="D17" s="12">
        <v>19</v>
      </c>
      <c r="E17" s="12">
        <v>0</v>
      </c>
      <c r="F17" s="12">
        <v>19</v>
      </c>
      <c r="G17" s="13">
        <f>+VLOOKUP(Tabla11034534544554564794558687786[[#This Row],[Ingrediente]],Tabla34[#All],3,0)</f>
        <v>14.25783539</v>
      </c>
      <c r="H17" s="14">
        <f>+Tabla11034534544554564794558687786[[#This Row],[Costo]]*Tabla11034534544554564794558687786[[#This Row],[Columna2]]</f>
        <v>270.89887241000002</v>
      </c>
      <c r="I17" s="4"/>
      <c r="J17" s="4"/>
      <c r="K17" s="31"/>
    </row>
    <row r="18" spans="2:11" x14ac:dyDescent="0.3">
      <c r="B18" s="24" t="s">
        <v>833</v>
      </c>
      <c r="C18" s="11" t="s">
        <v>67</v>
      </c>
      <c r="D18" s="12">
        <v>1</v>
      </c>
      <c r="E18" s="12">
        <v>0</v>
      </c>
      <c r="F18" s="12">
        <v>1</v>
      </c>
      <c r="G18" s="13">
        <f>+VLOOKUP(Tabla11034534544554564794558687786[[#This Row],[Ingrediente]],Tabla34[#All],3,0)</f>
        <v>307.5</v>
      </c>
      <c r="H18" s="14">
        <f>+Tabla11034534544554564794558687786[[#This Row],[Costo]]*Tabla11034534544554564794558687786[[#This Row],[Columna2]]</f>
        <v>307.5</v>
      </c>
      <c r="I18" s="4"/>
      <c r="J18" s="4"/>
      <c r="K18" s="31"/>
    </row>
    <row r="19" spans="2:11" x14ac:dyDescent="0.3">
      <c r="B19" s="24" t="s">
        <v>828</v>
      </c>
      <c r="C19" s="11" t="s">
        <v>67</v>
      </c>
      <c r="D19" s="12">
        <v>19.999999819999999</v>
      </c>
      <c r="E19" s="12">
        <v>33</v>
      </c>
      <c r="F19" s="12">
        <v>29.850746000000001</v>
      </c>
      <c r="G19" s="13">
        <f>+VLOOKUP(Tabla11034534544554564794558687786[[#This Row],[Ingrediente]],Tabla34[#All],3,0)</f>
        <v>9.8000000000000007</v>
      </c>
      <c r="H19" s="14">
        <f>+Tabla11034534544554564794558687786[[#This Row],[Costo]]*Tabla11034534544554564794558687786[[#This Row],[Columna2]]</f>
        <v>292.53731080000006</v>
      </c>
      <c r="I19" s="4"/>
      <c r="J19" s="4"/>
      <c r="K19" s="31"/>
    </row>
    <row r="20" spans="2:11" x14ac:dyDescent="0.3">
      <c r="B20" s="10" t="s">
        <v>124</v>
      </c>
      <c r="C20" s="11" t="s">
        <v>67</v>
      </c>
      <c r="D20" s="12">
        <v>30</v>
      </c>
      <c r="E20" s="12">
        <v>0</v>
      </c>
      <c r="F20" s="12">
        <v>30</v>
      </c>
      <c r="G20" s="13">
        <f>+VLOOKUP(Tabla11034534544554564794558687786[[#This Row],[Ingrediente]],Tabla34[#All],3,0)</f>
        <v>3.1357552800000001</v>
      </c>
      <c r="H20" s="14">
        <f>+Tabla11034534544554564794558687786[[#This Row],[Costo]]*Tabla11034534544554564794558687786[[#This Row],[Columna2]]</f>
        <v>94.072658400000009</v>
      </c>
      <c r="I20" s="4"/>
      <c r="J20" s="4"/>
      <c r="K20" s="31"/>
    </row>
    <row r="21" spans="2:11" x14ac:dyDescent="0.3">
      <c r="B21" s="10" t="s">
        <v>145</v>
      </c>
      <c r="C21" s="11" t="s">
        <v>67</v>
      </c>
      <c r="D21" s="12">
        <v>5</v>
      </c>
      <c r="E21" s="12">
        <v>0</v>
      </c>
      <c r="F21" s="12">
        <v>5</v>
      </c>
      <c r="G21" s="13">
        <f>+VLOOKUP(Tabla11034534544554564794558687786[[#This Row],[Ingrediente]],Tabla34[#All],3,0)</f>
        <v>40.425119780000003</v>
      </c>
      <c r="H21" s="14">
        <f>+Tabla11034534544554564794558687786[[#This Row],[Costo]]*Tabla11034534544554564794558687786[[#This Row],[Columna2]]</f>
        <v>202.1255989</v>
      </c>
      <c r="I21" s="4"/>
      <c r="J21" s="4"/>
      <c r="K21" s="31"/>
    </row>
    <row r="22" spans="2:11" x14ac:dyDescent="0.3">
      <c r="B22" s="24" t="s">
        <v>687</v>
      </c>
      <c r="C22" s="11" t="s">
        <v>67</v>
      </c>
      <c r="D22" s="12">
        <v>29.999998909999999</v>
      </c>
      <c r="E22" s="12">
        <v>17</v>
      </c>
      <c r="F22" s="12">
        <v>36.144576999999998</v>
      </c>
      <c r="G22" s="13">
        <f>+VLOOKUP(Tabla11034534544554564794558687786[[#This Row],[Ingrediente]],Tabla34[#All],3,0)</f>
        <v>2.8</v>
      </c>
      <c r="H22" s="14">
        <f>+Tabla11034534544554564794558687786[[#This Row],[Costo]]*Tabla11034534544554564794558687786[[#This Row],[Columna2]]</f>
        <v>101.20481559999999</v>
      </c>
      <c r="I22" s="4"/>
      <c r="J22" s="4"/>
      <c r="K22" s="31"/>
    </row>
    <row r="23" spans="2:11" x14ac:dyDescent="0.3">
      <c r="B23" s="24" t="s">
        <v>1230</v>
      </c>
      <c r="C23" s="11" t="s">
        <v>67</v>
      </c>
      <c r="D23" s="12">
        <v>30</v>
      </c>
      <c r="E23" s="12">
        <v>0</v>
      </c>
      <c r="F23" s="12">
        <v>30</v>
      </c>
      <c r="G23" s="13">
        <f>+VLOOKUP(Tabla11034534544554564794558687786[[#This Row],[Ingrediente]],Tabla34[#All],3,0)</f>
        <v>2.3696000000000002</v>
      </c>
      <c r="H23" s="14">
        <f>+Tabla11034534544554564794558687786[[#This Row],[Costo]]*Tabla11034534544554564794558687786[[#This Row],[Columna2]]</f>
        <v>71.088000000000008</v>
      </c>
      <c r="I23" s="4"/>
      <c r="J23" s="4"/>
      <c r="K23" s="31"/>
    </row>
    <row r="24" spans="2:11" x14ac:dyDescent="0.3">
      <c r="B24" s="10" t="s">
        <v>838</v>
      </c>
      <c r="C24" s="11" t="s">
        <v>847</v>
      </c>
      <c r="D24" s="12">
        <v>1</v>
      </c>
      <c r="E24" s="12">
        <v>0</v>
      </c>
      <c r="F24" s="12">
        <v>1</v>
      </c>
      <c r="G24" s="13">
        <f>+VLOOKUP(Tabla11034534544554564794558687786[[#This Row],[Ingrediente]],Tabla34[#All],3,0)</f>
        <v>4196.75</v>
      </c>
      <c r="H24" s="14">
        <f>+Tabla11034534544554564794558687786[[#This Row],[Costo]]*Tabla11034534544554564794558687786[[#This Row],[Columna2]]</f>
        <v>4196.75</v>
      </c>
      <c r="I24" s="4"/>
      <c r="J24" s="4"/>
      <c r="K24" s="31"/>
    </row>
    <row r="25" spans="2:11" x14ac:dyDescent="0.3">
      <c r="B25" s="10" t="s">
        <v>219</v>
      </c>
      <c r="C25" s="11" t="s">
        <v>67</v>
      </c>
      <c r="D25" s="12">
        <v>0.99999996000000002</v>
      </c>
      <c r="E25" s="12">
        <v>40</v>
      </c>
      <c r="F25" s="12">
        <v>1.6666666000000001</v>
      </c>
      <c r="G25" s="13">
        <f>+VLOOKUP(Tabla11034534544554564794558687786[[#This Row],[Ingrediente]],Tabla34[#All],3,0)</f>
        <v>30.77</v>
      </c>
      <c r="H25" s="14">
        <f>+Tabla11034534544554564794558687786[[#This Row],[Costo]]*Tabla11034534544554564794558687786[[#This Row],[Columna2]]</f>
        <v>51.283331282000006</v>
      </c>
      <c r="I25" s="4"/>
      <c r="J25" s="4"/>
      <c r="K25" s="31"/>
    </row>
    <row r="26" spans="2:11" x14ac:dyDescent="0.3">
      <c r="B26" s="24" t="s">
        <v>634</v>
      </c>
      <c r="C26" s="11" t="s">
        <v>67</v>
      </c>
      <c r="D26" s="12">
        <v>3</v>
      </c>
      <c r="E26" s="12">
        <v>0</v>
      </c>
      <c r="F26" s="12">
        <v>3</v>
      </c>
      <c r="G26" s="13">
        <f>+VLOOKUP(Tabla11034534544554564794558687786[[#This Row],[Ingrediente]],Tabla34[#All],3,0)</f>
        <v>8.9250000000000007</v>
      </c>
      <c r="H26" s="14">
        <f>+Tabla11034534544554564794558687786[[#This Row],[Costo]]*Tabla11034534544554564794558687786[[#This Row],[Columna2]]</f>
        <v>26.775000000000002</v>
      </c>
      <c r="I26" s="4"/>
      <c r="J26" s="4"/>
      <c r="K26" s="31"/>
    </row>
    <row r="27" spans="2:11" x14ac:dyDescent="0.3">
      <c r="B27" s="24" t="s">
        <v>89</v>
      </c>
      <c r="C27" s="11" t="s">
        <v>67</v>
      </c>
      <c r="D27" s="12">
        <v>4</v>
      </c>
      <c r="E27" s="12">
        <v>0</v>
      </c>
      <c r="F27" s="12">
        <v>4</v>
      </c>
      <c r="G27" s="13">
        <f>+VLOOKUP(Tabla11034534544554564794558687786[[#This Row],[Ingrediente]],Tabla34[#All],3,0)</f>
        <v>2.4009999999999998</v>
      </c>
      <c r="H27" s="14">
        <f>+Tabla11034534544554564794558687786[[#This Row],[Costo]]*Tabla11034534544554564794558687786[[#This Row],[Columna2]]</f>
        <v>9.6039999999999992</v>
      </c>
      <c r="I27" s="4"/>
      <c r="J27" s="4"/>
      <c r="K27" s="31"/>
    </row>
    <row r="28" spans="2:11" x14ac:dyDescent="0.3">
      <c r="B28" s="24" t="s">
        <v>730</v>
      </c>
      <c r="C28" s="11" t="s">
        <v>67</v>
      </c>
      <c r="D28" s="12">
        <v>0.99999996000000002</v>
      </c>
      <c r="E28" s="12">
        <v>40</v>
      </c>
      <c r="F28" s="12">
        <v>1.6666666000000001</v>
      </c>
      <c r="G28" s="13">
        <f>+VLOOKUP(Tabla11034534544554564794558687786[[#This Row],[Ingrediente]],Tabla34[#All],3,0)</f>
        <v>12</v>
      </c>
      <c r="H28" s="14">
        <f>+Tabla11034534544554564794558687786[[#This Row],[Costo]]*Tabla11034534544554564794558687786[[#This Row],[Columna2]]</f>
        <v>19.999999200000001</v>
      </c>
      <c r="I28" s="4"/>
      <c r="J28" s="4"/>
      <c r="K28" s="31"/>
    </row>
    <row r="29" spans="2:11" x14ac:dyDescent="0.3">
      <c r="B29" s="24" t="s">
        <v>312</v>
      </c>
      <c r="C29" s="11" t="s">
        <v>67</v>
      </c>
      <c r="D29" s="12">
        <v>2</v>
      </c>
      <c r="E29" s="12">
        <v>0</v>
      </c>
      <c r="F29" s="12">
        <v>2</v>
      </c>
      <c r="G29" s="13">
        <f>+VLOOKUP(Tabla11034534544554564794558687786[[#This Row],[Ingrediente]],Tabla34[#All],3,0)</f>
        <v>4.2671999999999999</v>
      </c>
      <c r="H29" s="14">
        <f>+Tabla11034534544554564794558687786[[#This Row],[Costo]]*Tabla11034534544554564794558687786[[#This Row],[Columna2]]</f>
        <v>8.5343999999999998</v>
      </c>
      <c r="I29" s="4"/>
      <c r="J29" s="4"/>
      <c r="K29" s="31"/>
    </row>
    <row r="30" spans="2:11" x14ac:dyDescent="0.3">
      <c r="B30" s="10" t="s">
        <v>795</v>
      </c>
      <c r="C30" s="11" t="s">
        <v>67</v>
      </c>
      <c r="D30" s="12">
        <v>1</v>
      </c>
      <c r="E30" s="12">
        <v>0</v>
      </c>
      <c r="F30" s="12">
        <v>1</v>
      </c>
      <c r="G30" s="13">
        <f>+VLOOKUP(Tabla11034534544554564794558687786[[#This Row],[Ingrediente]],Tabla34[#All],3,0)</f>
        <v>0</v>
      </c>
      <c r="H30" s="14">
        <f>+Tabla11034534544554564794558687786[[#This Row],[Costo]]*Tabla11034534544554564794558687786[[#This Row],[Columna2]]</f>
        <v>0</v>
      </c>
      <c r="I30" s="4"/>
      <c r="J30" s="4"/>
      <c r="K30" s="31"/>
    </row>
    <row r="31" spans="2:11" x14ac:dyDescent="0.3">
      <c r="B31" s="16"/>
      <c r="C31" s="17"/>
      <c r="D31" s="17"/>
      <c r="E31" s="17"/>
      <c r="F31" s="17"/>
      <c r="G31" s="18"/>
      <c r="H31" s="18">
        <f>SUBTOTAL(109,Tabla11034534544554564794558687786[Total costo])</f>
        <v>70205.367670291991</v>
      </c>
    </row>
    <row r="33" spans="2:13" ht="15.6" x14ac:dyDescent="0.3">
      <c r="B33" s="1" t="s">
        <v>858</v>
      </c>
      <c r="C33" s="2"/>
      <c r="D33" s="2"/>
      <c r="E33" s="3"/>
      <c r="F33" s="3"/>
      <c r="G33" s="3"/>
      <c r="H33" s="3"/>
      <c r="I33" s="4"/>
      <c r="J33" s="399" t="s">
        <v>0</v>
      </c>
      <c r="K33" s="399"/>
      <c r="M33" s="377" t="s">
        <v>1394</v>
      </c>
    </row>
    <row r="34" spans="2:13" x14ac:dyDescent="0.3">
      <c r="B34" s="5" t="s">
        <v>1</v>
      </c>
      <c r="C34" s="6" t="s">
        <v>2</v>
      </c>
      <c r="D34" s="6" t="s">
        <v>3</v>
      </c>
      <c r="E34" s="6" t="s">
        <v>920</v>
      </c>
      <c r="F34" s="6" t="s">
        <v>319</v>
      </c>
      <c r="G34" s="7" t="s">
        <v>4</v>
      </c>
      <c r="H34" s="7" t="s">
        <v>5</v>
      </c>
      <c r="I34" s="4"/>
      <c r="J34" s="8" t="s">
        <v>6</v>
      </c>
      <c r="K34" s="9" t="e">
        <f>SUM(Tabla1103453454455456479364659697887[Total costo])</f>
        <v>#N/A</v>
      </c>
      <c r="M34" s="346" t="s">
        <v>1526</v>
      </c>
    </row>
    <row r="35" spans="2:13" x14ac:dyDescent="0.3">
      <c r="B35" s="10" t="s">
        <v>620</v>
      </c>
      <c r="C35" s="11" t="s">
        <v>67</v>
      </c>
      <c r="D35" s="12">
        <v>100.00000350000001</v>
      </c>
      <c r="E35" s="12">
        <v>10</v>
      </c>
      <c r="F35" s="12">
        <v>111.111115</v>
      </c>
      <c r="G35" s="13">
        <f>+VLOOKUP(Tabla1103453454455456479364659697887[[#This Row],[Ingrediente]],Tabla34[#All],3,0)</f>
        <v>39</v>
      </c>
      <c r="H35" s="14">
        <f>+Tabla1103453454455456479364659697887[[#This Row],[Costo]]*Tabla1103453454455456479364659697887[[#This Row],[Columna2]]</f>
        <v>4333.3334850000001</v>
      </c>
      <c r="I35" s="4"/>
      <c r="J35" s="8" t="s">
        <v>12</v>
      </c>
      <c r="K35" s="15" t="e">
        <f>+K34*10%</f>
        <v>#N/A</v>
      </c>
      <c r="M35" s="346" t="s">
        <v>1527</v>
      </c>
    </row>
    <row r="36" spans="2:13" x14ac:dyDescent="0.3">
      <c r="B36" s="24" t="s">
        <v>837</v>
      </c>
      <c r="C36" s="11" t="s">
        <v>847</v>
      </c>
      <c r="D36" s="12">
        <v>7</v>
      </c>
      <c r="E36" s="12">
        <v>0</v>
      </c>
      <c r="F36" s="12">
        <v>7</v>
      </c>
      <c r="G36" s="13">
        <f>+VLOOKUP(Tabla1103453454455456479364659697887[[#This Row],[Ingrediente]],Tabla34[#All],3,0)</f>
        <v>514.28</v>
      </c>
      <c r="H36" s="14">
        <f>+Tabla1103453454455456479364659697887[[#This Row],[Costo]]*Tabla1103453454455456479364659697887[[#This Row],[Columna2]]</f>
        <v>3599.96</v>
      </c>
      <c r="I36" s="4"/>
      <c r="J36" s="8" t="s">
        <v>13</v>
      </c>
      <c r="K36" s="15" t="e">
        <f>+K34+K35</f>
        <v>#N/A</v>
      </c>
      <c r="M36" s="346" t="s">
        <v>1528</v>
      </c>
    </row>
    <row r="37" spans="2:13" x14ac:dyDescent="0.3">
      <c r="B37" s="10" t="s">
        <v>682</v>
      </c>
      <c r="C37" s="11" t="s">
        <v>67</v>
      </c>
      <c r="D37" s="12">
        <v>40</v>
      </c>
      <c r="E37" s="12">
        <v>0</v>
      </c>
      <c r="F37" s="12">
        <v>40</v>
      </c>
      <c r="G37" s="13">
        <f>+VLOOKUP(Tabla1103453454455456479364659697887[[#This Row],[Ingrediente]],Tabla34[#All],3,0)</f>
        <v>39.071701390000001</v>
      </c>
      <c r="H37" s="14">
        <f>+Tabla1103453454455456479364659697887[[#This Row],[Costo]]*Tabla1103453454455456479364659697887[[#This Row],[Columna2]]</f>
        <v>1562.8680555999999</v>
      </c>
      <c r="I37" s="4"/>
      <c r="J37" s="20" t="s">
        <v>14</v>
      </c>
      <c r="K37" s="21">
        <v>68000</v>
      </c>
    </row>
    <row r="38" spans="2:13" x14ac:dyDescent="0.3">
      <c r="B38" s="10" t="s">
        <v>683</v>
      </c>
      <c r="C38" s="11" t="s">
        <v>67</v>
      </c>
      <c r="D38" s="12">
        <v>99.999997500000006</v>
      </c>
      <c r="E38" s="12">
        <v>25</v>
      </c>
      <c r="F38" s="12">
        <v>133.33332999999999</v>
      </c>
      <c r="G38" s="13">
        <f>+VLOOKUP(Tabla1103453454455456479364659697887[[#This Row],[Ingrediente]],Tabla34[#All],3,0)</f>
        <v>8.5</v>
      </c>
      <c r="H38" s="14">
        <f>+Tabla1103453454455456479364659697887[[#This Row],[Costo]]*Tabla1103453454455456479364659697887[[#This Row],[Columna2]]</f>
        <v>1133.3333049999999</v>
      </c>
      <c r="I38" s="4"/>
      <c r="J38" s="8" t="s">
        <v>15</v>
      </c>
      <c r="K38" s="15">
        <f>+K37/1.08*0.08</f>
        <v>5037.0370370370365</v>
      </c>
      <c r="M38" s="377" t="s">
        <v>1377</v>
      </c>
    </row>
    <row r="39" spans="2:13" x14ac:dyDescent="0.3">
      <c r="B39" s="10" t="s">
        <v>451</v>
      </c>
      <c r="C39" s="11" t="s">
        <v>67</v>
      </c>
      <c r="D39" s="12">
        <v>20</v>
      </c>
      <c r="E39" s="12">
        <v>0</v>
      </c>
      <c r="F39" s="12">
        <v>20</v>
      </c>
      <c r="G39" s="13">
        <f>+VLOOKUP(Tabla1103453454455456479364659697887[[#This Row],[Ingrediente]],Tabla34[#All],3,0)</f>
        <v>60.987499999999997</v>
      </c>
      <c r="H39" s="14">
        <f>+Tabla1103453454455456479364659697887[[#This Row],[Costo]]*Tabla1103453454455456479364659697887[[#This Row],[Columna2]]</f>
        <v>1219.75</v>
      </c>
      <c r="I39" s="4"/>
      <c r="J39" s="8" t="s">
        <v>16</v>
      </c>
      <c r="K39" s="15">
        <f>+K37-K38</f>
        <v>62962.962962962964</v>
      </c>
      <c r="M39" s="346" t="s">
        <v>1529</v>
      </c>
    </row>
    <row r="40" spans="2:13" x14ac:dyDescent="0.3">
      <c r="B40" s="24" t="s">
        <v>114</v>
      </c>
      <c r="C40" s="11" t="s">
        <v>847</v>
      </c>
      <c r="D40" s="12">
        <v>2</v>
      </c>
      <c r="E40" s="12">
        <v>0</v>
      </c>
      <c r="F40" s="12">
        <v>2</v>
      </c>
      <c r="G40" s="13">
        <f>+VLOOKUP(Tabla1103453454455456479364659697887[[#This Row],[Ingrediente]],Tabla34[#All],3,0)</f>
        <v>436</v>
      </c>
      <c r="H40" s="14">
        <f>+Tabla1103453454455456479364659697887[[#This Row],[Costo]]*Tabla1103453454455456479364659697887[[#This Row],[Columna2]]</f>
        <v>872</v>
      </c>
      <c r="I40" s="4"/>
      <c r="J40" s="8" t="s">
        <v>17</v>
      </c>
      <c r="K40" s="22" t="e">
        <f>+K36/K39</f>
        <v>#N/A</v>
      </c>
      <c r="M40" s="346" t="s">
        <v>1530</v>
      </c>
    </row>
    <row r="41" spans="2:13" x14ac:dyDescent="0.3">
      <c r="B41" s="10" t="s">
        <v>308</v>
      </c>
      <c r="C41" s="11" t="s">
        <v>67</v>
      </c>
      <c r="D41" s="12">
        <v>30</v>
      </c>
      <c r="E41" s="12">
        <v>0</v>
      </c>
      <c r="F41" s="12">
        <v>30</v>
      </c>
      <c r="G41" s="13">
        <f>+VLOOKUP(Tabla1103453454455456479364659697887[[#This Row],[Ingrediente]],Tabla34[#All],3,0)</f>
        <v>24.115200000000002</v>
      </c>
      <c r="H41" s="14">
        <f>+Tabla1103453454455456479364659697887[[#This Row],[Costo]]*Tabla1103453454455456479364659697887[[#This Row],[Columna2]]</f>
        <v>723.45600000000002</v>
      </c>
      <c r="I41" s="4"/>
      <c r="J41" s="8" t="s">
        <v>18</v>
      </c>
      <c r="K41" s="23" t="e">
        <f>+K39-K36</f>
        <v>#N/A</v>
      </c>
    </row>
    <row r="42" spans="2:13" x14ac:dyDescent="0.3">
      <c r="B42" s="10" t="s">
        <v>169</v>
      </c>
      <c r="C42" s="11" t="s">
        <v>847</v>
      </c>
      <c r="D42" s="12">
        <v>1</v>
      </c>
      <c r="E42" s="12">
        <v>0</v>
      </c>
      <c r="F42" s="12">
        <v>1</v>
      </c>
      <c r="G42" s="13" t="e">
        <f>+VLOOKUP(Tabla1103453454455456479364659697887[[#This Row],[Ingrediente]],Tabla34[#All],3,0)</f>
        <v>#N/A</v>
      </c>
      <c r="H42" s="14" t="e">
        <f>+Tabla1103453454455456479364659697887[[#This Row],[Costo]]*Tabla1103453454455456479364659697887[[#This Row],[Columna2]]</f>
        <v>#N/A</v>
      </c>
      <c r="I42" s="4"/>
      <c r="J42" s="8" t="s">
        <v>19</v>
      </c>
      <c r="K42" s="25" t="e">
        <f>+K41/K36</f>
        <v>#N/A</v>
      </c>
    </row>
    <row r="43" spans="2:13" x14ac:dyDescent="0.3">
      <c r="B43" s="24" t="s">
        <v>124</v>
      </c>
      <c r="C43" s="11" t="s">
        <v>67</v>
      </c>
      <c r="D43" s="12">
        <v>70</v>
      </c>
      <c r="E43" s="12">
        <v>0</v>
      </c>
      <c r="F43" s="12">
        <v>70</v>
      </c>
      <c r="G43" s="13">
        <f>+VLOOKUP(Tabla1103453454455456479364659697887[[#This Row],[Ingrediente]],Tabla34[#All],3,0)</f>
        <v>3.1357552800000001</v>
      </c>
      <c r="H43" s="14">
        <f>+Tabla1103453454455456479364659697887[[#This Row],[Costo]]*Tabla1103453454455456479364659697887[[#This Row],[Columna2]]</f>
        <v>219.5028696</v>
      </c>
      <c r="I43" s="4"/>
      <c r="J43" s="4"/>
      <c r="K43" s="31"/>
    </row>
    <row r="44" spans="2:13" x14ac:dyDescent="0.3">
      <c r="B44" s="24" t="s">
        <v>828</v>
      </c>
      <c r="C44" s="11" t="s">
        <v>67</v>
      </c>
      <c r="D44" s="12">
        <v>29.999999649999999</v>
      </c>
      <c r="E44" s="12">
        <v>5</v>
      </c>
      <c r="F44" s="12">
        <v>31.578946999999999</v>
      </c>
      <c r="G44" s="13">
        <f>+VLOOKUP(Tabla1103453454455456479364659697887[[#This Row],[Ingrediente]],Tabla34[#All],3,0)</f>
        <v>9.8000000000000007</v>
      </c>
      <c r="H44" s="14">
        <f>+Tabla1103453454455456479364659697887[[#This Row],[Costo]]*Tabla1103453454455456479364659697887[[#This Row],[Columna2]]</f>
        <v>309.47368060000002</v>
      </c>
      <c r="I44" s="4"/>
      <c r="J44" s="4"/>
      <c r="K44" s="31"/>
    </row>
    <row r="45" spans="2:13" x14ac:dyDescent="0.3">
      <c r="B45" s="24" t="s">
        <v>835</v>
      </c>
      <c r="C45" s="11" t="s">
        <v>67</v>
      </c>
      <c r="D45" s="12">
        <v>29.999998600000001</v>
      </c>
      <c r="E45" s="12">
        <v>78</v>
      </c>
      <c r="F45" s="12">
        <v>136.36363</v>
      </c>
      <c r="G45" s="13">
        <f>+VLOOKUP(Tabla1103453454455456479364659697887[[#This Row],[Ingrediente]],Tabla34[#All],3,0)</f>
        <v>4.5</v>
      </c>
      <c r="H45" s="14">
        <f>+Tabla1103453454455456479364659697887[[#This Row],[Costo]]*Tabla1103453454455456479364659697887[[#This Row],[Columna2]]</f>
        <v>613.63633500000003</v>
      </c>
      <c r="I45" s="4"/>
      <c r="J45" s="4"/>
      <c r="K45" s="31"/>
    </row>
    <row r="46" spans="2:13" x14ac:dyDescent="0.3">
      <c r="B46" s="24" t="s">
        <v>1230</v>
      </c>
      <c r="C46" s="11" t="s">
        <v>67</v>
      </c>
      <c r="D46" s="12">
        <v>100</v>
      </c>
      <c r="E46" s="12">
        <v>0</v>
      </c>
      <c r="F46" s="12">
        <v>100</v>
      </c>
      <c r="G46" s="13">
        <f>+VLOOKUP(Tabla1103453454455456479364659697887[[#This Row],[Ingrediente]],Tabla34[#All],3,0)</f>
        <v>2.3696000000000002</v>
      </c>
      <c r="H46" s="14">
        <f>+Tabla1103453454455456479364659697887[[#This Row],[Costo]]*Tabla1103453454455456479364659697887[[#This Row],[Columna2]]</f>
        <v>236.96</v>
      </c>
      <c r="I46" s="4"/>
      <c r="J46" s="4"/>
      <c r="K46" s="31"/>
    </row>
    <row r="47" spans="2:13" x14ac:dyDescent="0.3">
      <c r="B47" s="10" t="s">
        <v>187</v>
      </c>
      <c r="C47" s="11" t="s">
        <v>67</v>
      </c>
      <c r="D47" s="12">
        <v>29.999998909999999</v>
      </c>
      <c r="E47" s="12">
        <v>17</v>
      </c>
      <c r="F47" s="12">
        <v>36.144576999999998</v>
      </c>
      <c r="G47" s="13">
        <f>+VLOOKUP(Tabla1103453454455456479364659697887[[#This Row],[Ingrediente]],Tabla34[#All],3,0)</f>
        <v>4.7</v>
      </c>
      <c r="H47" s="14">
        <f>+Tabla1103453454455456479364659697887[[#This Row],[Costo]]*Tabla1103453454455456479364659697887[[#This Row],[Columna2]]</f>
        <v>169.87951190000001</v>
      </c>
      <c r="I47" s="4"/>
      <c r="J47" s="4"/>
      <c r="K47" s="31"/>
    </row>
    <row r="48" spans="2:13" x14ac:dyDescent="0.3">
      <c r="B48" s="24" t="s">
        <v>708</v>
      </c>
      <c r="C48" s="11" t="s">
        <v>67</v>
      </c>
      <c r="D48" s="12">
        <v>19.999999450000001</v>
      </c>
      <c r="E48" s="12">
        <v>5</v>
      </c>
      <c r="F48" s="12">
        <v>21.052631000000002</v>
      </c>
      <c r="G48" s="13">
        <f>+VLOOKUP(Tabla1103453454455456479364659697887[[#This Row],[Ingrediente]],Tabla34[#All],3,0)</f>
        <v>11</v>
      </c>
      <c r="H48" s="14">
        <f>+Tabla1103453454455456479364659697887[[#This Row],[Costo]]*Tabla1103453454455456479364659697887[[#This Row],[Columna2]]</f>
        <v>231.57894100000001</v>
      </c>
      <c r="I48" s="4"/>
      <c r="J48" s="4"/>
      <c r="K48" s="31"/>
    </row>
    <row r="49" spans="2:13" x14ac:dyDescent="0.3">
      <c r="B49" s="24" t="s">
        <v>51</v>
      </c>
      <c r="C49" s="11" t="s">
        <v>67</v>
      </c>
      <c r="D49" s="12">
        <v>6</v>
      </c>
      <c r="E49" s="12">
        <v>0</v>
      </c>
      <c r="F49" s="12">
        <v>6</v>
      </c>
      <c r="G49" s="13">
        <f>+VLOOKUP(Tabla1103453454455456479364659697887[[#This Row],[Ingrediente]],Tabla34[#All],3,0)</f>
        <v>11.3849874</v>
      </c>
      <c r="H49" s="14">
        <f>+Tabla1103453454455456479364659697887[[#This Row],[Costo]]*Tabla1103453454455456479364659697887[[#This Row],[Columna2]]</f>
        <v>68.3099244</v>
      </c>
      <c r="I49" s="4"/>
      <c r="J49" s="4"/>
      <c r="K49" s="31"/>
    </row>
    <row r="50" spans="2:13" x14ac:dyDescent="0.3">
      <c r="B50" s="10" t="s">
        <v>838</v>
      </c>
      <c r="C50" s="11" t="s">
        <v>847</v>
      </c>
      <c r="D50" s="12">
        <v>1</v>
      </c>
      <c r="E50" s="12">
        <v>0</v>
      </c>
      <c r="F50" s="12">
        <v>1</v>
      </c>
      <c r="G50" s="13">
        <f>+VLOOKUP(Tabla1103453454455456479364659697887[[#This Row],[Ingrediente]],Tabla34[#All],3,0)</f>
        <v>4196.75</v>
      </c>
      <c r="H50" s="14">
        <f>+Tabla1103453454455456479364659697887[[#This Row],[Costo]]*Tabla1103453454455456479364659697887[[#This Row],[Columna2]]</f>
        <v>4196.75</v>
      </c>
      <c r="I50" s="4"/>
      <c r="J50" s="4"/>
      <c r="K50" s="31"/>
    </row>
    <row r="51" spans="2:13" x14ac:dyDescent="0.3">
      <c r="B51" s="24" t="s">
        <v>730</v>
      </c>
      <c r="C51" s="11" t="s">
        <v>67</v>
      </c>
      <c r="D51" s="12">
        <v>3</v>
      </c>
      <c r="E51" s="12">
        <v>40</v>
      </c>
      <c r="F51" s="12">
        <v>5</v>
      </c>
      <c r="G51" s="13">
        <f>+VLOOKUP(Tabla1103453454455456479364659697887[[#This Row],[Ingrediente]],Tabla34[#All],3,0)</f>
        <v>12</v>
      </c>
      <c r="H51" s="14">
        <f>+Tabla1103453454455456479364659697887[[#This Row],[Costo]]*Tabla1103453454455456479364659697887[[#This Row],[Columna2]]</f>
        <v>60</v>
      </c>
      <c r="I51" s="4"/>
      <c r="J51" s="4"/>
      <c r="K51" s="26"/>
    </row>
    <row r="52" spans="2:13" x14ac:dyDescent="0.3">
      <c r="B52" s="10" t="s">
        <v>89</v>
      </c>
      <c r="C52" s="11" t="s">
        <v>67</v>
      </c>
      <c r="D52" s="12">
        <v>5</v>
      </c>
      <c r="E52" s="12">
        <v>0</v>
      </c>
      <c r="F52" s="12">
        <v>5</v>
      </c>
      <c r="G52" s="13">
        <f>+VLOOKUP(Tabla1103453454455456479364659697887[[#This Row],[Ingrediente]],Tabla34[#All],3,0)</f>
        <v>2.4009999999999998</v>
      </c>
      <c r="H52" s="14">
        <f>+Tabla1103453454455456479364659697887[[#This Row],[Costo]]*Tabla1103453454455456479364659697887[[#This Row],[Columna2]]</f>
        <v>12.004999999999999</v>
      </c>
      <c r="I52" s="4"/>
      <c r="J52" s="4"/>
      <c r="K52" s="26"/>
    </row>
    <row r="53" spans="2:13" x14ac:dyDescent="0.3">
      <c r="B53" s="10" t="s">
        <v>37</v>
      </c>
      <c r="C53" s="11" t="s">
        <v>67</v>
      </c>
      <c r="D53" s="12">
        <v>8</v>
      </c>
      <c r="E53" s="12">
        <v>0</v>
      </c>
      <c r="F53" s="12">
        <v>8</v>
      </c>
      <c r="G53" s="13">
        <f>+VLOOKUP(Tabla1103453454455456479364659697887[[#This Row],[Ingrediente]],Tabla34[#All],3,0)</f>
        <v>14.25783539</v>
      </c>
      <c r="H53" s="14">
        <f>+Tabla1103453454455456479364659697887[[#This Row],[Costo]]*Tabla1103453454455456479364659697887[[#This Row],[Columna2]]</f>
        <v>114.06268312</v>
      </c>
      <c r="I53" s="27"/>
      <c r="J53" s="27"/>
      <c r="K53" s="27"/>
    </row>
    <row r="54" spans="2:13" x14ac:dyDescent="0.3">
      <c r="B54" s="24" t="s">
        <v>119</v>
      </c>
      <c r="C54" s="11" t="s">
        <v>67</v>
      </c>
      <c r="D54" s="12">
        <v>150</v>
      </c>
      <c r="E54" s="12">
        <v>0</v>
      </c>
      <c r="F54" s="12">
        <v>150</v>
      </c>
      <c r="G54" s="13">
        <f>+VLOOKUP(Tabla1103453454455456479364659697887[[#This Row],[Ingrediente]],Tabla34[#All],3,0)</f>
        <v>5.8053971600000001</v>
      </c>
      <c r="H54" s="14">
        <f>+Tabla1103453454455456479364659697887[[#This Row],[Costo]]*Tabla1103453454455456479364659697887[[#This Row],[Columna2]]</f>
        <v>870.809574</v>
      </c>
    </row>
    <row r="55" spans="2:13" x14ac:dyDescent="0.3">
      <c r="B55" s="10" t="s">
        <v>134</v>
      </c>
      <c r="C55" s="11" t="s">
        <v>67</v>
      </c>
      <c r="D55" s="12">
        <v>1</v>
      </c>
      <c r="E55" s="12">
        <v>0</v>
      </c>
      <c r="F55" s="12">
        <v>1</v>
      </c>
      <c r="G55" s="13">
        <f>+VLOOKUP(Tabla1103453454455456479364659697887[[#This Row],[Ingrediente]],Tabla34[#All],3,0)</f>
        <v>5.7702915900000002</v>
      </c>
      <c r="H55" s="14">
        <f>+Tabla1103453454455456479364659697887[[#This Row],[Costo]]*Tabla1103453454455456479364659697887[[#This Row],[Columna2]]</f>
        <v>5.7702915900000002</v>
      </c>
    </row>
    <row r="56" spans="2:13" x14ac:dyDescent="0.3">
      <c r="B56" s="16"/>
      <c r="C56" s="17"/>
      <c r="D56" s="17"/>
      <c r="E56" s="17"/>
      <c r="F56" s="17"/>
      <c r="G56" s="18"/>
      <c r="H56" s="18" t="e">
        <f>SUBTOTAL(109,Tabla1103453454455456479364659697887[Total costo])</f>
        <v>#N/A</v>
      </c>
    </row>
    <row r="58" spans="2:13" ht="15.6" x14ac:dyDescent="0.3">
      <c r="B58" s="1" t="s">
        <v>864</v>
      </c>
      <c r="C58" s="2"/>
      <c r="D58" s="2"/>
      <c r="E58" s="2"/>
      <c r="F58" s="2"/>
      <c r="G58" s="2"/>
      <c r="H58" s="3"/>
      <c r="I58" s="4"/>
      <c r="J58" s="399" t="s">
        <v>0</v>
      </c>
      <c r="K58" s="399"/>
      <c r="M58" s="377" t="s">
        <v>1394</v>
      </c>
    </row>
    <row r="59" spans="2:13" x14ac:dyDescent="0.3">
      <c r="B59" s="5" t="s">
        <v>1</v>
      </c>
      <c r="C59" s="6" t="s">
        <v>2</v>
      </c>
      <c r="D59" s="6" t="s">
        <v>3</v>
      </c>
      <c r="E59" s="6" t="s">
        <v>920</v>
      </c>
      <c r="F59" s="6" t="s">
        <v>319</v>
      </c>
      <c r="G59" s="7" t="s">
        <v>4</v>
      </c>
      <c r="H59" s="7" t="s">
        <v>5</v>
      </c>
      <c r="I59" s="4"/>
      <c r="J59" s="8" t="s">
        <v>6</v>
      </c>
      <c r="K59" s="9">
        <f>SUM(Tabla110345345445545647936374760707988[Total costo])</f>
        <v>20151.094498900005</v>
      </c>
      <c r="M59" s="346" t="s">
        <v>1594</v>
      </c>
    </row>
    <row r="60" spans="2:13" x14ac:dyDescent="0.3">
      <c r="B60" s="24" t="s">
        <v>828</v>
      </c>
      <c r="C60" s="11" t="s">
        <v>67</v>
      </c>
      <c r="D60" s="12">
        <v>15</v>
      </c>
      <c r="E60" s="12">
        <v>33</v>
      </c>
      <c r="F60" s="12">
        <v>22.388000000000002</v>
      </c>
      <c r="G60" s="13">
        <f>+VLOOKUP(Tabla110345345445545647936374760707988[[#This Row],[Ingrediente]],Tabla34[#All],3,0)</f>
        <v>9.8000000000000007</v>
      </c>
      <c r="H60" s="14">
        <f>+Tabla110345345445545647936374760707988[[#This Row],[Costo]]*Tabla110345345445545647936374760707988[[#This Row],[Columna2]]</f>
        <v>219.40240000000003</v>
      </c>
      <c r="I60" s="4"/>
      <c r="J60" s="8" t="s">
        <v>12</v>
      </c>
      <c r="K60" s="15">
        <f>+K59*10%</f>
        <v>2015.1094498900006</v>
      </c>
      <c r="M60" s="346" t="s">
        <v>1595</v>
      </c>
    </row>
    <row r="61" spans="2:13" x14ac:dyDescent="0.3">
      <c r="B61" s="24" t="s">
        <v>824</v>
      </c>
      <c r="C61" s="11" t="s">
        <v>67</v>
      </c>
      <c r="D61" s="12">
        <v>2</v>
      </c>
      <c r="E61" s="12">
        <v>13</v>
      </c>
      <c r="F61" s="12">
        <v>2.2989999999999999</v>
      </c>
      <c r="G61" s="13">
        <f>+VLOOKUP(Tabla110345345445545647936374760707988[[#This Row],[Ingrediente]],Tabla34[#All],3,0)</f>
        <v>19</v>
      </c>
      <c r="H61" s="14">
        <f>+Tabla110345345445545647936374760707988[[#This Row],[Costo]]*Tabla110345345445545647936374760707988[[#This Row],[Columna2]]</f>
        <v>43.680999999999997</v>
      </c>
      <c r="I61" s="4"/>
      <c r="J61" s="8" t="s">
        <v>13</v>
      </c>
      <c r="K61" s="15">
        <f>+K59+K60</f>
        <v>22166.203948790007</v>
      </c>
      <c r="M61" s="346" t="s">
        <v>1596</v>
      </c>
    </row>
    <row r="62" spans="2:13" x14ac:dyDescent="0.3">
      <c r="B62" s="10" t="s">
        <v>838</v>
      </c>
      <c r="C62" s="11" t="s">
        <v>847</v>
      </c>
      <c r="D62" s="12">
        <v>1</v>
      </c>
      <c r="E62" s="12">
        <v>0</v>
      </c>
      <c r="F62" s="12">
        <v>1</v>
      </c>
      <c r="G62" s="13">
        <f>+VLOOKUP(Tabla110345345445545647936374760707988[[#This Row],[Ingrediente]],Tabla34[#All],3,0)</f>
        <v>4196.75</v>
      </c>
      <c r="H62" s="14">
        <f>+Tabla110345345445545647936374760707988[[#This Row],[Costo]]*Tabla110345345445545647936374760707988[[#This Row],[Columna2]]</f>
        <v>4196.75</v>
      </c>
      <c r="I62" s="4"/>
      <c r="J62" s="20" t="s">
        <v>14</v>
      </c>
      <c r="K62" s="21">
        <v>65000</v>
      </c>
      <c r="M62" s="346" t="s">
        <v>1597</v>
      </c>
    </row>
    <row r="63" spans="2:13" x14ac:dyDescent="0.3">
      <c r="B63" s="10" t="s">
        <v>837</v>
      </c>
      <c r="C63" s="11" t="s">
        <v>847</v>
      </c>
      <c r="D63" s="12">
        <v>7</v>
      </c>
      <c r="E63" s="12">
        <v>0</v>
      </c>
      <c r="F63" s="12">
        <v>7</v>
      </c>
      <c r="G63" s="13">
        <f>+VLOOKUP(Tabla110345345445545647936374760707988[[#This Row],[Ingrediente]],Tabla34[#All],3,0)</f>
        <v>514.28</v>
      </c>
      <c r="H63" s="14">
        <f>+Tabla110345345445545647936374760707988[[#This Row],[Costo]]*Tabla110345345445545647936374760707988[[#This Row],[Columna2]]</f>
        <v>3599.96</v>
      </c>
      <c r="I63" s="4"/>
      <c r="J63" s="8" t="s">
        <v>15</v>
      </c>
      <c r="K63" s="15">
        <f>+K62/1.08*0.08</f>
        <v>4814.8148148148148</v>
      </c>
    </row>
    <row r="64" spans="2:13" x14ac:dyDescent="0.3">
      <c r="B64" s="24" t="s">
        <v>730</v>
      </c>
      <c r="C64" s="11" t="s">
        <v>67</v>
      </c>
      <c r="D64" s="12">
        <v>5</v>
      </c>
      <c r="E64" s="12">
        <v>40</v>
      </c>
      <c r="F64" s="12">
        <v>8.3330000000000002</v>
      </c>
      <c r="G64" s="13">
        <f>+VLOOKUP(Tabla110345345445545647936374760707988[[#This Row],[Ingrediente]],Tabla34[#All],3,0)</f>
        <v>12</v>
      </c>
      <c r="H64" s="14">
        <f>+Tabla110345345445545647936374760707988[[#This Row],[Costo]]*Tabla110345345445545647936374760707988[[#This Row],[Columna2]]</f>
        <v>99.996000000000009</v>
      </c>
      <c r="I64" s="4"/>
      <c r="J64" s="8" t="s">
        <v>16</v>
      </c>
      <c r="K64" s="15">
        <f>+K62-K63</f>
        <v>60185.185185185182</v>
      </c>
      <c r="M64" s="377" t="s">
        <v>1377</v>
      </c>
    </row>
    <row r="65" spans="2:13" x14ac:dyDescent="0.3">
      <c r="B65" s="24" t="s">
        <v>106</v>
      </c>
      <c r="C65" s="11" t="s">
        <v>67</v>
      </c>
      <c r="D65" s="12">
        <v>100</v>
      </c>
      <c r="E65" s="12">
        <v>0</v>
      </c>
      <c r="F65" s="12">
        <v>100</v>
      </c>
      <c r="G65" s="13">
        <f>+VLOOKUP(Tabla110345345445545647936374760707988[[#This Row],[Ingrediente]],Tabla34[#All],3,0)</f>
        <v>19.804166670000001</v>
      </c>
      <c r="H65" s="14">
        <f>+Tabla110345345445545647936374760707988[[#This Row],[Costo]]*Tabla110345345445545647936374760707988[[#This Row],[Columna2]]</f>
        <v>1980.416667</v>
      </c>
      <c r="I65" s="4"/>
      <c r="J65" s="8" t="s">
        <v>17</v>
      </c>
      <c r="K65" s="22">
        <f>+K61/K64</f>
        <v>0.3683000040722032</v>
      </c>
      <c r="M65" s="346" t="s">
        <v>1598</v>
      </c>
    </row>
    <row r="66" spans="2:13" x14ac:dyDescent="0.3">
      <c r="B66" s="24" t="s">
        <v>620</v>
      </c>
      <c r="C66" s="11" t="s">
        <v>67</v>
      </c>
      <c r="D66" s="12">
        <v>120</v>
      </c>
      <c r="E66" s="12">
        <v>10</v>
      </c>
      <c r="F66" s="12">
        <v>133.333</v>
      </c>
      <c r="G66" s="13">
        <f>+VLOOKUP(Tabla110345345445545647936374760707988[[#This Row],[Ingrediente]],Tabla34[#All],3,0)</f>
        <v>39</v>
      </c>
      <c r="H66" s="14">
        <f>+Tabla110345345445545647936374760707988[[#This Row],[Costo]]*Tabla110345345445545647936374760707988[[#This Row],[Columna2]]</f>
        <v>5199.9870000000001</v>
      </c>
      <c r="I66" s="4"/>
      <c r="J66" s="8" t="s">
        <v>18</v>
      </c>
      <c r="K66" s="23">
        <f>+K64-K61</f>
        <v>38018.981236395179</v>
      </c>
      <c r="M66" s="346" t="s">
        <v>1599</v>
      </c>
    </row>
    <row r="67" spans="2:13" x14ac:dyDescent="0.3">
      <c r="B67" s="24" t="s">
        <v>321</v>
      </c>
      <c r="C67" s="11" t="s">
        <v>67</v>
      </c>
      <c r="D67" s="12">
        <v>20</v>
      </c>
      <c r="E67" s="12">
        <v>0</v>
      </c>
      <c r="F67" s="12">
        <v>20</v>
      </c>
      <c r="G67" s="13">
        <f>+VLOOKUP(Tabla110345345445545647936374760707988[[#This Row],[Ingrediente]],Tabla34[#All],3,0)</f>
        <v>12</v>
      </c>
      <c r="H67" s="14">
        <f>+Tabla110345345445545647936374760707988[[#This Row],[Costo]]*Tabla110345345445545647936374760707988[[#This Row],[Columna2]]</f>
        <v>240</v>
      </c>
      <c r="I67" s="4"/>
      <c r="J67" s="8" t="s">
        <v>19</v>
      </c>
      <c r="K67" s="25">
        <f>+K66/K61</f>
        <v>1.7151778141277334</v>
      </c>
    </row>
    <row r="68" spans="2:13" x14ac:dyDescent="0.3">
      <c r="B68" s="24" t="s">
        <v>451</v>
      </c>
      <c r="C68" s="11" t="s">
        <v>67</v>
      </c>
      <c r="D68" s="12">
        <v>20</v>
      </c>
      <c r="E68" s="12">
        <v>0</v>
      </c>
      <c r="F68" s="12">
        <v>20</v>
      </c>
      <c r="G68" s="13">
        <f>+VLOOKUP(Tabla110345345445545647936374760707988[[#This Row],[Ingrediente]],Tabla34[#All],3,0)</f>
        <v>60.987499999999997</v>
      </c>
      <c r="H68" s="14">
        <f>+Tabla110345345445545647936374760707988[[#This Row],[Costo]]*Tabla110345345445545647936374760707988[[#This Row],[Columna2]]</f>
        <v>1219.75</v>
      </c>
      <c r="I68" s="4"/>
      <c r="J68" s="4"/>
      <c r="K68" s="31"/>
    </row>
    <row r="69" spans="2:13" x14ac:dyDescent="0.3">
      <c r="B69" s="10" t="s">
        <v>89</v>
      </c>
      <c r="C69" s="11" t="s">
        <v>67</v>
      </c>
      <c r="D69" s="12">
        <v>2</v>
      </c>
      <c r="E69" s="12">
        <v>0</v>
      </c>
      <c r="F69" s="12">
        <v>2</v>
      </c>
      <c r="G69" s="13">
        <f>+VLOOKUP(Tabla110345345445545647936374760707988[[#This Row],[Ingrediente]],Tabla34[#All],3,0)</f>
        <v>2.4009999999999998</v>
      </c>
      <c r="H69" s="14">
        <f>+Tabla110345345445545647936374760707988[[#This Row],[Costo]]*Tabla110345345445545647936374760707988[[#This Row],[Columna2]]</f>
        <v>4.8019999999999996</v>
      </c>
      <c r="I69" s="4"/>
      <c r="J69" s="4"/>
      <c r="K69" s="31"/>
    </row>
    <row r="70" spans="2:13" x14ac:dyDescent="0.3">
      <c r="B70" s="24" t="s">
        <v>134</v>
      </c>
      <c r="C70" s="11" t="s">
        <v>67</v>
      </c>
      <c r="D70" s="12">
        <v>40</v>
      </c>
      <c r="E70" s="12">
        <v>0</v>
      </c>
      <c r="F70" s="12">
        <v>40</v>
      </c>
      <c r="G70" s="13">
        <f>+VLOOKUP(Tabla110345345445545647936374760707988[[#This Row],[Ingrediente]],Tabla34[#All],3,0)</f>
        <v>5.7702915900000002</v>
      </c>
      <c r="H70" s="14">
        <f>+Tabla110345345445545647936374760707988[[#This Row],[Costo]]*Tabla110345345445545647936374760707988[[#This Row],[Columna2]]</f>
        <v>230.8116636</v>
      </c>
      <c r="I70" s="4"/>
      <c r="J70" s="4"/>
      <c r="K70" s="31"/>
    </row>
    <row r="71" spans="2:13" x14ac:dyDescent="0.3">
      <c r="B71" s="10" t="s">
        <v>137</v>
      </c>
      <c r="C71" s="11" t="s">
        <v>67</v>
      </c>
      <c r="D71" s="12">
        <v>120</v>
      </c>
      <c r="E71" s="12">
        <v>0</v>
      </c>
      <c r="F71" s="12">
        <v>120</v>
      </c>
      <c r="G71" s="13">
        <f>+VLOOKUP(Tabla110345345445545647936374760707988[[#This Row],[Ingrediente]],Tabla34[#All],3,0)</f>
        <v>16.730960419999999</v>
      </c>
      <c r="H71" s="14">
        <f>+Tabla110345345445545647936374760707988[[#This Row],[Costo]]*Tabla110345345445545647936374760707988[[#This Row],[Columna2]]</f>
        <v>2007.7152503999998</v>
      </c>
      <c r="I71" s="4"/>
      <c r="J71" s="4"/>
      <c r="K71" s="31"/>
    </row>
    <row r="72" spans="2:13" x14ac:dyDescent="0.3">
      <c r="B72" s="10" t="s">
        <v>128</v>
      </c>
      <c r="C72" s="11" t="s">
        <v>67</v>
      </c>
      <c r="D72" s="12">
        <v>30</v>
      </c>
      <c r="E72" s="12">
        <v>0</v>
      </c>
      <c r="F72" s="12">
        <v>30</v>
      </c>
      <c r="G72" s="13">
        <f>+VLOOKUP(Tabla110345345445545647936374760707988[[#This Row],[Ingrediente]],Tabla34[#All],3,0)</f>
        <v>18.434479750000001</v>
      </c>
      <c r="H72" s="14">
        <f>+Tabla110345345445545647936374760707988[[#This Row],[Costo]]*Tabla110345345445545647936374760707988[[#This Row],[Columna2]]</f>
        <v>553.03439250000008</v>
      </c>
      <c r="I72" s="4"/>
      <c r="J72" s="4"/>
      <c r="K72" s="31"/>
    </row>
    <row r="73" spans="2:13" x14ac:dyDescent="0.3">
      <c r="B73" s="10" t="s">
        <v>281</v>
      </c>
      <c r="C73" s="11" t="s">
        <v>67</v>
      </c>
      <c r="D73" s="12">
        <v>10</v>
      </c>
      <c r="E73" s="12">
        <v>0</v>
      </c>
      <c r="F73" s="12">
        <v>10</v>
      </c>
      <c r="G73" s="13">
        <f>+VLOOKUP(Tabla110345345445545647936374760707988[[#This Row],[Ingrediente]],Tabla34[#All],3,0)</f>
        <v>25.61066254</v>
      </c>
      <c r="H73" s="14">
        <f>+Tabla110345345445545647936374760707988[[#This Row],[Costo]]*Tabla110345345445545647936374760707988[[#This Row],[Columna2]]</f>
        <v>256.10662539999998</v>
      </c>
      <c r="I73" s="4"/>
      <c r="J73" s="4"/>
      <c r="K73" s="31"/>
    </row>
    <row r="74" spans="2:13" x14ac:dyDescent="0.3">
      <c r="B74" s="10" t="s">
        <v>708</v>
      </c>
      <c r="C74" s="11" t="s">
        <v>67</v>
      </c>
      <c r="D74" s="12">
        <v>15</v>
      </c>
      <c r="E74" s="12">
        <v>5</v>
      </c>
      <c r="F74" s="12">
        <v>15.789</v>
      </c>
      <c r="G74" s="13">
        <f>+VLOOKUP(Tabla110345345445545647936374760707988[[#This Row],[Ingrediente]],Tabla34[#All],3,0)</f>
        <v>11</v>
      </c>
      <c r="H74" s="14">
        <f>+Tabla110345345445545647936374760707988[[#This Row],[Costo]]*Tabla110345345445545647936374760707988[[#This Row],[Columna2]]</f>
        <v>173.679</v>
      </c>
      <c r="I74" s="4"/>
      <c r="J74" s="4"/>
      <c r="K74" s="31"/>
    </row>
    <row r="75" spans="2:13" x14ac:dyDescent="0.3">
      <c r="B75" s="24" t="s">
        <v>687</v>
      </c>
      <c r="C75" s="11" t="s">
        <v>67</v>
      </c>
      <c r="D75" s="12">
        <v>15</v>
      </c>
      <c r="E75" s="12">
        <v>10</v>
      </c>
      <c r="F75" s="12">
        <v>16.667000000000002</v>
      </c>
      <c r="G75" s="13">
        <f>+VLOOKUP(Tabla110345345445545647936374760707988[[#This Row],[Ingrediente]],Tabla34[#All],3,0)</f>
        <v>2.8</v>
      </c>
      <c r="H75" s="14">
        <f>+Tabla110345345445545647936374760707988[[#This Row],[Costo]]*Tabla110345345445545647936374760707988[[#This Row],[Columna2]]</f>
        <v>46.6676</v>
      </c>
      <c r="I75" s="27"/>
      <c r="J75" s="27"/>
      <c r="K75" s="27"/>
    </row>
    <row r="76" spans="2:13" x14ac:dyDescent="0.3">
      <c r="B76" s="10" t="s">
        <v>187</v>
      </c>
      <c r="C76" s="11" t="s">
        <v>67</v>
      </c>
      <c r="D76" s="12">
        <v>15</v>
      </c>
      <c r="E76" s="12">
        <v>10</v>
      </c>
      <c r="F76" s="12">
        <v>16.667000000000002</v>
      </c>
      <c r="G76" s="13">
        <f>+VLOOKUP(Tabla110345345445545647936374760707988[[#This Row],[Ingrediente]],Tabla34[#All],3,0)</f>
        <v>4.7</v>
      </c>
      <c r="H76" s="14">
        <f>+Tabla110345345445545647936374760707988[[#This Row],[Costo]]*Tabla110345345445545647936374760707988[[#This Row],[Columna2]]</f>
        <v>78.334900000000005</v>
      </c>
    </row>
    <row r="77" spans="2:13" x14ac:dyDescent="0.3">
      <c r="B77" s="16"/>
      <c r="C77" s="17"/>
      <c r="D77" s="17"/>
      <c r="E77" s="17"/>
      <c r="F77" s="17"/>
      <c r="G77" s="18"/>
      <c r="H77" s="18">
        <f>SUBTOTAL(109,Tabla110345345445545647936374760707988[Total costo])</f>
        <v>20151.094498900005</v>
      </c>
    </row>
    <row r="79" spans="2:13" ht="15.6" x14ac:dyDescent="0.3">
      <c r="B79" s="1" t="s">
        <v>859</v>
      </c>
      <c r="C79" s="2"/>
      <c r="D79" s="2"/>
      <c r="E79" s="3"/>
      <c r="F79" s="3"/>
      <c r="G79" s="3"/>
      <c r="H79" s="3"/>
      <c r="I79" s="4"/>
      <c r="J79" s="399" t="s">
        <v>0</v>
      </c>
      <c r="K79" s="399"/>
      <c r="M79" s="377" t="s">
        <v>1394</v>
      </c>
    </row>
    <row r="80" spans="2:13" x14ac:dyDescent="0.3">
      <c r="B80" s="5" t="s">
        <v>1</v>
      </c>
      <c r="C80" s="6" t="s">
        <v>2</v>
      </c>
      <c r="D80" s="6" t="s">
        <v>3</v>
      </c>
      <c r="E80" s="6" t="s">
        <v>920</v>
      </c>
      <c r="F80" s="6" t="s">
        <v>319</v>
      </c>
      <c r="G80" s="7" t="s">
        <v>4</v>
      </c>
      <c r="H80" s="7" t="s">
        <v>5</v>
      </c>
      <c r="I80" s="4"/>
      <c r="J80" s="8" t="s">
        <v>6</v>
      </c>
      <c r="K80" s="9">
        <f>SUM(Tabla110345345445545647936384861718089[Total costo])</f>
        <v>16249.708998450003</v>
      </c>
      <c r="M80" s="346" t="s">
        <v>1531</v>
      </c>
    </row>
    <row r="81" spans="2:13" x14ac:dyDescent="0.3">
      <c r="B81" s="10" t="s">
        <v>622</v>
      </c>
      <c r="C81" s="11" t="s">
        <v>847</v>
      </c>
      <c r="D81" s="12">
        <v>1</v>
      </c>
      <c r="E81" s="12">
        <v>0</v>
      </c>
      <c r="F81" s="12">
        <v>1</v>
      </c>
      <c r="G81" s="13">
        <f>+VLOOKUP(Tabla110345345445545647936384861718089[[#This Row],[Ingrediente]],Tabla34[#All],3,0)</f>
        <v>11800</v>
      </c>
      <c r="H81" s="14">
        <f>+Tabla110345345445545647936384861718089[[#This Row],[Costo]]*Tabla110345345445545647936384861718089[[#This Row],[Columna2]]</f>
        <v>11800</v>
      </c>
      <c r="I81" s="4"/>
      <c r="J81" s="8" t="s">
        <v>12</v>
      </c>
      <c r="K81" s="15">
        <f>+K80*10%</f>
        <v>1624.9708998450005</v>
      </c>
      <c r="M81" s="346" t="s">
        <v>1532</v>
      </c>
    </row>
    <row r="82" spans="2:13" x14ac:dyDescent="0.3">
      <c r="B82" s="24" t="s">
        <v>282</v>
      </c>
      <c r="C82" s="11" t="s">
        <v>67</v>
      </c>
      <c r="D82" s="12">
        <v>50</v>
      </c>
      <c r="E82" s="12">
        <v>0</v>
      </c>
      <c r="F82" s="12">
        <v>50</v>
      </c>
      <c r="G82" s="13">
        <f>+VLOOKUP(Tabla110345345445545647936384861718089[[#This Row],[Ingrediente]],Tabla34[#All],3,0)</f>
        <v>8.6178504199999999</v>
      </c>
      <c r="H82" s="14">
        <f>+Tabla110345345445545647936384861718089[[#This Row],[Costo]]*Tabla110345345445545647936384861718089[[#This Row],[Columna2]]</f>
        <v>430.89252099999999</v>
      </c>
      <c r="I82" s="4"/>
      <c r="J82" s="8" t="s">
        <v>13</v>
      </c>
      <c r="K82" s="15">
        <f>+K80+K81</f>
        <v>17874.679898295006</v>
      </c>
      <c r="M82" s="346" t="s">
        <v>1533</v>
      </c>
    </row>
    <row r="83" spans="2:13" x14ac:dyDescent="0.3">
      <c r="B83" s="10" t="s">
        <v>137</v>
      </c>
      <c r="C83" s="11" t="s">
        <v>67</v>
      </c>
      <c r="D83" s="12">
        <v>120</v>
      </c>
      <c r="E83" s="12">
        <v>0</v>
      </c>
      <c r="F83" s="12">
        <v>120</v>
      </c>
      <c r="G83" s="13">
        <f>+VLOOKUP(Tabla110345345445545647936384861718089[[#This Row],[Ingrediente]],Tabla34[#All],3,0)</f>
        <v>16.730960419999999</v>
      </c>
      <c r="H83" s="14">
        <f>+Tabla110345345445545647936384861718089[[#This Row],[Costo]]*Tabla110345345445545647936384861718089[[#This Row],[Columna2]]</f>
        <v>2007.7152503999998</v>
      </c>
      <c r="I83" s="4"/>
      <c r="J83" s="20" t="s">
        <v>14</v>
      </c>
      <c r="K83" s="21">
        <v>63000</v>
      </c>
    </row>
    <row r="84" spans="2:13" x14ac:dyDescent="0.3">
      <c r="B84" s="10" t="s">
        <v>321</v>
      </c>
      <c r="C84" s="11" t="s">
        <v>67</v>
      </c>
      <c r="D84" s="12">
        <v>20</v>
      </c>
      <c r="E84" s="12">
        <v>0</v>
      </c>
      <c r="F84" s="12">
        <v>20</v>
      </c>
      <c r="G84" s="13">
        <f>+VLOOKUP(Tabla110345345445545647936384861718089[[#This Row],[Ingrediente]],Tabla34[#All],3,0)</f>
        <v>12</v>
      </c>
      <c r="H84" s="14">
        <f>+Tabla110345345445545647936384861718089[[#This Row],[Costo]]*Tabla110345345445545647936384861718089[[#This Row],[Columna2]]</f>
        <v>240</v>
      </c>
      <c r="I84" s="4"/>
      <c r="J84" s="8" t="s">
        <v>15</v>
      </c>
      <c r="K84" s="15">
        <f>+K83/1.08*0.08</f>
        <v>4666.6666666666661</v>
      </c>
      <c r="M84" s="377" t="s">
        <v>1377</v>
      </c>
    </row>
    <row r="85" spans="2:13" x14ac:dyDescent="0.3">
      <c r="B85" s="10" t="s">
        <v>683</v>
      </c>
      <c r="C85" s="11" t="s">
        <v>67</v>
      </c>
      <c r="D85" s="12">
        <v>49.999997999999998</v>
      </c>
      <c r="E85" s="12">
        <v>25</v>
      </c>
      <c r="F85" s="12">
        <v>66.666663999999997</v>
      </c>
      <c r="G85" s="13">
        <f>+VLOOKUP(Tabla110345345445545647936384861718089[[#This Row],[Ingrediente]],Tabla34[#All],3,0)</f>
        <v>8.5</v>
      </c>
      <c r="H85" s="14">
        <f>+Tabla110345345445545647936384861718089[[#This Row],[Costo]]*Tabla110345345445545647936384861718089[[#This Row],[Columna2]]</f>
        <v>566.66664400000002</v>
      </c>
      <c r="I85" s="4"/>
      <c r="J85" s="8" t="s">
        <v>16</v>
      </c>
      <c r="K85" s="15">
        <f>+K83-K84</f>
        <v>58333.333333333336</v>
      </c>
      <c r="M85" s="346" t="s">
        <v>1534</v>
      </c>
    </row>
    <row r="86" spans="2:13" x14ac:dyDescent="0.3">
      <c r="B86" s="10" t="s">
        <v>121</v>
      </c>
      <c r="C86" s="11" t="s">
        <v>67</v>
      </c>
      <c r="D86" s="12">
        <v>10</v>
      </c>
      <c r="E86" s="12">
        <v>0</v>
      </c>
      <c r="F86" s="12">
        <v>10</v>
      </c>
      <c r="G86" s="13">
        <f>+VLOOKUP(Tabla110345345445545647936384861718089[[#This Row],[Ingrediente]],Tabla34[#All],3,0)</f>
        <v>23.79844713</v>
      </c>
      <c r="H86" s="14">
        <f>+Tabla110345345445545647936384861718089[[#This Row],[Costo]]*Tabla110345345445545647936384861718089[[#This Row],[Columna2]]</f>
        <v>237.9844713</v>
      </c>
      <c r="I86" s="4"/>
      <c r="J86" s="8" t="s">
        <v>17</v>
      </c>
      <c r="K86" s="22">
        <f>+K82/K85</f>
        <v>0.3064230839707715</v>
      </c>
      <c r="M86" s="346" t="s">
        <v>1535</v>
      </c>
    </row>
    <row r="87" spans="2:13" x14ac:dyDescent="0.3">
      <c r="B87" s="10" t="s">
        <v>141</v>
      </c>
      <c r="C87" s="11" t="s">
        <v>67</v>
      </c>
      <c r="D87" s="12">
        <v>15</v>
      </c>
      <c r="E87" s="12">
        <v>0</v>
      </c>
      <c r="F87" s="12">
        <v>15</v>
      </c>
      <c r="G87" s="13">
        <f>+VLOOKUP(Tabla110345345445545647936384861718089[[#This Row],[Ingrediente]],Tabla34[#All],3,0)</f>
        <v>18.392951490000002</v>
      </c>
      <c r="H87" s="14">
        <f>+Tabla110345345445545647936384861718089[[#This Row],[Costo]]*Tabla110345345445545647936384861718089[[#This Row],[Columna2]]</f>
        <v>275.89427235000005</v>
      </c>
      <c r="I87" s="4"/>
      <c r="J87" s="8" t="s">
        <v>18</v>
      </c>
      <c r="K87" s="23">
        <f>+K85-K82</f>
        <v>40458.65343503833</v>
      </c>
      <c r="M87" s="346" t="s">
        <v>1536</v>
      </c>
    </row>
    <row r="88" spans="2:13" x14ac:dyDescent="0.3">
      <c r="B88" s="10" t="s">
        <v>692</v>
      </c>
      <c r="C88" s="11" t="s">
        <v>67</v>
      </c>
      <c r="D88" s="12">
        <v>10</v>
      </c>
      <c r="E88" s="12">
        <v>0</v>
      </c>
      <c r="F88" s="12">
        <v>10</v>
      </c>
      <c r="G88" s="13">
        <f>+VLOOKUP(Tabla110345345445545647936384861718089[[#This Row],[Ingrediente]],Tabla34[#All],3,0)</f>
        <v>18.698499999999999</v>
      </c>
      <c r="H88" s="14">
        <f>+Tabla110345345445545647936384861718089[[#This Row],[Costo]]*Tabla110345345445545647936384861718089[[#This Row],[Columna2]]</f>
        <v>186.98499999999999</v>
      </c>
      <c r="I88" s="4"/>
      <c r="J88" s="8" t="s">
        <v>19</v>
      </c>
      <c r="K88" s="25">
        <f>+K87/K82</f>
        <v>2.2634617047826135</v>
      </c>
    </row>
    <row r="89" spans="2:13" x14ac:dyDescent="0.3">
      <c r="B89" s="10" t="s">
        <v>708</v>
      </c>
      <c r="C89" s="11" t="s">
        <v>67</v>
      </c>
      <c r="D89" s="12">
        <v>15.0000003</v>
      </c>
      <c r="E89" s="12">
        <v>5</v>
      </c>
      <c r="F89" s="12">
        <v>15.789474</v>
      </c>
      <c r="G89" s="13">
        <f>+VLOOKUP(Tabla110345345445545647936384861718089[[#This Row],[Ingrediente]],Tabla34[#All],3,0)</f>
        <v>11</v>
      </c>
      <c r="H89" s="14">
        <f>+Tabla110345345445545647936384861718089[[#This Row],[Costo]]*Tabla110345345445545647936384861718089[[#This Row],[Columna2]]</f>
        <v>173.684214</v>
      </c>
      <c r="I89" s="4"/>
      <c r="J89" s="4"/>
      <c r="K89" s="26"/>
    </row>
    <row r="90" spans="2:13" x14ac:dyDescent="0.3">
      <c r="B90" s="10" t="s">
        <v>1091</v>
      </c>
      <c r="C90" s="11" t="s">
        <v>67</v>
      </c>
      <c r="D90" s="12">
        <v>1</v>
      </c>
      <c r="E90" s="12">
        <v>0</v>
      </c>
      <c r="F90" s="12">
        <v>1</v>
      </c>
      <c r="G90" s="13">
        <f>+VLOOKUP(Tabla110345345445545647936384861718089[[#This Row],[Ingrediente]],Tabla34[#All],3,0)</f>
        <v>73.78</v>
      </c>
      <c r="H90" s="14">
        <f>+Tabla110345345445545647936384861718089[[#This Row],[Costo]]*Tabla110345345445545647936384861718089[[#This Row],[Columna2]]</f>
        <v>73.78</v>
      </c>
      <c r="I90" s="4"/>
      <c r="J90" s="4"/>
      <c r="K90" s="26"/>
    </row>
    <row r="91" spans="2:13" x14ac:dyDescent="0.3">
      <c r="B91" s="10" t="s">
        <v>281</v>
      </c>
      <c r="C91" s="11" t="s">
        <v>67</v>
      </c>
      <c r="D91" s="12">
        <v>10</v>
      </c>
      <c r="E91" s="12">
        <v>0</v>
      </c>
      <c r="F91" s="12">
        <v>10</v>
      </c>
      <c r="G91" s="13">
        <f>+VLOOKUP(Tabla110345345445545647936384861718089[[#This Row],[Ingrediente]],Tabla34[#All],3,0)</f>
        <v>25.61066254</v>
      </c>
      <c r="H91" s="14">
        <f>+Tabla110345345445545647936384861718089[[#This Row],[Costo]]*Tabla110345345445545647936384861718089[[#This Row],[Columna2]]</f>
        <v>256.10662539999998</v>
      </c>
      <c r="I91" s="27"/>
      <c r="J91" s="27"/>
      <c r="K91" s="27"/>
    </row>
    <row r="92" spans="2:13" x14ac:dyDescent="0.3">
      <c r="B92" s="16"/>
      <c r="C92" s="17"/>
      <c r="D92" s="17"/>
      <c r="E92" s="17"/>
      <c r="F92" s="17"/>
      <c r="G92" s="18"/>
      <c r="H92" s="18">
        <f>SUBTOTAL(109,Tabla110345345445545647936384861718089[Total costo])</f>
        <v>16249.708998450003</v>
      </c>
    </row>
    <row r="95" spans="2:13" ht="15.6" x14ac:dyDescent="0.3">
      <c r="B95" s="1" t="s">
        <v>863</v>
      </c>
      <c r="C95" s="2"/>
      <c r="D95" s="2"/>
      <c r="E95" s="3"/>
      <c r="F95" s="3"/>
      <c r="G95" s="3"/>
      <c r="H95" s="3"/>
      <c r="I95" s="4"/>
      <c r="J95" s="399" t="s">
        <v>0</v>
      </c>
      <c r="K95" s="399"/>
      <c r="M95" s="377" t="s">
        <v>1394</v>
      </c>
    </row>
    <row r="96" spans="2:13" x14ac:dyDescent="0.3">
      <c r="B96" s="5" t="s">
        <v>1</v>
      </c>
      <c r="C96" s="6" t="s">
        <v>2</v>
      </c>
      <c r="D96" s="6" t="s">
        <v>3</v>
      </c>
      <c r="E96" s="6" t="s">
        <v>920</v>
      </c>
      <c r="F96" s="6" t="s">
        <v>319</v>
      </c>
      <c r="G96" s="7" t="s">
        <v>4</v>
      </c>
      <c r="H96" s="7" t="s">
        <v>5</v>
      </c>
      <c r="I96" s="4"/>
      <c r="J96" s="8" t="s">
        <v>6</v>
      </c>
      <c r="K96" s="9">
        <f>SUM(Tabla110345345445545647936394962728190[Total costo])</f>
        <v>16249.708998450003</v>
      </c>
      <c r="M96" s="346" t="s">
        <v>1537</v>
      </c>
    </row>
    <row r="97" spans="2:13" x14ac:dyDescent="0.3">
      <c r="B97" s="10" t="s">
        <v>622</v>
      </c>
      <c r="C97" s="11" t="s">
        <v>847</v>
      </c>
      <c r="D97" s="12">
        <v>1</v>
      </c>
      <c r="E97" s="12">
        <v>0</v>
      </c>
      <c r="F97" s="12">
        <v>1</v>
      </c>
      <c r="G97" s="13">
        <f>+VLOOKUP(Tabla110345345445545647936394962728190[[#This Row],[Ingrediente]],Tabla34[#All],3,0)</f>
        <v>11800</v>
      </c>
      <c r="H97" s="14">
        <f>+Tabla110345345445545647936394962728190[[#This Row],[Costo]]*Tabla110345345445545647936394962728190[[#This Row],[Columna2]]</f>
        <v>11800</v>
      </c>
      <c r="I97" s="4"/>
      <c r="J97" s="8" t="s">
        <v>12</v>
      </c>
      <c r="K97" s="15">
        <f>+K96*10%</f>
        <v>1624.9708998450005</v>
      </c>
      <c r="M97" s="346" t="s">
        <v>1538</v>
      </c>
    </row>
    <row r="98" spans="2:13" x14ac:dyDescent="0.3">
      <c r="B98" s="24" t="s">
        <v>282</v>
      </c>
      <c r="C98" s="11" t="s">
        <v>67</v>
      </c>
      <c r="D98" s="12">
        <v>50</v>
      </c>
      <c r="E98" s="12">
        <v>0</v>
      </c>
      <c r="F98" s="12">
        <v>50</v>
      </c>
      <c r="G98" s="13">
        <f>+VLOOKUP(Tabla110345345445545647936394962728190[[#This Row],[Ingrediente]],Tabla34[#All],3,0)</f>
        <v>8.6178504199999999</v>
      </c>
      <c r="H98" s="14">
        <f>+Tabla110345345445545647936394962728190[[#This Row],[Costo]]*Tabla110345345445545647936394962728190[[#This Row],[Columna2]]</f>
        <v>430.89252099999999</v>
      </c>
      <c r="I98" s="4"/>
      <c r="J98" s="8" t="s">
        <v>13</v>
      </c>
      <c r="K98" s="15">
        <f>+K96+K97</f>
        <v>17874.679898295006</v>
      </c>
      <c r="M98" s="346" t="s">
        <v>1539</v>
      </c>
    </row>
    <row r="99" spans="2:13" x14ac:dyDescent="0.3">
      <c r="B99" s="10" t="s">
        <v>137</v>
      </c>
      <c r="C99" s="11" t="s">
        <v>67</v>
      </c>
      <c r="D99" s="12">
        <v>120</v>
      </c>
      <c r="E99" s="12">
        <v>0</v>
      </c>
      <c r="F99" s="12">
        <v>120</v>
      </c>
      <c r="G99" s="13">
        <f>+VLOOKUP(Tabla110345345445545647936394962728190[[#This Row],[Ingrediente]],Tabla34[#All],3,0)</f>
        <v>16.730960419999999</v>
      </c>
      <c r="H99" s="14">
        <f>+Tabla110345345445545647936394962728190[[#This Row],[Costo]]*Tabla110345345445545647936394962728190[[#This Row],[Columna2]]</f>
        <v>2007.7152503999998</v>
      </c>
      <c r="I99" s="4"/>
      <c r="J99" s="20" t="s">
        <v>14</v>
      </c>
      <c r="K99" s="21">
        <v>63000</v>
      </c>
    </row>
    <row r="100" spans="2:13" x14ac:dyDescent="0.3">
      <c r="B100" s="24" t="s">
        <v>683</v>
      </c>
      <c r="C100" s="11" t="s">
        <v>67</v>
      </c>
      <c r="D100" s="12">
        <v>49.999997999999998</v>
      </c>
      <c r="E100" s="12">
        <v>25</v>
      </c>
      <c r="F100" s="12">
        <v>66.666663999999997</v>
      </c>
      <c r="G100" s="13">
        <f>+VLOOKUP(Tabla110345345445545647936394962728190[[#This Row],[Ingrediente]],Tabla34[#All],3,0)</f>
        <v>8.5</v>
      </c>
      <c r="H100" s="14">
        <f>+Tabla110345345445545647936394962728190[[#This Row],[Costo]]*Tabla110345345445545647936394962728190[[#This Row],[Columna2]]</f>
        <v>566.66664400000002</v>
      </c>
      <c r="I100" s="4"/>
      <c r="J100" s="8" t="s">
        <v>15</v>
      </c>
      <c r="K100" s="15">
        <f>+K99/1.08*0.08</f>
        <v>4666.6666666666661</v>
      </c>
      <c r="M100" s="377" t="s">
        <v>1377</v>
      </c>
    </row>
    <row r="101" spans="2:13" x14ac:dyDescent="0.3">
      <c r="B101" s="24" t="s">
        <v>321</v>
      </c>
      <c r="C101" s="11" t="s">
        <v>67</v>
      </c>
      <c r="D101" s="12">
        <v>20</v>
      </c>
      <c r="E101" s="12">
        <v>0</v>
      </c>
      <c r="F101" s="12">
        <v>20</v>
      </c>
      <c r="G101" s="13">
        <f>+VLOOKUP(Tabla110345345445545647936394962728190[[#This Row],[Ingrediente]],Tabla34[#All],3,0)</f>
        <v>12</v>
      </c>
      <c r="H101" s="14">
        <f>+Tabla110345345445545647936394962728190[[#This Row],[Costo]]*Tabla110345345445545647936394962728190[[#This Row],[Columna2]]</f>
        <v>240</v>
      </c>
      <c r="I101" s="4"/>
      <c r="J101" s="8" t="s">
        <v>16</v>
      </c>
      <c r="K101" s="15">
        <f>+K99-K100</f>
        <v>58333.333333333336</v>
      </c>
      <c r="M101" s="346" t="s">
        <v>1540</v>
      </c>
    </row>
    <row r="102" spans="2:13" x14ac:dyDescent="0.3">
      <c r="B102" s="24" t="s">
        <v>121</v>
      </c>
      <c r="C102" s="11" t="s">
        <v>67</v>
      </c>
      <c r="D102" s="12">
        <v>10</v>
      </c>
      <c r="E102" s="12">
        <v>0</v>
      </c>
      <c r="F102" s="12">
        <v>10</v>
      </c>
      <c r="G102" s="13">
        <f>+VLOOKUP(Tabla110345345445545647936394962728190[[#This Row],[Ingrediente]],Tabla34[#All],3,0)</f>
        <v>23.79844713</v>
      </c>
      <c r="H102" s="14">
        <f>+Tabla110345345445545647936394962728190[[#This Row],[Costo]]*Tabla110345345445545647936394962728190[[#This Row],[Columna2]]</f>
        <v>237.9844713</v>
      </c>
      <c r="I102" s="4"/>
      <c r="J102" s="8" t="s">
        <v>17</v>
      </c>
      <c r="K102" s="22">
        <f>+K98/K101</f>
        <v>0.3064230839707715</v>
      </c>
      <c r="M102" s="346" t="s">
        <v>1541</v>
      </c>
    </row>
    <row r="103" spans="2:13" x14ac:dyDescent="0.3">
      <c r="B103" s="10" t="s">
        <v>141</v>
      </c>
      <c r="C103" s="11" t="s">
        <v>67</v>
      </c>
      <c r="D103" s="12">
        <v>15</v>
      </c>
      <c r="E103" s="12">
        <v>0</v>
      </c>
      <c r="F103" s="12">
        <v>15</v>
      </c>
      <c r="G103" s="13">
        <f>+VLOOKUP(Tabla110345345445545647936394962728190[[#This Row],[Ingrediente]],Tabla34[#All],3,0)</f>
        <v>18.392951490000002</v>
      </c>
      <c r="H103" s="14">
        <f>+Tabla110345345445545647936394962728190[[#This Row],[Costo]]*Tabla110345345445545647936394962728190[[#This Row],[Columna2]]</f>
        <v>275.89427235000005</v>
      </c>
      <c r="I103" s="4"/>
      <c r="J103" s="8" t="s">
        <v>18</v>
      </c>
      <c r="K103" s="23">
        <f>+K101-K98</f>
        <v>40458.65343503833</v>
      </c>
      <c r="M103" s="346" t="s">
        <v>1542</v>
      </c>
    </row>
    <row r="104" spans="2:13" x14ac:dyDescent="0.3">
      <c r="B104" s="10" t="s">
        <v>281</v>
      </c>
      <c r="C104" s="11" t="s">
        <v>67</v>
      </c>
      <c r="D104" s="12">
        <v>10</v>
      </c>
      <c r="E104" s="12">
        <v>0</v>
      </c>
      <c r="F104" s="12">
        <v>10</v>
      </c>
      <c r="G104" s="13">
        <f>+VLOOKUP(Tabla110345345445545647936394962728190[[#This Row],[Ingrediente]],Tabla34[#All],3,0)</f>
        <v>25.61066254</v>
      </c>
      <c r="H104" s="14">
        <f>+Tabla110345345445545647936394962728190[[#This Row],[Costo]]*Tabla110345345445545647936394962728190[[#This Row],[Columna2]]</f>
        <v>256.10662539999998</v>
      </c>
      <c r="I104" s="4"/>
      <c r="J104" s="8" t="s">
        <v>19</v>
      </c>
      <c r="K104" s="25">
        <f>+K103/K98</f>
        <v>2.2634617047826135</v>
      </c>
      <c r="M104" s="346" t="s">
        <v>1543</v>
      </c>
    </row>
    <row r="105" spans="2:13" x14ac:dyDescent="0.3">
      <c r="B105" s="24" t="s">
        <v>708</v>
      </c>
      <c r="C105" s="11" t="s">
        <v>67</v>
      </c>
      <c r="D105" s="12">
        <v>15.0000003</v>
      </c>
      <c r="E105" s="12">
        <v>5</v>
      </c>
      <c r="F105" s="12">
        <v>15.789474</v>
      </c>
      <c r="G105" s="13">
        <f>+VLOOKUP(Tabla110345345445545647936394962728190[[#This Row],[Ingrediente]],Tabla34[#All],3,0)</f>
        <v>11</v>
      </c>
      <c r="H105" s="14">
        <f>+Tabla110345345445545647936394962728190[[#This Row],[Costo]]*Tabla110345345445545647936394962728190[[#This Row],[Columna2]]</f>
        <v>173.684214</v>
      </c>
      <c r="I105" s="4"/>
      <c r="J105" s="4"/>
      <c r="K105" s="31"/>
    </row>
    <row r="106" spans="2:13" x14ac:dyDescent="0.3">
      <c r="B106" s="10" t="s">
        <v>692</v>
      </c>
      <c r="C106" s="11" t="s">
        <v>67</v>
      </c>
      <c r="D106" s="12">
        <v>10</v>
      </c>
      <c r="E106" s="12">
        <v>0</v>
      </c>
      <c r="F106" s="12">
        <v>10</v>
      </c>
      <c r="G106" s="13">
        <f>+VLOOKUP(Tabla110345345445545647936394962728190[[#This Row],[Ingrediente]],Tabla34[#All],3,0)</f>
        <v>18.698499999999999</v>
      </c>
      <c r="H106" s="14">
        <f>+Tabla110345345445545647936394962728190[[#This Row],[Costo]]*Tabla110345345445545647936394962728190[[#This Row],[Columna2]]</f>
        <v>186.98499999999999</v>
      </c>
      <c r="I106" s="4"/>
      <c r="J106" s="4"/>
      <c r="K106" s="31"/>
    </row>
    <row r="107" spans="2:13" x14ac:dyDescent="0.3">
      <c r="B107" s="24" t="s">
        <v>1091</v>
      </c>
      <c r="C107" s="11" t="s">
        <v>67</v>
      </c>
      <c r="D107" s="12">
        <v>1</v>
      </c>
      <c r="E107" s="12">
        <v>0</v>
      </c>
      <c r="F107" s="12">
        <v>1</v>
      </c>
      <c r="G107" s="13">
        <f>+VLOOKUP(Tabla110345345445545647936394962728190[[#This Row],[Ingrediente]],Tabla34[#All],3,0)</f>
        <v>73.78</v>
      </c>
      <c r="H107" s="14">
        <f>+Tabla110345345445545647936394962728190[[#This Row],[Costo]]*Tabla110345345445545647936394962728190[[#This Row],[Columna2]]</f>
        <v>73.78</v>
      </c>
      <c r="I107" s="4"/>
      <c r="J107" s="4"/>
      <c r="K107" s="31"/>
    </row>
    <row r="108" spans="2:13" x14ac:dyDescent="0.3">
      <c r="B108" s="16"/>
      <c r="C108" s="17"/>
      <c r="D108" s="17"/>
      <c r="E108" s="17"/>
      <c r="F108" s="17"/>
      <c r="G108" s="18"/>
      <c r="H108" s="18">
        <f>SUBTOTAL(109,Tabla110345345445545647936394962728190[Total costo])</f>
        <v>16249.708998450003</v>
      </c>
      <c r="I108" s="27"/>
      <c r="J108" s="27"/>
      <c r="K108" s="27"/>
    </row>
    <row r="110" spans="2:13" ht="15.6" x14ac:dyDescent="0.3">
      <c r="B110" s="1" t="s">
        <v>866</v>
      </c>
      <c r="C110" s="2"/>
      <c r="D110" s="2"/>
      <c r="E110" s="3"/>
      <c r="F110" s="3"/>
      <c r="G110" s="3"/>
      <c r="H110" s="3"/>
      <c r="I110" s="4"/>
      <c r="J110" s="399" t="s">
        <v>0</v>
      </c>
      <c r="K110" s="399"/>
      <c r="M110" s="377" t="s">
        <v>1394</v>
      </c>
    </row>
    <row r="111" spans="2:13" x14ac:dyDescent="0.3">
      <c r="B111" s="5" t="s">
        <v>1</v>
      </c>
      <c r="C111" s="6" t="s">
        <v>2</v>
      </c>
      <c r="D111" s="6" t="s">
        <v>3</v>
      </c>
      <c r="E111" s="6" t="s">
        <v>920</v>
      </c>
      <c r="F111" s="6" t="s">
        <v>319</v>
      </c>
      <c r="G111" s="7" t="s">
        <v>4</v>
      </c>
      <c r="H111" s="7" t="s">
        <v>5</v>
      </c>
      <c r="I111" s="4"/>
      <c r="J111" s="8" t="s">
        <v>6</v>
      </c>
      <c r="K111" s="9">
        <f>SUM(Tabla110345345445545647936405063738291[Total costo])</f>
        <v>13321.119999220002</v>
      </c>
      <c r="M111" s="346" t="s">
        <v>1544</v>
      </c>
    </row>
    <row r="112" spans="2:13" x14ac:dyDescent="0.3">
      <c r="B112" s="10" t="s">
        <v>620</v>
      </c>
      <c r="C112" s="11" t="s">
        <v>67</v>
      </c>
      <c r="D112" s="12">
        <v>150.00000299999999</v>
      </c>
      <c r="E112" s="12">
        <v>10</v>
      </c>
      <c r="F112" s="12">
        <v>166.66667000000001</v>
      </c>
      <c r="G112" s="13">
        <f>+VLOOKUP(Tabla110345345445545647936405063738291[[#This Row],[Ingrediente]],Tabla34[#All],3,0)</f>
        <v>39</v>
      </c>
      <c r="H112" s="14">
        <f>+Tabla110345345445545647936405063738291[[#This Row],[Costo]]*Tabla110345345445545647936405063738291[[#This Row],[Columna2]]</f>
        <v>6500.0001300000004</v>
      </c>
      <c r="I112" s="4"/>
      <c r="J112" s="8" t="s">
        <v>12</v>
      </c>
      <c r="K112" s="15">
        <f>+K111*10%</f>
        <v>1332.1119999220002</v>
      </c>
      <c r="M112" s="346" t="s">
        <v>1545</v>
      </c>
    </row>
    <row r="113" spans="2:13" x14ac:dyDescent="0.3">
      <c r="B113" s="24" t="s">
        <v>229</v>
      </c>
      <c r="C113" s="11" t="s">
        <v>67</v>
      </c>
      <c r="D113" s="12">
        <v>50</v>
      </c>
      <c r="E113" s="12">
        <v>0</v>
      </c>
      <c r="F113" s="12">
        <v>50</v>
      </c>
      <c r="G113" s="13">
        <f>+VLOOKUP(Tabla110345345445545647936405063738291[[#This Row],[Ingrediente]],Tabla34[#All],3,0)</f>
        <v>24.714500000000001</v>
      </c>
      <c r="H113" s="14">
        <f>+Tabla110345345445545647936405063738291[[#This Row],[Costo]]*Tabla110345345445545647936405063738291[[#This Row],[Columna2]]</f>
        <v>1235.7250000000001</v>
      </c>
      <c r="I113" s="4"/>
      <c r="J113" s="8" t="s">
        <v>13</v>
      </c>
      <c r="K113" s="15">
        <f>+K111+K112</f>
        <v>14653.231999142003</v>
      </c>
      <c r="M113" s="346" t="s">
        <v>1546</v>
      </c>
    </row>
    <row r="114" spans="2:13" x14ac:dyDescent="0.3">
      <c r="B114" s="24" t="s">
        <v>837</v>
      </c>
      <c r="C114" s="11" t="s">
        <v>847</v>
      </c>
      <c r="D114" s="12">
        <v>4</v>
      </c>
      <c r="E114" s="12">
        <v>0</v>
      </c>
      <c r="F114" s="12">
        <v>4</v>
      </c>
      <c r="G114" s="13">
        <f>+VLOOKUP(Tabla110345345445545647936405063738291[[#This Row],[Ingrediente]],Tabla34[#All],3,0)</f>
        <v>514.28</v>
      </c>
      <c r="H114" s="14">
        <f>+Tabla110345345445545647936405063738291[[#This Row],[Costo]]*Tabla110345345445545647936405063738291[[#This Row],[Columna2]]</f>
        <v>2057.12</v>
      </c>
      <c r="I114" s="4"/>
      <c r="J114" s="20" t="s">
        <v>14</v>
      </c>
      <c r="K114" s="21">
        <v>49000</v>
      </c>
      <c r="M114" s="346"/>
    </row>
    <row r="115" spans="2:13" x14ac:dyDescent="0.3">
      <c r="B115" s="24" t="s">
        <v>119</v>
      </c>
      <c r="C115" s="11" t="s">
        <v>67</v>
      </c>
      <c r="D115" s="12">
        <v>150</v>
      </c>
      <c r="E115" s="12">
        <v>0</v>
      </c>
      <c r="F115" s="12">
        <v>150</v>
      </c>
      <c r="G115" s="13">
        <f>+VLOOKUP(Tabla110345345445545647936405063738291[[#This Row],[Ingrediente]],Tabla34[#All],3,0)</f>
        <v>5.8053971600000001</v>
      </c>
      <c r="H115" s="14">
        <f>+Tabla110345345445545647936405063738291[[#This Row],[Costo]]*Tabla110345345445545647936405063738291[[#This Row],[Columna2]]</f>
        <v>870.809574</v>
      </c>
      <c r="I115" s="4"/>
      <c r="J115" s="8" t="s">
        <v>15</v>
      </c>
      <c r="K115" s="15">
        <f>+K114/1.08*0.08</f>
        <v>3629.6296296296291</v>
      </c>
    </row>
    <row r="116" spans="2:13" x14ac:dyDescent="0.3">
      <c r="B116" s="10" t="s">
        <v>828</v>
      </c>
      <c r="C116" s="11" t="s">
        <v>67</v>
      </c>
      <c r="D116" s="12">
        <v>30.000000400000001</v>
      </c>
      <c r="E116" s="12">
        <v>33</v>
      </c>
      <c r="F116" s="12">
        <v>44.776119999999999</v>
      </c>
      <c r="G116" s="13">
        <f>+VLOOKUP(Tabla110345345445545647936405063738291[[#This Row],[Ingrediente]],Tabla34[#All],3,0)</f>
        <v>9.8000000000000007</v>
      </c>
      <c r="H116" s="14">
        <f>+Tabla110345345445545647936405063738291[[#This Row],[Costo]]*Tabla110345345445545647936405063738291[[#This Row],[Columna2]]</f>
        <v>438.80597600000004</v>
      </c>
      <c r="I116" s="4"/>
      <c r="J116" s="8" t="s">
        <v>16</v>
      </c>
      <c r="K116" s="15">
        <f>+K114-K115</f>
        <v>45370.370370370372</v>
      </c>
      <c r="M116" s="377" t="s">
        <v>1377</v>
      </c>
    </row>
    <row r="117" spans="2:13" x14ac:dyDescent="0.3">
      <c r="B117" s="10" t="s">
        <v>708</v>
      </c>
      <c r="C117" s="11" t="s">
        <v>67</v>
      </c>
      <c r="D117" s="12">
        <v>29.999999649999999</v>
      </c>
      <c r="E117" s="12">
        <v>5</v>
      </c>
      <c r="F117" s="12">
        <v>31.578946999999999</v>
      </c>
      <c r="G117" s="13">
        <f>+VLOOKUP(Tabla110345345445545647936405063738291[[#This Row],[Ingrediente]],Tabla34[#All],3,0)</f>
        <v>11</v>
      </c>
      <c r="H117" s="14">
        <f>+Tabla110345345445545647936405063738291[[#This Row],[Costo]]*Tabla110345345445545647936405063738291[[#This Row],[Columna2]]</f>
        <v>347.36841700000002</v>
      </c>
      <c r="I117" s="4"/>
      <c r="J117" s="8" t="s">
        <v>17</v>
      </c>
      <c r="K117" s="22">
        <f>+K113/K116</f>
        <v>0.32296919508312982</v>
      </c>
      <c r="M117" s="346" t="s">
        <v>1547</v>
      </c>
    </row>
    <row r="118" spans="2:13" x14ac:dyDescent="0.3">
      <c r="B118" s="10" t="s">
        <v>728</v>
      </c>
      <c r="C118" s="11" t="s">
        <v>67</v>
      </c>
      <c r="D118" s="12">
        <v>29.999999299999999</v>
      </c>
      <c r="E118" s="12">
        <v>59</v>
      </c>
      <c r="F118" s="12">
        <v>73.170730000000006</v>
      </c>
      <c r="G118" s="13">
        <f>+VLOOKUP(Tabla110345345445545647936405063738291[[#This Row],[Ingrediente]],Tabla34[#All],3,0)</f>
        <v>4.5</v>
      </c>
      <c r="H118" s="14">
        <f>+Tabla110345345445545647936405063738291[[#This Row],[Costo]]*Tabla110345345445545647936405063738291[[#This Row],[Columna2]]</f>
        <v>329.26828500000005</v>
      </c>
      <c r="I118" s="4"/>
      <c r="J118" s="8" t="s">
        <v>18</v>
      </c>
      <c r="K118" s="23">
        <f>+K116-K113</f>
        <v>30717.138371228371</v>
      </c>
      <c r="M118" s="346" t="s">
        <v>1548</v>
      </c>
    </row>
    <row r="119" spans="2:13" x14ac:dyDescent="0.3">
      <c r="B119" s="10" t="s">
        <v>451</v>
      </c>
      <c r="C119" s="11" t="s">
        <v>67</v>
      </c>
      <c r="D119" s="12">
        <v>5</v>
      </c>
      <c r="E119" s="12">
        <v>0</v>
      </c>
      <c r="F119" s="12">
        <v>5</v>
      </c>
      <c r="G119" s="13">
        <f>+VLOOKUP(Tabla110345345445545647936405063738291[[#This Row],[Ingrediente]],Tabla34[#All],3,0)</f>
        <v>60.987499999999997</v>
      </c>
      <c r="H119" s="14">
        <f>+Tabla110345345445545647936405063738291[[#This Row],[Costo]]*Tabla110345345445545647936405063738291[[#This Row],[Columna2]]</f>
        <v>304.9375</v>
      </c>
      <c r="I119" s="4"/>
      <c r="J119" s="8" t="s">
        <v>19</v>
      </c>
      <c r="K119" s="25">
        <f>+K118/K113</f>
        <v>2.0962705274185902</v>
      </c>
      <c r="M119" s="346" t="s">
        <v>1549</v>
      </c>
    </row>
    <row r="120" spans="2:13" x14ac:dyDescent="0.3">
      <c r="B120" s="10" t="s">
        <v>634</v>
      </c>
      <c r="C120" s="11" t="s">
        <v>67</v>
      </c>
      <c r="D120" s="12">
        <v>30</v>
      </c>
      <c r="E120" s="12">
        <v>0</v>
      </c>
      <c r="F120" s="12">
        <v>30</v>
      </c>
      <c r="G120" s="13">
        <f>+VLOOKUP(Tabla110345345445545647936405063738291[[#This Row],[Ingrediente]],Tabla34[#All],3,0)</f>
        <v>8.9250000000000007</v>
      </c>
      <c r="H120" s="14">
        <f>+Tabla110345345445545647936405063738291[[#This Row],[Costo]]*Tabla110345345445545647936405063738291[[#This Row],[Columna2]]</f>
        <v>267.75</v>
      </c>
      <c r="I120" s="4"/>
      <c r="J120" s="4"/>
      <c r="K120" s="31"/>
    </row>
    <row r="121" spans="2:13" x14ac:dyDescent="0.3">
      <c r="B121" s="10" t="s">
        <v>692</v>
      </c>
      <c r="C121" s="11" t="s">
        <v>67</v>
      </c>
      <c r="D121" s="12">
        <v>15</v>
      </c>
      <c r="E121" s="12">
        <v>0</v>
      </c>
      <c r="F121" s="12">
        <v>15</v>
      </c>
      <c r="G121" s="13">
        <f>+VLOOKUP(Tabla110345345445545647936405063738291[[#This Row],[Ingrediente]],Tabla34[#All],3,0)</f>
        <v>18.698499999999999</v>
      </c>
      <c r="H121" s="14">
        <f>+Tabla110345345445545647936405063738291[[#This Row],[Costo]]*Tabla110345345445545647936405063738291[[#This Row],[Columna2]]</f>
        <v>280.47749999999996</v>
      </c>
      <c r="I121" s="4"/>
      <c r="J121" s="4"/>
      <c r="K121" s="31"/>
    </row>
    <row r="122" spans="2:13" x14ac:dyDescent="0.3">
      <c r="B122" s="10" t="s">
        <v>127</v>
      </c>
      <c r="C122" s="11" t="s">
        <v>67</v>
      </c>
      <c r="D122" s="12">
        <v>10</v>
      </c>
      <c r="E122" s="12">
        <v>0</v>
      </c>
      <c r="F122" s="12">
        <v>10</v>
      </c>
      <c r="G122" s="13">
        <f>+VLOOKUP(Tabla110345345445545647936405063738291[[#This Row],[Ingrediente]],Tabla34[#All],3,0)</f>
        <v>15.69091749</v>
      </c>
      <c r="H122" s="14">
        <f>+Tabla110345345445545647936405063738291[[#This Row],[Costo]]*Tabla110345345445545647936405063738291[[#This Row],[Columna2]]</f>
        <v>156.90917490000001</v>
      </c>
      <c r="I122" s="4"/>
      <c r="J122" s="4"/>
      <c r="K122" s="31"/>
    </row>
    <row r="123" spans="2:13" x14ac:dyDescent="0.3">
      <c r="B123" s="10" t="s">
        <v>174</v>
      </c>
      <c r="C123" s="11" t="s">
        <v>67</v>
      </c>
      <c r="D123" s="12">
        <v>3</v>
      </c>
      <c r="E123" s="12">
        <v>0</v>
      </c>
      <c r="F123" s="12">
        <v>3</v>
      </c>
      <c r="G123" s="13">
        <f>+VLOOKUP(Tabla110345345445545647936405063738291[[#This Row],[Ingrediente]],Tabla34[#All],3,0)</f>
        <v>84.475308639999994</v>
      </c>
      <c r="H123" s="14">
        <f>+Tabla110345345445545647936405063738291[[#This Row],[Costo]]*Tabla110345345445545647936405063738291[[#This Row],[Columna2]]</f>
        <v>253.42592592</v>
      </c>
      <c r="I123" s="4"/>
      <c r="J123" s="4"/>
      <c r="K123" s="26"/>
    </row>
    <row r="124" spans="2:13" x14ac:dyDescent="0.3">
      <c r="B124" s="10" t="s">
        <v>687</v>
      </c>
      <c r="C124" s="11" t="s">
        <v>67</v>
      </c>
      <c r="D124" s="12">
        <v>49.999999289999998</v>
      </c>
      <c r="E124" s="12">
        <v>17</v>
      </c>
      <c r="F124" s="12">
        <v>60.240963000000001</v>
      </c>
      <c r="G124" s="13">
        <f>+VLOOKUP(Tabla110345345445545647936405063738291[[#This Row],[Ingrediente]],Tabla34[#All],3,0)</f>
        <v>2.8</v>
      </c>
      <c r="H124" s="14">
        <f>+Tabla110345345445545647936405063738291[[#This Row],[Costo]]*Tabla110345345445545647936405063738291[[#This Row],[Columna2]]</f>
        <v>168.67469639999999</v>
      </c>
      <c r="I124" s="4"/>
      <c r="J124" s="4"/>
      <c r="K124" s="26"/>
    </row>
    <row r="125" spans="2:13" x14ac:dyDescent="0.3">
      <c r="B125" s="10" t="s">
        <v>695</v>
      </c>
      <c r="C125" s="11" t="s">
        <v>67</v>
      </c>
      <c r="D125" s="12">
        <v>9.9999997999999994</v>
      </c>
      <c r="E125" s="12">
        <v>30</v>
      </c>
      <c r="F125" s="12">
        <v>14.285714</v>
      </c>
      <c r="G125" s="13">
        <f>+VLOOKUP(Tabla110345345445545647936405063738291[[#This Row],[Ingrediente]],Tabla34[#All],3,0)</f>
        <v>5</v>
      </c>
      <c r="H125" s="14">
        <f>+Tabla110345345445545647936405063738291[[#This Row],[Costo]]*Tabla110345345445545647936405063738291[[#This Row],[Columna2]]</f>
        <v>71.428570000000008</v>
      </c>
      <c r="I125" s="27"/>
      <c r="J125" s="27"/>
      <c r="K125" s="27"/>
    </row>
    <row r="126" spans="2:13" x14ac:dyDescent="0.3">
      <c r="B126" s="10" t="s">
        <v>313</v>
      </c>
      <c r="C126" s="11" t="s">
        <v>67</v>
      </c>
      <c r="D126" s="12">
        <v>5</v>
      </c>
      <c r="E126" s="12">
        <v>0</v>
      </c>
      <c r="F126" s="12">
        <v>5</v>
      </c>
      <c r="G126" s="13">
        <f>+VLOOKUP(Tabla110345345445545647936405063738291[[#This Row],[Ingrediente]],Tabla34[#All],3,0)</f>
        <v>7.6838499999999996</v>
      </c>
      <c r="H126" s="14">
        <f>+Tabla110345345445545647936405063738291[[#This Row],[Costo]]*Tabla110345345445545647936405063738291[[#This Row],[Columna2]]</f>
        <v>38.419249999999998</v>
      </c>
      <c r="J126" s="27"/>
      <c r="K126" s="27"/>
    </row>
    <row r="127" spans="2:13" x14ac:dyDescent="0.3">
      <c r="B127" s="16"/>
      <c r="C127" s="17"/>
      <c r="D127" s="17"/>
      <c r="E127" s="17"/>
      <c r="F127" s="17"/>
      <c r="G127" s="18"/>
      <c r="H127" s="18">
        <f>SUBTOTAL(109,Tabla110345345445545647936405063738291[Total costo])</f>
        <v>13321.119999220002</v>
      </c>
      <c r="I127" s="4"/>
    </row>
    <row r="129" spans="2:13" ht="15.6" x14ac:dyDescent="0.3">
      <c r="B129" s="1" t="s">
        <v>328</v>
      </c>
      <c r="C129" s="2"/>
      <c r="D129" s="2"/>
      <c r="E129" s="3"/>
      <c r="F129" s="3"/>
      <c r="G129" s="3"/>
      <c r="H129" s="3"/>
      <c r="J129" s="399" t="s">
        <v>0</v>
      </c>
      <c r="K129" s="399"/>
      <c r="M129" s="377" t="s">
        <v>1394</v>
      </c>
    </row>
    <row r="130" spans="2:13" x14ac:dyDescent="0.3">
      <c r="B130" s="5" t="s">
        <v>1</v>
      </c>
      <c r="C130" s="6" t="s">
        <v>2</v>
      </c>
      <c r="D130" s="6" t="s">
        <v>3</v>
      </c>
      <c r="E130" s="6" t="s">
        <v>920</v>
      </c>
      <c r="F130" s="6" t="s">
        <v>319</v>
      </c>
      <c r="G130" s="7" t="s">
        <v>4</v>
      </c>
      <c r="H130" s="7" t="s">
        <v>5</v>
      </c>
      <c r="I130" s="4"/>
      <c r="J130" s="8" t="s">
        <v>6</v>
      </c>
      <c r="K130" s="9">
        <f>SUM(Tabla110345345445545647936425164748392[Total costo])</f>
        <v>25108.031231500001</v>
      </c>
      <c r="M130" s="346"/>
    </row>
    <row r="131" spans="2:13" x14ac:dyDescent="0.3">
      <c r="B131" s="10" t="s">
        <v>313</v>
      </c>
      <c r="C131" s="11" t="s">
        <v>67</v>
      </c>
      <c r="D131" s="12">
        <v>15</v>
      </c>
      <c r="E131" s="12">
        <v>0</v>
      </c>
      <c r="F131" s="12">
        <v>15</v>
      </c>
      <c r="G131" s="13">
        <f>+VLOOKUP(Tabla110345345445545647936425164748392[[#This Row],[Ingrediente]],Tabla34[#All],3,0)</f>
        <v>7.6838499999999996</v>
      </c>
      <c r="H131" s="14">
        <f>+Tabla110345345445545647936425164748392[[#This Row],[Costo]]*Tabla110345345445545647936425164748392[[#This Row],[Columna2]]</f>
        <v>115.25774999999999</v>
      </c>
      <c r="I131" s="4"/>
      <c r="J131" s="8" t="s">
        <v>12</v>
      </c>
      <c r="K131" s="15">
        <f>+K130*10%</f>
        <v>2510.8031231500004</v>
      </c>
      <c r="M131" s="346"/>
    </row>
    <row r="132" spans="2:13" x14ac:dyDescent="0.3">
      <c r="B132" s="10" t="s">
        <v>683</v>
      </c>
      <c r="C132" s="11" t="s">
        <v>67</v>
      </c>
      <c r="D132" s="12">
        <v>60</v>
      </c>
      <c r="E132" s="12">
        <v>25</v>
      </c>
      <c r="F132" s="12">
        <v>80</v>
      </c>
      <c r="G132" s="13">
        <f>+VLOOKUP(Tabla110345345445545647936425164748392[[#This Row],[Ingrediente]],Tabla34[#All],3,0)</f>
        <v>8.5</v>
      </c>
      <c r="H132" s="14">
        <f>+Tabla110345345445545647936425164748392[[#This Row],[Costo]]*Tabla110345345445545647936425164748392[[#This Row],[Columna2]]</f>
        <v>680</v>
      </c>
      <c r="I132" s="4"/>
      <c r="J132" s="8" t="s">
        <v>13</v>
      </c>
      <c r="K132" s="15">
        <f>+K130+K131</f>
        <v>27618.83435465</v>
      </c>
      <c r="M132" s="346"/>
    </row>
    <row r="133" spans="2:13" x14ac:dyDescent="0.3">
      <c r="B133" s="10" t="s">
        <v>687</v>
      </c>
      <c r="C133" s="11" t="s">
        <v>67</v>
      </c>
      <c r="D133" s="12">
        <v>15</v>
      </c>
      <c r="E133" s="12">
        <v>10</v>
      </c>
      <c r="F133" s="12">
        <v>16.667000000000002</v>
      </c>
      <c r="G133" s="13">
        <f>+VLOOKUP(Tabla110345345445545647936425164748392[[#This Row],[Ingrediente]],Tabla34[#All],3,0)</f>
        <v>2.8</v>
      </c>
      <c r="H133" s="14">
        <f>+Tabla110345345445545647936425164748392[[#This Row],[Costo]]*Tabla110345345445545647936425164748392[[#This Row],[Columna2]]</f>
        <v>46.6676</v>
      </c>
      <c r="I133" s="4"/>
      <c r="J133" s="20" t="s">
        <v>14</v>
      </c>
      <c r="K133" s="21">
        <v>82000</v>
      </c>
      <c r="M133" s="346"/>
    </row>
    <row r="134" spans="2:13" x14ac:dyDescent="0.3">
      <c r="B134" s="24" t="s">
        <v>187</v>
      </c>
      <c r="C134" s="11" t="s">
        <v>67</v>
      </c>
      <c r="D134" s="12">
        <v>15</v>
      </c>
      <c r="E134" s="12">
        <v>10</v>
      </c>
      <c r="F134" s="12">
        <v>16.667000000000002</v>
      </c>
      <c r="G134" s="13">
        <f>+VLOOKUP(Tabla110345345445545647936425164748392[[#This Row],[Ingrediente]],Tabla34[#All],3,0)</f>
        <v>4.7</v>
      </c>
      <c r="H134" s="14">
        <f>+Tabla110345345445545647936425164748392[[#This Row],[Costo]]*Tabla110345345445545647936425164748392[[#This Row],[Columna2]]</f>
        <v>78.334900000000005</v>
      </c>
      <c r="I134" s="4"/>
      <c r="J134" s="8" t="s">
        <v>15</v>
      </c>
      <c r="K134" s="15">
        <f>+K133/1.08*0.08</f>
        <v>6074.0740740740739</v>
      </c>
    </row>
    <row r="135" spans="2:13" x14ac:dyDescent="0.3">
      <c r="B135" s="10" t="s">
        <v>730</v>
      </c>
      <c r="C135" s="11" t="s">
        <v>67</v>
      </c>
      <c r="D135" s="12">
        <v>1</v>
      </c>
      <c r="E135" s="12">
        <v>40</v>
      </c>
      <c r="F135" s="12">
        <v>1.667</v>
      </c>
      <c r="G135" s="13">
        <f>+VLOOKUP(Tabla110345345445545647936425164748392[[#This Row],[Ingrediente]],Tabla34[#All],3,0)</f>
        <v>12</v>
      </c>
      <c r="H135" s="14">
        <f>+Tabla110345345445545647936425164748392[[#This Row],[Costo]]*Tabla110345345445545647936425164748392[[#This Row],[Columna2]]</f>
        <v>20.004000000000001</v>
      </c>
      <c r="I135" s="4"/>
      <c r="J135" s="8" t="s">
        <v>16</v>
      </c>
      <c r="K135" s="15">
        <f>+K133-K134</f>
        <v>75925.925925925927</v>
      </c>
      <c r="M135" s="377" t="s">
        <v>1377</v>
      </c>
    </row>
    <row r="136" spans="2:13" x14ac:dyDescent="0.3">
      <c r="B136" s="10" t="s">
        <v>620</v>
      </c>
      <c r="C136" s="11" t="s">
        <v>67</v>
      </c>
      <c r="D136" s="12">
        <v>150</v>
      </c>
      <c r="E136" s="12">
        <v>10</v>
      </c>
      <c r="F136" s="12">
        <v>166.667</v>
      </c>
      <c r="G136" s="13">
        <f>+VLOOKUP(Tabla110345345445545647936425164748392[[#This Row],[Ingrediente]],Tabla34[#All],3,0)</f>
        <v>39</v>
      </c>
      <c r="H136" s="14">
        <f>+Tabla110345345445545647936425164748392[[#This Row],[Costo]]*Tabla110345345445545647936425164748392[[#This Row],[Columna2]]</f>
        <v>6500.0129999999999</v>
      </c>
      <c r="I136" s="4"/>
      <c r="J136" s="8" t="s">
        <v>17</v>
      </c>
      <c r="K136" s="22">
        <f>+K132/K135</f>
        <v>0.36376025735392681</v>
      </c>
      <c r="M136" s="346"/>
    </row>
    <row r="137" spans="2:13" x14ac:dyDescent="0.3">
      <c r="B137" s="10" t="s">
        <v>835</v>
      </c>
      <c r="C137" s="11" t="s">
        <v>67</v>
      </c>
      <c r="D137" s="12">
        <v>6.6</v>
      </c>
      <c r="E137" s="12">
        <v>78</v>
      </c>
      <c r="F137" s="12">
        <v>30</v>
      </c>
      <c r="G137" s="13">
        <f>+VLOOKUP(Tabla110345345445545647936425164748392[[#This Row],[Ingrediente]],Tabla34[#All],3,0)</f>
        <v>4.5</v>
      </c>
      <c r="H137" s="14">
        <f>+Tabla110345345445545647936425164748392[[#This Row],[Costo]]*Tabla110345345445545647936425164748392[[#This Row],[Columna2]]</f>
        <v>135</v>
      </c>
      <c r="I137" s="4"/>
      <c r="J137" s="8" t="s">
        <v>18</v>
      </c>
      <c r="K137" s="23">
        <f>+K135-K132</f>
        <v>48307.091571275931</v>
      </c>
      <c r="M137" s="346"/>
    </row>
    <row r="138" spans="2:13" x14ac:dyDescent="0.3">
      <c r="B138" s="10" t="s">
        <v>89</v>
      </c>
      <c r="C138" s="11" t="s">
        <v>67</v>
      </c>
      <c r="D138" s="12">
        <v>5</v>
      </c>
      <c r="E138" s="12">
        <v>0</v>
      </c>
      <c r="F138" s="12">
        <v>5</v>
      </c>
      <c r="G138" s="13">
        <f>+VLOOKUP(Tabla110345345445545647936425164748392[[#This Row],[Ingrediente]],Tabla34[#All],3,0)</f>
        <v>2.4009999999999998</v>
      </c>
      <c r="H138" s="14">
        <f>+Tabla110345345445545647936425164748392[[#This Row],[Costo]]*Tabla110345345445545647936425164748392[[#This Row],[Columna2]]</f>
        <v>12.004999999999999</v>
      </c>
      <c r="I138" s="4"/>
      <c r="J138" s="8" t="s">
        <v>19</v>
      </c>
      <c r="K138" s="25">
        <f>+K137/K132</f>
        <v>1.7490633728770231</v>
      </c>
      <c r="M138" s="346"/>
    </row>
    <row r="139" spans="2:13" x14ac:dyDescent="0.3">
      <c r="B139" s="10" t="s">
        <v>634</v>
      </c>
      <c r="C139" s="11" t="s">
        <v>67</v>
      </c>
      <c r="D139" s="12">
        <v>10</v>
      </c>
      <c r="E139" s="12">
        <v>0</v>
      </c>
      <c r="F139" s="12">
        <v>10</v>
      </c>
      <c r="G139" s="13">
        <f>+VLOOKUP(Tabla110345345445545647936425164748392[[#This Row],[Ingrediente]],Tabla34[#All],3,0)</f>
        <v>8.9250000000000007</v>
      </c>
      <c r="H139" s="14">
        <f>+Tabla110345345445545647936425164748392[[#This Row],[Costo]]*Tabla110345345445545647936425164748392[[#This Row],[Columna2]]</f>
        <v>89.25</v>
      </c>
      <c r="I139" s="4"/>
      <c r="J139" s="4"/>
      <c r="K139" s="31"/>
      <c r="M139" s="346"/>
    </row>
    <row r="140" spans="2:13" x14ac:dyDescent="0.3">
      <c r="B140" s="10" t="s">
        <v>826</v>
      </c>
      <c r="C140" s="11" t="s">
        <v>847</v>
      </c>
      <c r="D140" s="12">
        <v>3</v>
      </c>
      <c r="E140" s="12">
        <v>0</v>
      </c>
      <c r="F140" s="12">
        <v>3</v>
      </c>
      <c r="G140" s="13">
        <f>+VLOOKUP(Tabla110345345445545647936425164748392[[#This Row],[Ingrediente]],Tabla34[#All],3,0)</f>
        <v>1427.12905</v>
      </c>
      <c r="H140" s="14">
        <f>+Tabla110345345445545647936425164748392[[#This Row],[Costo]]*Tabla110345345445545647936425164748392[[#This Row],[Columna2]]</f>
        <v>4281.3871500000005</v>
      </c>
      <c r="I140" s="4"/>
      <c r="J140" s="4"/>
      <c r="K140" s="31"/>
    </row>
    <row r="141" spans="2:13" x14ac:dyDescent="0.3">
      <c r="B141" s="10" t="s">
        <v>52</v>
      </c>
      <c r="C141" s="11" t="s">
        <v>67</v>
      </c>
      <c r="D141" s="12">
        <v>30</v>
      </c>
      <c r="E141" s="12">
        <v>0</v>
      </c>
      <c r="F141" s="12">
        <v>30</v>
      </c>
      <c r="G141" s="13">
        <f>+VLOOKUP(Tabla110345345445545647936425164748392[[#This Row],[Ingrediente]],Tabla34[#All],3,0)</f>
        <v>27.651436050000001</v>
      </c>
      <c r="H141" s="14">
        <f>+Tabla110345345445545647936425164748392[[#This Row],[Costo]]*Tabla110345345445545647936425164748392[[#This Row],[Columna2]]</f>
        <v>829.54308149999997</v>
      </c>
      <c r="I141" s="4"/>
      <c r="J141" s="4"/>
      <c r="K141" s="31"/>
    </row>
    <row r="142" spans="2:13" x14ac:dyDescent="0.3">
      <c r="B142" s="10" t="s">
        <v>829</v>
      </c>
      <c r="C142" s="11" t="s">
        <v>847</v>
      </c>
      <c r="D142" s="12">
        <v>0.5</v>
      </c>
      <c r="E142" s="12">
        <v>0</v>
      </c>
      <c r="F142" s="12">
        <v>0.5</v>
      </c>
      <c r="G142" s="13">
        <f>+VLOOKUP(Tabla110345345445545647936425164748392[[#This Row],[Ingrediente]],Tabla34[#All],3,0)</f>
        <v>16247.637500000001</v>
      </c>
      <c r="H142" s="14">
        <f>+Tabla110345345445545647936425164748392[[#This Row],[Costo]]*Tabla110345345445545647936425164748392[[#This Row],[Columna2]]</f>
        <v>8123.8187500000004</v>
      </c>
      <c r="I142" s="4"/>
      <c r="J142" s="4"/>
      <c r="K142" s="31"/>
    </row>
    <row r="143" spans="2:13" x14ac:dyDescent="0.3">
      <c r="B143" s="10" t="s">
        <v>838</v>
      </c>
      <c r="C143" s="11" t="s">
        <v>847</v>
      </c>
      <c r="D143" s="12">
        <v>1</v>
      </c>
      <c r="E143" s="12">
        <v>0</v>
      </c>
      <c r="F143" s="12">
        <v>1</v>
      </c>
      <c r="G143" s="13">
        <f>+VLOOKUP(Tabla110345345445545647936425164748392[[#This Row],[Ingrediente]],Tabla34[#All],3,0)</f>
        <v>4196.75</v>
      </c>
      <c r="H143" s="14">
        <f>+Tabla110345345445545647936425164748392[[#This Row],[Costo]]*Tabla110345345445545647936425164748392[[#This Row],[Columna2]]</f>
        <v>4196.75</v>
      </c>
      <c r="I143" s="4"/>
      <c r="J143" s="4"/>
      <c r="K143" s="31"/>
    </row>
    <row r="144" spans="2:13" x14ac:dyDescent="0.3">
      <c r="B144" s="16"/>
      <c r="C144" s="17"/>
      <c r="D144" s="17"/>
      <c r="E144" s="17"/>
      <c r="F144" s="17"/>
      <c r="G144" s="18"/>
      <c r="H144" s="18">
        <f>SUBTOTAL(109,Tabla110345345445545647936425164748392[Total costo])</f>
        <v>25108.031231500001</v>
      </c>
      <c r="I144" s="4"/>
      <c r="J144" s="4"/>
      <c r="K144" s="26"/>
    </row>
    <row r="145" spans="2:13" x14ac:dyDescent="0.3">
      <c r="G145" s="27"/>
      <c r="H145" s="4"/>
      <c r="I145" s="26"/>
    </row>
    <row r="146" spans="2:13" ht="15.6" x14ac:dyDescent="0.3">
      <c r="B146" s="1" t="s">
        <v>868</v>
      </c>
      <c r="C146" s="2"/>
      <c r="D146" s="2"/>
      <c r="E146" s="3"/>
      <c r="F146" s="3"/>
      <c r="G146" s="3"/>
      <c r="H146" s="3"/>
      <c r="J146" s="399" t="s">
        <v>0</v>
      </c>
      <c r="K146" s="399"/>
      <c r="M146" s="377" t="s">
        <v>1394</v>
      </c>
    </row>
    <row r="147" spans="2:13" x14ac:dyDescent="0.3">
      <c r="B147" s="5" t="s">
        <v>1</v>
      </c>
      <c r="C147" s="6" t="s">
        <v>2</v>
      </c>
      <c r="D147" s="6" t="s">
        <v>3</v>
      </c>
      <c r="E147" s="6" t="s">
        <v>920</v>
      </c>
      <c r="F147" s="6" t="s">
        <v>319</v>
      </c>
      <c r="G147" s="7" t="s">
        <v>4</v>
      </c>
      <c r="H147" s="7" t="s">
        <v>5</v>
      </c>
      <c r="I147" s="4"/>
      <c r="J147" s="8" t="s">
        <v>6</v>
      </c>
      <c r="K147" s="9" t="e">
        <f>SUM(Tabla110345345445545647936435265758493[Total costo])</f>
        <v>#N/A</v>
      </c>
      <c r="M147" s="346" t="s">
        <v>1550</v>
      </c>
    </row>
    <row r="148" spans="2:13" x14ac:dyDescent="0.3">
      <c r="B148" s="10" t="s">
        <v>645</v>
      </c>
      <c r="C148" s="11" t="s">
        <v>847</v>
      </c>
      <c r="D148" s="12">
        <v>1</v>
      </c>
      <c r="E148" s="12">
        <v>0</v>
      </c>
      <c r="F148" s="12">
        <v>1</v>
      </c>
      <c r="G148" s="13">
        <f>+VLOOKUP(Tabla110345345445545647936435265758493[[#This Row],[Ingrediente]],Tabla34[#All],3,0)</f>
        <v>10300</v>
      </c>
      <c r="H148" s="14">
        <f>+Tabla110345345445545647936435265758493[[#This Row],[Costo]]*Tabla110345345445545647936435265758493[[#This Row],[Columna2]]</f>
        <v>10300</v>
      </c>
      <c r="I148" s="4"/>
      <c r="J148" s="8" t="s">
        <v>12</v>
      </c>
      <c r="K148" s="15" t="e">
        <f>+K147*10%</f>
        <v>#N/A</v>
      </c>
      <c r="M148" s="346" t="s">
        <v>1551</v>
      </c>
    </row>
    <row r="149" spans="2:13" x14ac:dyDescent="0.3">
      <c r="B149" s="10" t="s">
        <v>837</v>
      </c>
      <c r="C149" s="11" t="s">
        <v>847</v>
      </c>
      <c r="D149" s="12">
        <v>4</v>
      </c>
      <c r="E149" s="12">
        <v>0</v>
      </c>
      <c r="F149" s="12">
        <v>4</v>
      </c>
      <c r="G149" s="13">
        <f>+VLOOKUP(Tabla110345345445545647936435265758493[[#This Row],[Ingrediente]],Tabla34[#All],3,0)</f>
        <v>514.28</v>
      </c>
      <c r="H149" s="14">
        <f>+Tabla110345345445545647936435265758493[[#This Row],[Costo]]*Tabla110345345445545647936435265758493[[#This Row],[Columna2]]</f>
        <v>2057.12</v>
      </c>
      <c r="I149" s="4"/>
      <c r="J149" s="8" t="s">
        <v>13</v>
      </c>
      <c r="K149" s="15" t="e">
        <f>+K147+K148</f>
        <v>#N/A</v>
      </c>
      <c r="M149" s="346" t="s">
        <v>1552</v>
      </c>
    </row>
    <row r="150" spans="2:13" x14ac:dyDescent="0.3">
      <c r="B150" s="24" t="s">
        <v>229</v>
      </c>
      <c r="C150" s="11" t="s">
        <v>67</v>
      </c>
      <c r="D150" s="12">
        <v>10</v>
      </c>
      <c r="E150" s="12">
        <v>0</v>
      </c>
      <c r="F150" s="12">
        <v>10</v>
      </c>
      <c r="G150" s="13">
        <f>+VLOOKUP(Tabla110345345445545647936435265758493[[#This Row],[Ingrediente]],Tabla34[#All],3,0)</f>
        <v>24.714500000000001</v>
      </c>
      <c r="H150" s="14">
        <f>+Tabla110345345445545647936435265758493[[#This Row],[Costo]]*Tabla110345345445545647936435265758493[[#This Row],[Columna2]]</f>
        <v>247.14500000000001</v>
      </c>
      <c r="I150" s="4"/>
      <c r="J150" s="20" t="s">
        <v>14</v>
      </c>
      <c r="K150" s="21">
        <v>61000</v>
      </c>
      <c r="M150" s="346" t="s">
        <v>1553</v>
      </c>
    </row>
    <row r="151" spans="2:13" x14ac:dyDescent="0.3">
      <c r="B151" s="24" t="s">
        <v>169</v>
      </c>
      <c r="C151" s="11" t="s">
        <v>847</v>
      </c>
      <c r="D151" s="12">
        <v>2</v>
      </c>
      <c r="E151" s="12">
        <v>0</v>
      </c>
      <c r="F151" s="12">
        <v>2</v>
      </c>
      <c r="G151" s="13" t="e">
        <f>+VLOOKUP(Tabla110345345445545647936435265758493[[#This Row],[Ingrediente]],Tabla34[#All],3,0)</f>
        <v>#N/A</v>
      </c>
      <c r="H151" s="14" t="e">
        <f>+Tabla110345345445545647936435265758493[[#This Row],[Costo]]*Tabla110345345445545647936435265758493[[#This Row],[Columna2]]</f>
        <v>#N/A</v>
      </c>
      <c r="I151" s="4"/>
      <c r="J151" s="8" t="s">
        <v>15</v>
      </c>
      <c r="K151" s="15">
        <f>+K150/1.08*0.08</f>
        <v>4518.5185185185182</v>
      </c>
    </row>
    <row r="152" spans="2:13" x14ac:dyDescent="0.3">
      <c r="B152" s="24" t="s">
        <v>119</v>
      </c>
      <c r="C152" s="11" t="s">
        <v>67</v>
      </c>
      <c r="D152" s="12">
        <v>150</v>
      </c>
      <c r="E152" s="12">
        <v>0</v>
      </c>
      <c r="F152" s="12">
        <v>150</v>
      </c>
      <c r="G152" s="13">
        <f>+VLOOKUP(Tabla110345345445545647936435265758493[[#This Row],[Ingrediente]],Tabla34[#All],3,0)</f>
        <v>5.8053971600000001</v>
      </c>
      <c r="H152" s="14">
        <f>+Tabla110345345445545647936435265758493[[#This Row],[Costo]]*Tabla110345345445545647936435265758493[[#This Row],[Columna2]]</f>
        <v>870.809574</v>
      </c>
      <c r="I152" s="4"/>
      <c r="J152" s="8" t="s">
        <v>16</v>
      </c>
      <c r="K152" s="15">
        <f>+K150-K151</f>
        <v>56481.481481481482</v>
      </c>
      <c r="M152" s="377" t="s">
        <v>1377</v>
      </c>
    </row>
    <row r="153" spans="2:13" x14ac:dyDescent="0.3">
      <c r="B153" s="10" t="s">
        <v>86</v>
      </c>
      <c r="C153" s="11" t="s">
        <v>67</v>
      </c>
      <c r="D153" s="12">
        <v>10</v>
      </c>
      <c r="E153" s="12">
        <v>0</v>
      </c>
      <c r="F153" s="12">
        <v>10</v>
      </c>
      <c r="G153" s="13">
        <f>+VLOOKUP(Tabla110345345445545647936435265758493[[#This Row],[Ingrediente]],Tabla34[#All],3,0)</f>
        <v>37.630499999999998</v>
      </c>
      <c r="H153" s="14">
        <f>+Tabla110345345445545647936435265758493[[#This Row],[Costo]]*Tabla110345345445545647936435265758493[[#This Row],[Columna2]]</f>
        <v>376.30499999999995</v>
      </c>
      <c r="I153" s="4"/>
      <c r="J153" s="8" t="s">
        <v>17</v>
      </c>
      <c r="K153" s="22" t="e">
        <f>+K149/K152</f>
        <v>#N/A</v>
      </c>
      <c r="M153" s="346" t="s">
        <v>1554</v>
      </c>
    </row>
    <row r="154" spans="2:13" x14ac:dyDescent="0.3">
      <c r="B154" s="24" t="s">
        <v>833</v>
      </c>
      <c r="C154" s="11" t="s">
        <v>67</v>
      </c>
      <c r="D154" s="12">
        <v>1</v>
      </c>
      <c r="E154" s="12">
        <v>0</v>
      </c>
      <c r="F154" s="12">
        <v>1</v>
      </c>
      <c r="G154" s="13">
        <f>+VLOOKUP(Tabla110345345445545647936435265758493[[#This Row],[Ingrediente]],Tabla34[#All],3,0)</f>
        <v>307.5</v>
      </c>
      <c r="H154" s="14">
        <f>+Tabla110345345445545647936435265758493[[#This Row],[Costo]]*Tabla110345345445545647936435265758493[[#This Row],[Columna2]]</f>
        <v>307.5</v>
      </c>
      <c r="I154" s="4"/>
      <c r="J154" s="8" t="s">
        <v>18</v>
      </c>
      <c r="K154" s="23" t="e">
        <f>+K152-K149</f>
        <v>#N/A</v>
      </c>
      <c r="M154" s="346" t="s">
        <v>1555</v>
      </c>
    </row>
    <row r="155" spans="2:13" x14ac:dyDescent="0.3">
      <c r="B155" s="10" t="s">
        <v>815</v>
      </c>
      <c r="C155" s="11" t="s">
        <v>67</v>
      </c>
      <c r="D155" s="12">
        <v>10</v>
      </c>
      <c r="E155" s="12">
        <v>0</v>
      </c>
      <c r="F155" s="12">
        <v>10</v>
      </c>
      <c r="G155" s="13">
        <f>+VLOOKUP(Tabla110345345445545647936435265758493[[#This Row],[Ingrediente]],Tabla34[#All],3,0)</f>
        <v>19.819230340000001</v>
      </c>
      <c r="H155" s="14">
        <f>+Tabla110345345445545647936435265758493[[#This Row],[Costo]]*Tabla110345345445545647936435265758493[[#This Row],[Columna2]]</f>
        <v>198.19230340000001</v>
      </c>
      <c r="I155" s="4"/>
      <c r="J155" s="8" t="s">
        <v>19</v>
      </c>
      <c r="K155" s="25" t="e">
        <f>+K154/K149</f>
        <v>#N/A</v>
      </c>
      <c r="M155" s="346" t="s">
        <v>1556</v>
      </c>
    </row>
    <row r="156" spans="2:13" x14ac:dyDescent="0.3">
      <c r="B156" s="10" t="s">
        <v>312</v>
      </c>
      <c r="C156" s="11" t="s">
        <v>67</v>
      </c>
      <c r="D156" s="12">
        <v>60</v>
      </c>
      <c r="E156" s="12">
        <v>0</v>
      </c>
      <c r="F156" s="12">
        <v>60</v>
      </c>
      <c r="G156" s="13">
        <f>+VLOOKUP(Tabla110345345445545647936435265758493[[#This Row],[Ingrediente]],Tabla34[#All],3,0)</f>
        <v>4.2671999999999999</v>
      </c>
      <c r="H156" s="14">
        <f>+Tabla110345345445545647936435265758493[[#This Row],[Costo]]*Tabla110345345445545647936435265758493[[#This Row],[Columna2]]</f>
        <v>256.03199999999998</v>
      </c>
      <c r="I156" s="4"/>
      <c r="J156" s="4"/>
      <c r="K156" s="31"/>
      <c r="M156" s="346" t="s">
        <v>1557</v>
      </c>
    </row>
    <row r="157" spans="2:13" x14ac:dyDescent="0.3">
      <c r="B157" s="24" t="s">
        <v>37</v>
      </c>
      <c r="C157" s="11" t="s">
        <v>67</v>
      </c>
      <c r="D157" s="12">
        <v>8</v>
      </c>
      <c r="E157" s="12">
        <v>0</v>
      </c>
      <c r="F157" s="12">
        <v>8</v>
      </c>
      <c r="G157" s="13">
        <f>+VLOOKUP(Tabla110345345445545647936435265758493[[#This Row],[Ingrediente]],Tabla34[#All],3,0)</f>
        <v>14.25783539</v>
      </c>
      <c r="H157" s="14">
        <f>+Tabla110345345445545647936435265758493[[#This Row],[Costo]]*Tabla110345345445545647936435265758493[[#This Row],[Columna2]]</f>
        <v>114.06268312</v>
      </c>
      <c r="I157" s="4"/>
      <c r="J157" s="4"/>
      <c r="K157" s="31"/>
    </row>
    <row r="158" spans="2:13" x14ac:dyDescent="0.3">
      <c r="B158" s="24" t="s">
        <v>634</v>
      </c>
      <c r="C158" s="11" t="s">
        <v>67</v>
      </c>
      <c r="D158" s="12">
        <v>10</v>
      </c>
      <c r="E158" s="12">
        <v>0</v>
      </c>
      <c r="F158" s="12">
        <v>10</v>
      </c>
      <c r="G158" s="13">
        <f>+VLOOKUP(Tabla110345345445545647936435265758493[[#This Row],[Ingrediente]],Tabla34[#All],3,0)</f>
        <v>8.9250000000000007</v>
      </c>
      <c r="H158" s="14">
        <f>+Tabla110345345445545647936435265758493[[#This Row],[Costo]]*Tabla110345345445545647936435265758493[[#This Row],[Columna2]]</f>
        <v>89.25</v>
      </c>
      <c r="I158" s="4"/>
      <c r="J158" s="4"/>
      <c r="K158" s="31"/>
    </row>
    <row r="159" spans="2:13" x14ac:dyDescent="0.3">
      <c r="B159" s="24" t="s">
        <v>1230</v>
      </c>
      <c r="C159" s="11" t="s">
        <v>67</v>
      </c>
      <c r="D159" s="12">
        <v>30</v>
      </c>
      <c r="E159" s="12">
        <v>0</v>
      </c>
      <c r="F159" s="12">
        <v>30</v>
      </c>
      <c r="G159" s="13">
        <f>+VLOOKUP(Tabla110345345445545647936435265758493[[#This Row],[Ingrediente]],Tabla34[#All],3,0)</f>
        <v>2.3696000000000002</v>
      </c>
      <c r="H159" s="14">
        <f>+Tabla110345345445545647936435265758493[[#This Row],[Costo]]*Tabla110345345445545647936435265758493[[#This Row],[Columna2]]</f>
        <v>71.088000000000008</v>
      </c>
      <c r="I159" s="4"/>
      <c r="J159" s="4"/>
      <c r="K159" s="31"/>
    </row>
    <row r="160" spans="2:13" x14ac:dyDescent="0.3">
      <c r="B160" s="24" t="s">
        <v>241</v>
      </c>
      <c r="C160" s="11" t="s">
        <v>67</v>
      </c>
      <c r="D160" s="12">
        <v>5</v>
      </c>
      <c r="E160" s="12">
        <v>0</v>
      </c>
      <c r="F160" s="12">
        <v>5</v>
      </c>
      <c r="G160" s="13">
        <f>+VLOOKUP(Tabla110345345445545647936435265758493[[#This Row],[Ingrediente]],Tabla34[#All],3,0)</f>
        <v>15.193341269999999</v>
      </c>
      <c r="H160" s="14">
        <f>+Tabla110345345445545647936435265758493[[#This Row],[Costo]]*Tabla110345345445545647936435265758493[[#This Row],[Columna2]]</f>
        <v>75.966706349999995</v>
      </c>
      <c r="I160" s="4"/>
      <c r="J160" s="4"/>
      <c r="K160" s="31"/>
    </row>
    <row r="161" spans="2:13" x14ac:dyDescent="0.3">
      <c r="B161" s="24" t="s">
        <v>124</v>
      </c>
      <c r="C161" s="11" t="s">
        <v>67</v>
      </c>
      <c r="D161" s="12">
        <v>10</v>
      </c>
      <c r="E161" s="12">
        <v>0</v>
      </c>
      <c r="F161" s="12">
        <v>10</v>
      </c>
      <c r="G161" s="13">
        <f>+VLOOKUP(Tabla110345345445545647936435265758493[[#This Row],[Ingrediente]],Tabla34[#All],3,0)</f>
        <v>3.1357552800000001</v>
      </c>
      <c r="H161" s="14">
        <f>+Tabla110345345445545647936435265758493[[#This Row],[Costo]]*Tabla110345345445545647936435265758493[[#This Row],[Columna2]]</f>
        <v>31.357552800000001</v>
      </c>
      <c r="I161" s="4"/>
      <c r="J161" s="4"/>
      <c r="K161" s="31"/>
    </row>
    <row r="162" spans="2:13" x14ac:dyDescent="0.3">
      <c r="B162" s="24" t="s">
        <v>134</v>
      </c>
      <c r="C162" s="11" t="s">
        <v>67</v>
      </c>
      <c r="D162" s="12">
        <v>5</v>
      </c>
      <c r="E162" s="12">
        <v>0</v>
      </c>
      <c r="F162" s="12">
        <v>5</v>
      </c>
      <c r="G162" s="13">
        <f>+VLOOKUP(Tabla110345345445545647936435265758493[[#This Row],[Ingrediente]],Tabla34[#All],3,0)</f>
        <v>5.7702915900000002</v>
      </c>
      <c r="H162" s="14">
        <f>+Tabla110345345445545647936435265758493[[#This Row],[Costo]]*Tabla110345345445545647936435265758493[[#This Row],[Columna2]]</f>
        <v>28.85145795</v>
      </c>
      <c r="I162" s="4"/>
      <c r="J162" s="4"/>
      <c r="K162" s="31"/>
    </row>
    <row r="163" spans="2:13" x14ac:dyDescent="0.3">
      <c r="B163" s="24" t="s">
        <v>89</v>
      </c>
      <c r="C163" s="11" t="s">
        <v>67</v>
      </c>
      <c r="D163" s="12">
        <v>8</v>
      </c>
      <c r="E163" s="12">
        <v>0</v>
      </c>
      <c r="F163" s="12">
        <v>8</v>
      </c>
      <c r="G163" s="13">
        <f>+VLOOKUP(Tabla110345345445545647936435265758493[[#This Row],[Ingrediente]],Tabla34[#All],3,0)</f>
        <v>2.4009999999999998</v>
      </c>
      <c r="H163" s="14">
        <f>+Tabla110345345445545647936435265758493[[#This Row],[Costo]]*Tabla110345345445545647936435265758493[[#This Row],[Columna2]]</f>
        <v>19.207999999999998</v>
      </c>
      <c r="I163" s="4"/>
      <c r="J163" s="4"/>
      <c r="K163" s="31"/>
    </row>
    <row r="164" spans="2:13" x14ac:dyDescent="0.3">
      <c r="B164" s="16"/>
      <c r="C164" s="17"/>
      <c r="D164" s="17"/>
      <c r="E164" s="17"/>
      <c r="F164" s="17"/>
      <c r="G164" s="18"/>
      <c r="H164" s="18" t="e">
        <f>SUBTOTAL(109,Tabla110345345445545647936435265758493[Total costo])</f>
        <v>#N/A</v>
      </c>
      <c r="I164" s="4"/>
      <c r="J164" s="4"/>
      <c r="K164" s="31"/>
    </row>
    <row r="165" spans="2:13" x14ac:dyDescent="0.3">
      <c r="G165" s="4"/>
    </row>
    <row r="166" spans="2:13" ht="15.6" x14ac:dyDescent="0.3">
      <c r="B166" s="1" t="s">
        <v>860</v>
      </c>
      <c r="C166" s="2"/>
      <c r="D166" s="2"/>
      <c r="E166" s="3"/>
      <c r="F166" s="3"/>
      <c r="G166" s="3"/>
      <c r="H166" s="3"/>
      <c r="I166" s="27"/>
      <c r="J166" s="399" t="s">
        <v>0</v>
      </c>
      <c r="K166" s="399"/>
      <c r="M166" s="377" t="s">
        <v>1394</v>
      </c>
    </row>
    <row r="167" spans="2:13" x14ac:dyDescent="0.3">
      <c r="B167" s="5" t="s">
        <v>1</v>
      </c>
      <c r="C167" s="6" t="s">
        <v>2</v>
      </c>
      <c r="D167" s="6" t="s">
        <v>3</v>
      </c>
      <c r="E167" s="6" t="s">
        <v>920</v>
      </c>
      <c r="F167" s="6" t="s">
        <v>319</v>
      </c>
      <c r="G167" s="7" t="s">
        <v>4</v>
      </c>
      <c r="H167" s="7" t="s">
        <v>5</v>
      </c>
      <c r="J167" s="8" t="s">
        <v>6</v>
      </c>
      <c r="K167" s="9" t="e">
        <f>SUM(Tabla110345345445545647936445366768594[Total costo])</f>
        <v>#N/A</v>
      </c>
      <c r="M167" s="346" t="s">
        <v>1558</v>
      </c>
    </row>
    <row r="168" spans="2:13" x14ac:dyDescent="0.3">
      <c r="B168" s="10" t="s">
        <v>833</v>
      </c>
      <c r="C168" s="11" t="s">
        <v>67</v>
      </c>
      <c r="D168" s="12">
        <v>1</v>
      </c>
      <c r="E168" s="12">
        <v>0</v>
      </c>
      <c r="F168" s="12">
        <v>1</v>
      </c>
      <c r="G168" s="13">
        <f>+VLOOKUP(Tabla110345345445545647936445366768594[[#This Row],[Ingrediente]],Tabla34[#All],3,0)</f>
        <v>307.5</v>
      </c>
      <c r="H168" s="14">
        <f>+Tabla110345345445545647936445366768594[[#This Row],[Costo]]*Tabla110345345445545647936445366768594[[#This Row],[Columna2]]</f>
        <v>307.5</v>
      </c>
      <c r="I168" s="4"/>
      <c r="J168" s="8" t="s">
        <v>12</v>
      </c>
      <c r="K168" s="15" t="e">
        <f>+K167*10%</f>
        <v>#N/A</v>
      </c>
      <c r="M168" s="346" t="s">
        <v>1559</v>
      </c>
    </row>
    <row r="169" spans="2:13" x14ac:dyDescent="0.3">
      <c r="B169" s="10" t="s">
        <v>837</v>
      </c>
      <c r="C169" s="11" t="s">
        <v>847</v>
      </c>
      <c r="D169" s="12">
        <v>5</v>
      </c>
      <c r="E169" s="12">
        <v>0</v>
      </c>
      <c r="F169" s="12">
        <v>5</v>
      </c>
      <c r="G169" s="13">
        <f>+VLOOKUP(Tabla110345345445545647936445366768594[[#This Row],[Ingrediente]],Tabla34[#All],3,0)</f>
        <v>514.28</v>
      </c>
      <c r="H169" s="14">
        <f>+Tabla110345345445545647936445366768594[[#This Row],[Costo]]*Tabla110345345445545647936445366768594[[#This Row],[Columna2]]</f>
        <v>2571.3999999999996</v>
      </c>
      <c r="I169" s="4"/>
      <c r="J169" s="8" t="s">
        <v>13</v>
      </c>
      <c r="K169" s="15" t="e">
        <f>+K167+K168</f>
        <v>#N/A</v>
      </c>
      <c r="M169" s="346" t="s">
        <v>1560</v>
      </c>
    </row>
    <row r="170" spans="2:13" x14ac:dyDescent="0.3">
      <c r="B170" s="10" t="s">
        <v>730</v>
      </c>
      <c r="C170" s="11" t="s">
        <v>67</v>
      </c>
      <c r="D170" s="12">
        <v>4.9999998000000003</v>
      </c>
      <c r="E170" s="12">
        <v>40</v>
      </c>
      <c r="F170" s="12">
        <v>8.3333329999999997</v>
      </c>
      <c r="G170" s="13">
        <f>+VLOOKUP(Tabla110345345445545647936445366768594[[#This Row],[Ingrediente]],Tabla34[#All],3,0)</f>
        <v>12</v>
      </c>
      <c r="H170" s="14">
        <f>+Tabla110345345445545647936445366768594[[#This Row],[Costo]]*Tabla110345345445545647936445366768594[[#This Row],[Columna2]]</f>
        <v>99.999995999999996</v>
      </c>
      <c r="I170" s="4"/>
      <c r="J170" s="20" t="s">
        <v>14</v>
      </c>
      <c r="K170" s="21">
        <v>59000</v>
      </c>
    </row>
    <row r="171" spans="2:13" x14ac:dyDescent="0.3">
      <c r="B171" s="10" t="s">
        <v>602</v>
      </c>
      <c r="C171" s="11" t="s">
        <v>847</v>
      </c>
      <c r="D171" s="12">
        <v>1</v>
      </c>
      <c r="E171" s="12">
        <v>0</v>
      </c>
      <c r="F171" s="12">
        <v>1</v>
      </c>
      <c r="G171" s="13">
        <f>+VLOOKUP(Tabla110345345445545647936445366768594[[#This Row],[Ingrediente]],Tabla34[#All],3,0)</f>
        <v>12500</v>
      </c>
      <c r="H171" s="14">
        <f>+Tabla110345345445545647936445366768594[[#This Row],[Costo]]*Tabla110345345445545647936445366768594[[#This Row],[Columna2]]</f>
        <v>12500</v>
      </c>
      <c r="I171" s="4"/>
      <c r="J171" s="8" t="s">
        <v>15</v>
      </c>
      <c r="K171" s="15">
        <f>+K170/1.08*0.08</f>
        <v>4370.3703703703704</v>
      </c>
      <c r="M171" s="377" t="s">
        <v>1377</v>
      </c>
    </row>
    <row r="172" spans="2:13" x14ac:dyDescent="0.3">
      <c r="B172" s="10" t="s">
        <v>835</v>
      </c>
      <c r="C172" s="11" t="s">
        <v>67</v>
      </c>
      <c r="D172" s="12">
        <v>24.999999420000002</v>
      </c>
      <c r="E172" s="12">
        <v>63</v>
      </c>
      <c r="F172" s="12">
        <v>67.567565999999999</v>
      </c>
      <c r="G172" s="13">
        <f>+VLOOKUP(Tabla110345345445545647936445366768594[[#This Row],[Ingrediente]],Tabla34[#All],3,0)</f>
        <v>4.5</v>
      </c>
      <c r="H172" s="14">
        <f>+Tabla110345345445545647936445366768594[[#This Row],[Costo]]*Tabla110345345445545647936445366768594[[#This Row],[Columna2]]</f>
        <v>304.05404699999997</v>
      </c>
      <c r="I172" s="4"/>
      <c r="J172" s="8" t="s">
        <v>16</v>
      </c>
      <c r="K172" s="15">
        <f>+K170-K171</f>
        <v>54629.629629629628</v>
      </c>
      <c r="M172" s="346" t="s">
        <v>1561</v>
      </c>
    </row>
    <row r="173" spans="2:13" x14ac:dyDescent="0.3">
      <c r="B173" s="10" t="s">
        <v>89</v>
      </c>
      <c r="C173" s="11" t="s">
        <v>67</v>
      </c>
      <c r="D173" s="12">
        <v>6</v>
      </c>
      <c r="E173" s="12">
        <v>0</v>
      </c>
      <c r="F173" s="12">
        <v>6</v>
      </c>
      <c r="G173" s="13">
        <f>+VLOOKUP(Tabla110345345445545647936445366768594[[#This Row],[Ingrediente]],Tabla34[#All],3,0)</f>
        <v>2.4009999999999998</v>
      </c>
      <c r="H173" s="14">
        <f>+Tabla110345345445545647936445366768594[[#This Row],[Costo]]*Tabla110345345445545647936445366768594[[#This Row],[Columna2]]</f>
        <v>14.405999999999999</v>
      </c>
      <c r="I173" s="4"/>
      <c r="J173" s="8" t="s">
        <v>17</v>
      </c>
      <c r="K173" s="22" t="e">
        <f>+K169/K172</f>
        <v>#N/A</v>
      </c>
      <c r="M173" s="346" t="s">
        <v>1562</v>
      </c>
    </row>
    <row r="174" spans="2:13" x14ac:dyDescent="0.3">
      <c r="B174" s="10" t="s">
        <v>134</v>
      </c>
      <c r="C174" s="11" t="s">
        <v>67</v>
      </c>
      <c r="D174" s="12">
        <v>5</v>
      </c>
      <c r="E174" s="12">
        <v>0</v>
      </c>
      <c r="F174" s="12">
        <v>5</v>
      </c>
      <c r="G174" s="13">
        <f>+VLOOKUP(Tabla110345345445545647936445366768594[[#This Row],[Ingrediente]],Tabla34[#All],3,0)</f>
        <v>5.7702915900000002</v>
      </c>
      <c r="H174" s="14">
        <f>+Tabla110345345445545647936445366768594[[#This Row],[Costo]]*Tabla110345345445545647936445366768594[[#This Row],[Columna2]]</f>
        <v>28.85145795</v>
      </c>
      <c r="I174" s="4"/>
      <c r="J174" s="8" t="s">
        <v>18</v>
      </c>
      <c r="K174" s="23" t="e">
        <f>+K172-K169</f>
        <v>#N/A</v>
      </c>
      <c r="M174" s="346" t="s">
        <v>1563</v>
      </c>
    </row>
    <row r="175" spans="2:13" x14ac:dyDescent="0.3">
      <c r="B175" s="24" t="s">
        <v>37</v>
      </c>
      <c r="C175" s="11" t="s">
        <v>67</v>
      </c>
      <c r="D175" s="12">
        <v>8</v>
      </c>
      <c r="E175" s="12">
        <v>0</v>
      </c>
      <c r="F175" s="12">
        <v>8</v>
      </c>
      <c r="G175" s="13">
        <f>+VLOOKUP(Tabla110345345445545647936445366768594[[#This Row],[Ingrediente]],Tabla34[#All],3,0)</f>
        <v>14.25783539</v>
      </c>
      <c r="H175" s="14">
        <f>+Tabla110345345445545647936445366768594[[#This Row],[Costo]]*Tabla110345345445545647936445366768594[[#This Row],[Columna2]]</f>
        <v>114.06268312</v>
      </c>
      <c r="I175" s="4"/>
      <c r="J175" s="8" t="s">
        <v>19</v>
      </c>
      <c r="K175" s="25" t="e">
        <f>+K174/K169</f>
        <v>#N/A</v>
      </c>
    </row>
    <row r="176" spans="2:13" x14ac:dyDescent="0.3">
      <c r="B176" s="10" t="s">
        <v>169</v>
      </c>
      <c r="C176" s="11" t="s">
        <v>847</v>
      </c>
      <c r="D176" s="12">
        <v>1</v>
      </c>
      <c r="E176" s="12">
        <v>0</v>
      </c>
      <c r="F176" s="12">
        <v>1</v>
      </c>
      <c r="G176" s="13" t="e">
        <f>+VLOOKUP(Tabla110345345445545647936445366768594[[#This Row],[Ingrediente]],Tabla34[#All],3,0)</f>
        <v>#N/A</v>
      </c>
      <c r="H176" s="14" t="e">
        <f>+Tabla110345345445545647936445366768594[[#This Row],[Costo]]*Tabla110345345445545647936445366768594[[#This Row],[Columna2]]</f>
        <v>#N/A</v>
      </c>
      <c r="I176" s="4"/>
      <c r="J176" s="4"/>
      <c r="K176" s="26"/>
    </row>
    <row r="177" spans="2:13" x14ac:dyDescent="0.3">
      <c r="B177" s="10" t="s">
        <v>229</v>
      </c>
      <c r="C177" s="11" t="s">
        <v>67</v>
      </c>
      <c r="D177" s="12">
        <v>10</v>
      </c>
      <c r="E177" s="12">
        <v>0</v>
      </c>
      <c r="F177" s="12">
        <v>10</v>
      </c>
      <c r="G177" s="13">
        <f>+VLOOKUP(Tabla110345345445545647936445366768594[[#This Row],[Ingrediente]],Tabla34[#All],3,0)</f>
        <v>24.714500000000001</v>
      </c>
      <c r="H177" s="14">
        <f>+Tabla110345345445545647936445366768594[[#This Row],[Costo]]*Tabla110345345445545647936445366768594[[#This Row],[Columna2]]</f>
        <v>247.14500000000001</v>
      </c>
      <c r="I177" s="4"/>
      <c r="J177" s="4"/>
      <c r="K177" s="26"/>
    </row>
    <row r="178" spans="2:13" x14ac:dyDescent="0.3">
      <c r="B178" s="10" t="s">
        <v>745</v>
      </c>
      <c r="C178" s="11" t="s">
        <v>67</v>
      </c>
      <c r="D178" s="12">
        <v>5.0000001000000003</v>
      </c>
      <c r="E178" s="12">
        <v>5</v>
      </c>
      <c r="F178" s="12">
        <v>5.2631579999999998</v>
      </c>
      <c r="G178" s="13">
        <f>+VLOOKUP(Tabla110345345445545647936445366768594[[#This Row],[Ingrediente]],Tabla34[#All],3,0)</f>
        <v>37.5</v>
      </c>
      <c r="H178" s="14">
        <f>+Tabla110345345445545647936445366768594[[#This Row],[Costo]]*Tabla110345345445545647936445366768594[[#This Row],[Columna2]]</f>
        <v>197.368425</v>
      </c>
      <c r="I178" s="4"/>
      <c r="J178" s="27"/>
      <c r="K178" s="27"/>
    </row>
    <row r="179" spans="2:13" x14ac:dyDescent="0.3">
      <c r="B179" s="10" t="s">
        <v>646</v>
      </c>
      <c r="C179" s="11" t="s">
        <v>67</v>
      </c>
      <c r="D179" s="12">
        <v>20</v>
      </c>
      <c r="E179" s="12">
        <v>0</v>
      </c>
      <c r="F179" s="12">
        <v>20</v>
      </c>
      <c r="G179" s="13">
        <f>+VLOOKUP(Tabla110345345445545647936445366768594[[#This Row],[Ingrediente]],Tabla34[#All],3,0)</f>
        <v>22.5276</v>
      </c>
      <c r="H179" s="14">
        <f>+Tabla110345345445545647936445366768594[[#This Row],[Costo]]*Tabla110345345445545647936445366768594[[#This Row],[Columna2]]</f>
        <v>450.55200000000002</v>
      </c>
      <c r="I179" s="4"/>
    </row>
    <row r="180" spans="2:13" x14ac:dyDescent="0.3">
      <c r="B180" s="10" t="s">
        <v>119</v>
      </c>
      <c r="C180" s="11" t="s">
        <v>67</v>
      </c>
      <c r="D180" s="12">
        <v>150</v>
      </c>
      <c r="E180" s="12">
        <v>0</v>
      </c>
      <c r="F180" s="12">
        <v>150</v>
      </c>
      <c r="G180" s="13">
        <f>+VLOOKUP(Tabla110345345445545647936445366768594[[#This Row],[Ingrediente]],Tabla34[#All],3,0)</f>
        <v>5.8053971600000001</v>
      </c>
      <c r="H180" s="14">
        <f>+Tabla110345345445545647936445366768594[[#This Row],[Costo]]*Tabla110345345445545647936445366768594[[#This Row],[Columna2]]</f>
        <v>870.809574</v>
      </c>
    </row>
    <row r="181" spans="2:13" x14ac:dyDescent="0.3">
      <c r="B181" s="10" t="s">
        <v>86</v>
      </c>
      <c r="C181" s="11" t="s">
        <v>67</v>
      </c>
      <c r="D181" s="12">
        <v>10</v>
      </c>
      <c r="E181" s="12">
        <v>0</v>
      </c>
      <c r="F181" s="12">
        <v>10</v>
      </c>
      <c r="G181" s="13">
        <f>+VLOOKUP(Tabla110345345445545647936445366768594[[#This Row],[Ingrediente]],Tabla34[#All],3,0)</f>
        <v>37.630499999999998</v>
      </c>
      <c r="H181" s="14">
        <f>+Tabla110345345445545647936445366768594[[#This Row],[Costo]]*Tabla110345345445545647936445366768594[[#This Row],[Columna2]]</f>
        <v>376.30499999999995</v>
      </c>
    </row>
    <row r="182" spans="2:13" x14ac:dyDescent="0.3">
      <c r="B182" s="10" t="s">
        <v>124</v>
      </c>
      <c r="C182" s="11" t="s">
        <v>67</v>
      </c>
      <c r="D182" s="12">
        <v>10</v>
      </c>
      <c r="E182" s="12">
        <v>0</v>
      </c>
      <c r="F182" s="12">
        <v>10</v>
      </c>
      <c r="G182" s="13">
        <f>+VLOOKUP(Tabla110345345445545647936445366768594[[#This Row],[Ingrediente]],Tabla34[#All],3,0)</f>
        <v>3.1357552800000001</v>
      </c>
      <c r="H182" s="14">
        <f>+Tabla110345345445545647936445366768594[[#This Row],[Costo]]*Tabla110345345445545647936445366768594[[#This Row],[Columna2]]</f>
        <v>31.357552800000001</v>
      </c>
    </row>
    <row r="183" spans="2:13" x14ac:dyDescent="0.3">
      <c r="B183" s="10" t="s">
        <v>683</v>
      </c>
      <c r="C183" s="11" t="s">
        <v>67</v>
      </c>
      <c r="D183" s="12">
        <v>49.999997999999998</v>
      </c>
      <c r="E183" s="12">
        <v>25</v>
      </c>
      <c r="F183" s="12">
        <v>66.666663999999997</v>
      </c>
      <c r="G183" s="13">
        <f>+VLOOKUP(Tabla110345345445545647936445366768594[[#This Row],[Ingrediente]],Tabla34[#All],3,0)</f>
        <v>8.5</v>
      </c>
      <c r="H183" s="14">
        <f>+Tabla110345345445545647936445366768594[[#This Row],[Costo]]*Tabla110345345445545647936445366768594[[#This Row],[Columna2]]</f>
        <v>566.66664400000002</v>
      </c>
    </row>
    <row r="184" spans="2:13" x14ac:dyDescent="0.3">
      <c r="B184" s="10" t="s">
        <v>187</v>
      </c>
      <c r="C184" s="11" t="s">
        <v>67</v>
      </c>
      <c r="D184" s="12">
        <v>6.9999999300000004</v>
      </c>
      <c r="E184" s="12">
        <v>10</v>
      </c>
      <c r="F184" s="12">
        <v>7.7777776999999997</v>
      </c>
      <c r="G184" s="13">
        <f>+VLOOKUP(Tabla110345345445545647936445366768594[[#This Row],[Ingrediente]],Tabla34[#All],3,0)</f>
        <v>4.7</v>
      </c>
      <c r="H184" s="14">
        <f>+Tabla110345345445545647936445366768594[[#This Row],[Costo]]*Tabla110345345445545647936445366768594[[#This Row],[Columna2]]</f>
        <v>36.55555519</v>
      </c>
    </row>
    <row r="185" spans="2:13" x14ac:dyDescent="0.3">
      <c r="B185" s="10" t="s">
        <v>708</v>
      </c>
      <c r="C185" s="11" t="s">
        <v>67</v>
      </c>
      <c r="D185" s="12">
        <v>7</v>
      </c>
      <c r="E185" s="12">
        <v>0</v>
      </c>
      <c r="F185" s="12">
        <v>7</v>
      </c>
      <c r="G185" s="13">
        <f>+VLOOKUP(Tabla110345345445545647936445366768594[[#This Row],[Ingrediente]],Tabla34[#All],3,0)</f>
        <v>11</v>
      </c>
      <c r="H185" s="14">
        <f>+Tabla110345345445545647936445366768594[[#This Row],[Costo]]*Tabla110345345445545647936445366768594[[#This Row],[Columna2]]</f>
        <v>77</v>
      </c>
    </row>
    <row r="186" spans="2:13" x14ac:dyDescent="0.3">
      <c r="B186" s="10" t="s">
        <v>730</v>
      </c>
      <c r="C186" s="11" t="s">
        <v>67</v>
      </c>
      <c r="D186" s="12">
        <v>1.9999999799999999</v>
      </c>
      <c r="E186" s="12">
        <v>40</v>
      </c>
      <c r="F186" s="12">
        <v>3.3333333000000001</v>
      </c>
      <c r="G186" s="13">
        <f>+VLOOKUP(Tabla110345345445545647936445366768594[[#This Row],[Ingrediente]],Tabla34[#All],3,0)</f>
        <v>12</v>
      </c>
      <c r="H186" s="14">
        <f>+Tabla110345345445545647936445366768594[[#This Row],[Costo]]*Tabla110345345445545647936445366768594[[#This Row],[Columna2]]</f>
        <v>39.999999600000002</v>
      </c>
    </row>
    <row r="187" spans="2:13" x14ac:dyDescent="0.3">
      <c r="B187" s="10" t="s">
        <v>835</v>
      </c>
      <c r="C187" s="11" t="s">
        <v>67</v>
      </c>
      <c r="D187" s="12">
        <v>15</v>
      </c>
      <c r="E187" s="12">
        <v>0</v>
      </c>
      <c r="F187" s="12">
        <v>15</v>
      </c>
      <c r="G187" s="13">
        <f>+VLOOKUP(Tabla110345345445545647936445366768594[[#This Row],[Ingrediente]],Tabla34[#All],3,0)</f>
        <v>4.5</v>
      </c>
      <c r="H187" s="14">
        <f>+Tabla110345345445545647936445366768594[[#This Row],[Costo]]*Tabla110345345445545647936445366768594[[#This Row],[Columna2]]</f>
        <v>67.5</v>
      </c>
    </row>
    <row r="188" spans="2:13" x14ac:dyDescent="0.3">
      <c r="B188" s="16"/>
      <c r="C188" s="17"/>
      <c r="D188" s="17"/>
      <c r="E188" s="17"/>
      <c r="F188" s="17"/>
      <c r="G188" s="18"/>
      <c r="H188" s="18" t="e">
        <f>SUBTOTAL(109,Tabla110345345445545647936445366768594[Total costo])</f>
        <v>#N/A</v>
      </c>
    </row>
    <row r="190" spans="2:13" ht="15.6" x14ac:dyDescent="0.3">
      <c r="B190" s="1" t="s">
        <v>71</v>
      </c>
      <c r="C190" s="2"/>
      <c r="D190" s="2"/>
      <c r="E190" s="3"/>
      <c r="F190" s="3"/>
      <c r="G190" s="3"/>
      <c r="H190" s="3"/>
      <c r="J190" s="399" t="s">
        <v>0</v>
      </c>
      <c r="K190" s="399"/>
      <c r="M190" s="377" t="s">
        <v>1394</v>
      </c>
    </row>
    <row r="191" spans="2:13" x14ac:dyDescent="0.3">
      <c r="B191" s="5" t="s">
        <v>1</v>
      </c>
      <c r="C191" s="6" t="s">
        <v>2</v>
      </c>
      <c r="D191" s="6" t="s">
        <v>3</v>
      </c>
      <c r="E191" s="6" t="s">
        <v>920</v>
      </c>
      <c r="F191" s="6" t="s">
        <v>319</v>
      </c>
      <c r="G191" s="7" t="s">
        <v>4</v>
      </c>
      <c r="H191" s="7" t="s">
        <v>5</v>
      </c>
      <c r="I191" s="27"/>
      <c r="J191" s="8" t="s">
        <v>6</v>
      </c>
      <c r="K191" s="9">
        <f>SUM(Tabla110345345445545647936445366768594104[Total costo])</f>
        <v>15236.301939359997</v>
      </c>
      <c r="M191" s="346" t="s">
        <v>1564</v>
      </c>
    </row>
    <row r="192" spans="2:13" x14ac:dyDescent="0.3">
      <c r="B192" s="10" t="s">
        <v>313</v>
      </c>
      <c r="C192" s="11" t="s">
        <v>67</v>
      </c>
      <c r="D192" s="12">
        <v>5</v>
      </c>
      <c r="E192" s="12">
        <v>0</v>
      </c>
      <c r="F192" s="12">
        <v>5</v>
      </c>
      <c r="G192" s="13">
        <f>+VLOOKUP(Tabla110345345445545647936445366768594104[[#This Row],[Ingrediente]],Tabla34[#All],3,0)</f>
        <v>7.6838499999999996</v>
      </c>
      <c r="H192" s="14">
        <f>+Tabla110345345445545647936445366768594104[[#This Row],[Costo]]*Tabla110345345445545647936445366768594104[[#This Row],[Columna2]]</f>
        <v>38.419249999999998</v>
      </c>
      <c r="J192" s="8" t="s">
        <v>12</v>
      </c>
      <c r="K192" s="15">
        <f>+K191*10%</f>
        <v>1523.6301939359998</v>
      </c>
      <c r="M192" s="346" t="s">
        <v>1565</v>
      </c>
    </row>
    <row r="193" spans="2:13" x14ac:dyDescent="0.3">
      <c r="B193" s="10" t="s">
        <v>684</v>
      </c>
      <c r="C193" s="11" t="s">
        <v>847</v>
      </c>
      <c r="D193" s="12">
        <v>1</v>
      </c>
      <c r="E193" s="12">
        <v>0</v>
      </c>
      <c r="F193" s="12">
        <v>1</v>
      </c>
      <c r="G193" s="13">
        <f>+VLOOKUP(Tabla110345345445545647936445366768594104[[#This Row],[Ingrediente]],Tabla34[#All],3,0)</f>
        <v>7895</v>
      </c>
      <c r="H193" s="14">
        <f>+Tabla110345345445545647936445366768594104[[#This Row],[Costo]]*Tabla110345345445545647936445366768594104[[#This Row],[Columna2]]</f>
        <v>7895</v>
      </c>
      <c r="I193" s="4"/>
      <c r="J193" s="8" t="s">
        <v>13</v>
      </c>
      <c r="K193" s="15">
        <f>+K191+K192</f>
        <v>16759.932133295995</v>
      </c>
      <c r="M193" s="346" t="s">
        <v>1566</v>
      </c>
    </row>
    <row r="194" spans="2:13" x14ac:dyDescent="0.3">
      <c r="B194" s="10" t="s">
        <v>833</v>
      </c>
      <c r="C194" s="11" t="s">
        <v>67</v>
      </c>
      <c r="D194" s="12">
        <v>1</v>
      </c>
      <c r="E194" s="12">
        <v>0</v>
      </c>
      <c r="F194" s="12">
        <v>1</v>
      </c>
      <c r="G194" s="13">
        <f>+VLOOKUP(Tabla110345345445545647936445366768594104[[#This Row],[Ingrediente]],Tabla34[#All],3,0)</f>
        <v>307.5</v>
      </c>
      <c r="H194" s="14">
        <f>+Tabla110345345445545647936445366768594104[[#This Row],[Costo]]*Tabla110345345445545647936445366768594104[[#This Row],[Columna2]]</f>
        <v>307.5</v>
      </c>
      <c r="I194" s="4"/>
      <c r="J194" s="20" t="s">
        <v>14</v>
      </c>
      <c r="K194" s="21">
        <v>65000</v>
      </c>
    </row>
    <row r="195" spans="2:13" x14ac:dyDescent="0.3">
      <c r="B195" s="10" t="s">
        <v>106</v>
      </c>
      <c r="C195" s="11" t="s">
        <v>67</v>
      </c>
      <c r="D195" s="12">
        <v>80</v>
      </c>
      <c r="E195" s="12">
        <v>0</v>
      </c>
      <c r="F195" s="12">
        <v>80</v>
      </c>
      <c r="G195" s="13">
        <f>+VLOOKUP(Tabla110345345445545647936445366768594104[[#This Row],[Ingrediente]],Tabla34[#All],3,0)</f>
        <v>19.804166670000001</v>
      </c>
      <c r="H195" s="14">
        <f>+Tabla110345345445545647936445366768594104[[#This Row],[Costo]]*Tabla110345345445545647936445366768594104[[#This Row],[Columna2]]</f>
        <v>1584.3333336000001</v>
      </c>
      <c r="I195" s="4"/>
      <c r="J195" s="8" t="s">
        <v>15</v>
      </c>
      <c r="K195" s="15">
        <f>+K194/1.08*0.08</f>
        <v>4814.8148148148148</v>
      </c>
      <c r="M195" s="377" t="s">
        <v>1377</v>
      </c>
    </row>
    <row r="196" spans="2:13" x14ac:dyDescent="0.3">
      <c r="B196" s="10" t="s">
        <v>731</v>
      </c>
      <c r="C196" s="11" t="s">
        <v>605</v>
      </c>
      <c r="D196" s="12">
        <v>1.5</v>
      </c>
      <c r="E196" s="12">
        <v>0</v>
      </c>
      <c r="F196" s="12">
        <v>1.5</v>
      </c>
      <c r="G196" s="13">
        <f>+VLOOKUP(Tabla110345345445545647936445366768594104[[#This Row],[Ingrediente]],Tabla34[#All],3,0)</f>
        <v>1425.6293103400001</v>
      </c>
      <c r="H196" s="14">
        <f>+Tabla110345345445545647936445366768594104[[#This Row],[Costo]]*Tabla110345345445545647936445366768594104[[#This Row],[Columna2]]</f>
        <v>2138.44396551</v>
      </c>
      <c r="I196" s="4"/>
      <c r="J196" s="8" t="s">
        <v>16</v>
      </c>
      <c r="K196" s="15">
        <f>+K194-K195</f>
        <v>60185.185185185182</v>
      </c>
      <c r="M196" s="346" t="s">
        <v>1567</v>
      </c>
    </row>
    <row r="197" spans="2:13" x14ac:dyDescent="0.3">
      <c r="B197" s="10" t="s">
        <v>451</v>
      </c>
      <c r="C197" s="11" t="s">
        <v>67</v>
      </c>
      <c r="D197" s="12">
        <v>20</v>
      </c>
      <c r="E197" s="12">
        <v>0</v>
      </c>
      <c r="F197" s="12">
        <v>20</v>
      </c>
      <c r="G197" s="13">
        <f>+VLOOKUP(Tabla110345345445545647936445366768594104[[#This Row],[Ingrediente]],Tabla34[#All],3,0)</f>
        <v>60.987499999999997</v>
      </c>
      <c r="H197" s="14">
        <f>+Tabla110345345445545647936445366768594104[[#This Row],[Costo]]*Tabla110345345445545647936445366768594104[[#This Row],[Columna2]]</f>
        <v>1219.75</v>
      </c>
      <c r="I197" s="4"/>
      <c r="J197" s="8" t="s">
        <v>17</v>
      </c>
      <c r="K197" s="22">
        <f>+K193/K196</f>
        <v>0.27847271852245653</v>
      </c>
      <c r="M197" s="346" t="s">
        <v>1568</v>
      </c>
    </row>
    <row r="198" spans="2:13" x14ac:dyDescent="0.3">
      <c r="B198" s="10" t="s">
        <v>89</v>
      </c>
      <c r="C198" s="11" t="s">
        <v>67</v>
      </c>
      <c r="D198" s="12">
        <v>1</v>
      </c>
      <c r="E198" s="12">
        <v>0</v>
      </c>
      <c r="F198" s="12">
        <v>1</v>
      </c>
      <c r="G198" s="13">
        <f>+VLOOKUP(Tabla110345345445545647936445366768594104[[#This Row],[Ingrediente]],Tabla34[#All],3,0)</f>
        <v>2.4009999999999998</v>
      </c>
      <c r="H198" s="14">
        <f>+Tabla110345345445545647936445366768594104[[#This Row],[Costo]]*Tabla110345345445545647936445366768594104[[#This Row],[Columna2]]</f>
        <v>2.4009999999999998</v>
      </c>
      <c r="I198" s="4"/>
      <c r="J198" s="8" t="s">
        <v>18</v>
      </c>
      <c r="K198" s="23">
        <f>+K196-K193</f>
        <v>43425.253051889187</v>
      </c>
      <c r="M198" s="346" t="s">
        <v>1569</v>
      </c>
    </row>
    <row r="199" spans="2:13" x14ac:dyDescent="0.3">
      <c r="B199" s="10" t="s">
        <v>134</v>
      </c>
      <c r="C199" s="11" t="s">
        <v>67</v>
      </c>
      <c r="D199" s="12">
        <v>10</v>
      </c>
      <c r="E199" s="12">
        <v>0</v>
      </c>
      <c r="F199" s="12">
        <v>10</v>
      </c>
      <c r="G199" s="13">
        <f>+VLOOKUP(Tabla110345345445545647936445366768594104[[#This Row],[Ingrediente]],Tabla34[#All],3,0)</f>
        <v>5.7702915900000002</v>
      </c>
      <c r="H199" s="14">
        <f>+Tabla110345345445545647936445366768594104[[#This Row],[Costo]]*Tabla110345345445545647936445366768594104[[#This Row],[Columna2]]</f>
        <v>57.702915900000001</v>
      </c>
      <c r="I199" s="4"/>
      <c r="J199" s="8" t="s">
        <v>19</v>
      </c>
      <c r="K199" s="25">
        <f>+K198/K193</f>
        <v>2.5910160438906988</v>
      </c>
      <c r="M199" s="346" t="s">
        <v>1570</v>
      </c>
    </row>
    <row r="200" spans="2:13" x14ac:dyDescent="0.3">
      <c r="B200" s="10" t="s">
        <v>119</v>
      </c>
      <c r="C200" s="11" t="s">
        <v>67</v>
      </c>
      <c r="D200" s="12">
        <v>200</v>
      </c>
      <c r="E200" s="12">
        <v>0</v>
      </c>
      <c r="F200" s="12">
        <v>200</v>
      </c>
      <c r="G200" s="13">
        <f>+VLOOKUP(Tabla110345345445545647936445366768594104[[#This Row],[Ingrediente]],Tabla34[#All],3,0)</f>
        <v>5.8053971600000001</v>
      </c>
      <c r="H200" s="14">
        <f>+Tabla110345345445545647936445366768594104[[#This Row],[Costo]]*Tabla110345345445545647936445366768594104[[#This Row],[Columna2]]</f>
        <v>1161.079432</v>
      </c>
      <c r="I200" s="4"/>
      <c r="J200" s="4"/>
      <c r="K200" s="26"/>
    </row>
    <row r="201" spans="2:13" x14ac:dyDescent="0.3">
      <c r="B201" s="10" t="s">
        <v>842</v>
      </c>
      <c r="C201" s="11" t="s">
        <v>67</v>
      </c>
      <c r="D201" s="12">
        <v>3</v>
      </c>
      <c r="E201" s="12">
        <v>0</v>
      </c>
      <c r="F201" s="12">
        <v>3</v>
      </c>
      <c r="G201" s="13">
        <f>+VLOOKUP(Tabla110345345445545647936445366768594104[[#This Row],[Ingrediente]],Tabla34[#All],3,0)</f>
        <v>114.03509</v>
      </c>
      <c r="H201" s="14">
        <f>+Tabla110345345445545647936445366768594104[[#This Row],[Costo]]*Tabla110345345445545647936445366768594104[[#This Row],[Columna2]]</f>
        <v>342.10527000000002</v>
      </c>
      <c r="I201" s="4"/>
      <c r="J201" s="4"/>
      <c r="K201" s="26"/>
    </row>
    <row r="202" spans="2:13" x14ac:dyDescent="0.3">
      <c r="B202" s="10" t="s">
        <v>141</v>
      </c>
      <c r="C202" s="11" t="s">
        <v>67</v>
      </c>
      <c r="D202" s="12">
        <v>15</v>
      </c>
      <c r="E202" s="12">
        <v>0</v>
      </c>
      <c r="F202" s="12">
        <v>15</v>
      </c>
      <c r="G202" s="13">
        <f>+VLOOKUP(Tabla110345345445545647936445366768594104[[#This Row],[Ingrediente]],Tabla34[#All],3,0)</f>
        <v>18.392951490000002</v>
      </c>
      <c r="H202" s="14">
        <f>+Tabla110345345445545647936445366768594104[[#This Row],[Costo]]*Tabla110345345445545647936445366768594104[[#This Row],[Columna2]]</f>
        <v>275.89427235000005</v>
      </c>
      <c r="I202" s="4"/>
      <c r="J202" s="27"/>
      <c r="K202" s="27"/>
    </row>
    <row r="203" spans="2:13" x14ac:dyDescent="0.3">
      <c r="B203" s="10" t="s">
        <v>1261</v>
      </c>
      <c r="C203" s="11" t="s">
        <v>67</v>
      </c>
      <c r="D203" s="12">
        <v>1</v>
      </c>
      <c r="E203" s="12">
        <v>0</v>
      </c>
      <c r="F203" s="12">
        <v>1</v>
      </c>
      <c r="G203" s="13">
        <f>+VLOOKUP(Tabla110345345445545647936445366768594104[[#This Row],[Ingrediente]],Tabla34[#All],3,0)</f>
        <v>16.309999999999999</v>
      </c>
      <c r="H203" s="14">
        <f>+Tabla110345345445545647936445366768594104[[#This Row],[Costo]]*Tabla110345345445545647936445366768594104[[#This Row],[Columna2]]</f>
        <v>16.309999999999999</v>
      </c>
      <c r="I203" s="4"/>
    </row>
    <row r="204" spans="2:13" x14ac:dyDescent="0.3">
      <c r="B204" s="10" t="s">
        <v>745</v>
      </c>
      <c r="C204" s="11" t="s">
        <v>67</v>
      </c>
      <c r="D204" s="12">
        <v>5</v>
      </c>
      <c r="E204" s="12">
        <v>5</v>
      </c>
      <c r="F204" s="12">
        <v>5.2629999999999999</v>
      </c>
      <c r="G204" s="13">
        <f>+VLOOKUP(Tabla110345345445545647936445366768594104[[#This Row],[Ingrediente]],Tabla34[#All],3,0)</f>
        <v>37.5</v>
      </c>
      <c r="H204" s="14">
        <f>+Tabla110345345445545647936445366768594104[[#This Row],[Costo]]*Tabla110345345445545647936445366768594104[[#This Row],[Columna2]]</f>
        <v>197.36249999999998</v>
      </c>
      <c r="I204" s="4"/>
    </row>
    <row r="205" spans="2:13" x14ac:dyDescent="0.3">
      <c r="B205" s="16"/>
      <c r="C205" s="17"/>
      <c r="D205" s="17"/>
      <c r="E205" s="17"/>
      <c r="F205" s="17"/>
      <c r="G205" s="18"/>
      <c r="H205" s="18">
        <f>SUBTOTAL(109,Tabla110345345445545647936445366768594104[Total costo])</f>
        <v>15236.301939359997</v>
      </c>
    </row>
    <row r="208" spans="2:13" ht="15.6" x14ac:dyDescent="0.3">
      <c r="B208" s="1" t="s">
        <v>72</v>
      </c>
      <c r="C208" s="2"/>
      <c r="D208" s="2"/>
      <c r="E208" s="3"/>
      <c r="F208" s="3"/>
      <c r="G208" s="3"/>
      <c r="H208" s="3"/>
      <c r="J208" s="399" t="s">
        <v>0</v>
      </c>
      <c r="K208" s="399"/>
      <c r="M208" s="377" t="s">
        <v>1394</v>
      </c>
    </row>
    <row r="209" spans="2:13" x14ac:dyDescent="0.3">
      <c r="B209" s="5" t="s">
        <v>1</v>
      </c>
      <c r="C209" s="6" t="s">
        <v>2</v>
      </c>
      <c r="D209" s="6" t="s">
        <v>3</v>
      </c>
      <c r="E209" s="6" t="s">
        <v>920</v>
      </c>
      <c r="F209" s="6" t="s">
        <v>319</v>
      </c>
      <c r="G209" s="7" t="s">
        <v>4</v>
      </c>
      <c r="H209" s="7" t="s">
        <v>5</v>
      </c>
      <c r="I209" s="27"/>
      <c r="J209" s="8" t="s">
        <v>6</v>
      </c>
      <c r="K209" s="9">
        <f>SUM(Tabla110345345445545647936445366768594104105[Total costo])</f>
        <v>24496.608334</v>
      </c>
      <c r="M209" s="346"/>
    </row>
    <row r="210" spans="2:13" x14ac:dyDescent="0.3">
      <c r="B210" s="10" t="s">
        <v>833</v>
      </c>
      <c r="C210" s="11" t="s">
        <v>67</v>
      </c>
      <c r="D210" s="12">
        <v>3</v>
      </c>
      <c r="E210" s="12">
        <v>0</v>
      </c>
      <c r="F210" s="12">
        <v>3</v>
      </c>
      <c r="G210" s="13">
        <f>+VLOOKUP(Tabla110345345445545647936445366768594104105[[#This Row],[Ingrediente]],Tabla34[#All],3,0)</f>
        <v>307.5</v>
      </c>
      <c r="H210" s="14">
        <f>+Tabla110345345445545647936445366768594104105[[#This Row],[Costo]]*Tabla110345345445545647936445366768594104105[[#This Row],[Columna2]]</f>
        <v>922.5</v>
      </c>
      <c r="J210" s="8" t="s">
        <v>12</v>
      </c>
      <c r="K210" s="15">
        <f>+K209*10%</f>
        <v>2449.6608334000002</v>
      </c>
      <c r="M210" s="346"/>
    </row>
    <row r="211" spans="2:13" x14ac:dyDescent="0.3">
      <c r="B211" s="10" t="s">
        <v>827</v>
      </c>
      <c r="C211" s="11" t="s">
        <v>67</v>
      </c>
      <c r="D211" s="12">
        <v>1</v>
      </c>
      <c r="E211" s="12">
        <v>0</v>
      </c>
      <c r="F211" s="12">
        <v>1</v>
      </c>
      <c r="G211" s="13">
        <f>+VLOOKUP(Tabla110345345445545647936445366768594104105[[#This Row],[Ingrediente]],Tabla34[#All],3,0)</f>
        <v>511</v>
      </c>
      <c r="H211" s="14">
        <f>+Tabla110345345445545647936445366768594104105[[#This Row],[Costo]]*Tabla110345345445545647936445366768594104105[[#This Row],[Columna2]]</f>
        <v>511</v>
      </c>
      <c r="I211" s="4"/>
      <c r="J211" s="8" t="s">
        <v>13</v>
      </c>
      <c r="K211" s="15">
        <f>+K209+K210</f>
        <v>26946.269167400002</v>
      </c>
      <c r="M211" s="346"/>
    </row>
    <row r="212" spans="2:13" x14ac:dyDescent="0.3">
      <c r="B212" s="10" t="s">
        <v>829</v>
      </c>
      <c r="C212" s="11" t="s">
        <v>847</v>
      </c>
      <c r="D212" s="12">
        <v>1</v>
      </c>
      <c r="E212" s="12">
        <v>0</v>
      </c>
      <c r="F212" s="12">
        <v>1</v>
      </c>
      <c r="G212" s="13">
        <f>+VLOOKUP(Tabla110345345445545647936445366768594104105[[#This Row],[Ingrediente]],Tabla34[#All],3,0)</f>
        <v>16247.637500000001</v>
      </c>
      <c r="H212" s="14">
        <f>+Tabla110345345445545647936445366768594104105[[#This Row],[Costo]]*Tabla110345345445545647936445366768594104105[[#This Row],[Columna2]]</f>
        <v>16247.637500000001</v>
      </c>
      <c r="I212" s="4"/>
      <c r="J212" s="20" t="s">
        <v>14</v>
      </c>
      <c r="K212" s="21">
        <v>93000</v>
      </c>
      <c r="M212" s="346"/>
    </row>
    <row r="213" spans="2:13" x14ac:dyDescent="0.3">
      <c r="B213" s="10" t="s">
        <v>89</v>
      </c>
      <c r="C213" s="11" t="s">
        <v>67</v>
      </c>
      <c r="D213" s="12">
        <v>2</v>
      </c>
      <c r="E213" s="12">
        <v>0</v>
      </c>
      <c r="F213" s="12">
        <v>2</v>
      </c>
      <c r="G213" s="13">
        <f>+VLOOKUP(Tabla110345345445545647936445366768594104105[[#This Row],[Ingrediente]],Tabla34[#All],3,0)</f>
        <v>2.4009999999999998</v>
      </c>
      <c r="H213" s="14">
        <f>+Tabla110345345445545647936445366768594104105[[#This Row],[Costo]]*Tabla110345345445545647936445366768594104105[[#This Row],[Columna2]]</f>
        <v>4.8019999999999996</v>
      </c>
      <c r="I213" s="4"/>
      <c r="J213" s="8" t="s">
        <v>15</v>
      </c>
      <c r="K213" s="15">
        <f>+K212/1.08*0.08</f>
        <v>6888.8888888888887</v>
      </c>
    </row>
    <row r="214" spans="2:13" x14ac:dyDescent="0.3">
      <c r="B214" s="10" t="s">
        <v>634</v>
      </c>
      <c r="C214" s="11" t="s">
        <v>67</v>
      </c>
      <c r="D214" s="12">
        <v>5</v>
      </c>
      <c r="E214" s="12">
        <v>0</v>
      </c>
      <c r="F214" s="12">
        <v>5</v>
      </c>
      <c r="G214" s="13">
        <f>+VLOOKUP(Tabla110345345445545647936445366768594104105[[#This Row],[Ingrediente]],Tabla34[#All],3,0)</f>
        <v>8.9250000000000007</v>
      </c>
      <c r="H214" s="14">
        <f>+Tabla110345345445545647936445366768594104105[[#This Row],[Costo]]*Tabla110345345445545647936445366768594104105[[#This Row],[Columna2]]</f>
        <v>44.625</v>
      </c>
      <c r="I214" s="4"/>
      <c r="J214" s="8" t="s">
        <v>16</v>
      </c>
      <c r="K214" s="15">
        <f>+K212-K213</f>
        <v>86111.111111111109</v>
      </c>
      <c r="M214" s="377" t="s">
        <v>1377</v>
      </c>
    </row>
    <row r="215" spans="2:13" x14ac:dyDescent="0.3">
      <c r="B215" s="10" t="s">
        <v>42</v>
      </c>
      <c r="C215" s="11" t="s">
        <v>67</v>
      </c>
      <c r="D215" s="12">
        <v>10</v>
      </c>
      <c r="E215" s="12">
        <v>0</v>
      </c>
      <c r="F215" s="12">
        <v>10</v>
      </c>
      <c r="G215" s="13">
        <f>+VLOOKUP(Tabla110345345445545647936445366768594104105[[#This Row],[Ingrediente]],Tabla34[#All],3,0)</f>
        <v>12.66172066</v>
      </c>
      <c r="H215" s="14">
        <f>+Tabla110345345445545647936445366768594104105[[#This Row],[Costo]]*Tabla110345345445545647936445366768594104105[[#This Row],[Columna2]]</f>
        <v>126.6172066</v>
      </c>
      <c r="I215" s="4"/>
      <c r="J215" s="8" t="s">
        <v>17</v>
      </c>
      <c r="K215" s="22">
        <f>+K211/K214</f>
        <v>0.3129244161375484</v>
      </c>
      <c r="M215" s="346"/>
    </row>
    <row r="216" spans="2:13" x14ac:dyDescent="0.3">
      <c r="B216" s="24" t="s">
        <v>118</v>
      </c>
      <c r="C216" s="11" t="s">
        <v>67</v>
      </c>
      <c r="D216" s="12">
        <v>20</v>
      </c>
      <c r="E216" s="12">
        <v>0</v>
      </c>
      <c r="F216" s="12">
        <v>20</v>
      </c>
      <c r="G216" s="13">
        <f>+VLOOKUP(Tabla110345345445545647936445366768594104105[[#This Row],[Ingrediente]],Tabla34[#All],3,0)</f>
        <v>30.25466445</v>
      </c>
      <c r="H216" s="14">
        <f>+Tabla110345345445545647936445366768594104105[[#This Row],[Costo]]*Tabla110345345445545647936445366768594104105[[#This Row],[Columna2]]</f>
        <v>605.09328900000003</v>
      </c>
      <c r="I216" s="4"/>
      <c r="J216" s="8" t="s">
        <v>18</v>
      </c>
      <c r="K216" s="23">
        <f>+K214-K211</f>
        <v>59164.841943711108</v>
      </c>
      <c r="M216" s="346"/>
    </row>
    <row r="217" spans="2:13" x14ac:dyDescent="0.3">
      <c r="B217" s="10" t="s">
        <v>140</v>
      </c>
      <c r="C217" s="11" t="s">
        <v>67</v>
      </c>
      <c r="D217" s="12">
        <v>10</v>
      </c>
      <c r="E217" s="12">
        <v>0</v>
      </c>
      <c r="F217" s="12">
        <v>10</v>
      </c>
      <c r="G217" s="13">
        <f>+VLOOKUP(Tabla110345345445545647936445366768594104105[[#This Row],[Ingrediente]],Tabla34[#All],3,0)</f>
        <v>75.731252760000004</v>
      </c>
      <c r="H217" s="14">
        <f>+Tabla110345345445545647936445366768594104105[[#This Row],[Costo]]*Tabla110345345445545647936445366768594104105[[#This Row],[Columna2]]</f>
        <v>757.31252760000007</v>
      </c>
      <c r="I217" s="4"/>
      <c r="J217" s="8" t="s">
        <v>19</v>
      </c>
      <c r="K217" s="25">
        <f>+K216/K211</f>
        <v>2.1956598732150132</v>
      </c>
      <c r="M217" s="346"/>
    </row>
    <row r="218" spans="2:13" x14ac:dyDescent="0.3">
      <c r="B218" s="10" t="s">
        <v>137</v>
      </c>
      <c r="C218" s="11" t="s">
        <v>67</v>
      </c>
      <c r="D218" s="12">
        <v>120</v>
      </c>
      <c r="E218" s="12">
        <v>0</v>
      </c>
      <c r="F218" s="12">
        <v>120</v>
      </c>
      <c r="G218" s="13">
        <f>+VLOOKUP(Tabla110345345445545647936445366768594104105[[#This Row],[Ingrediente]],Tabla34[#All],3,0)</f>
        <v>16.730960419999999</v>
      </c>
      <c r="H218" s="14">
        <f>+Tabla110345345445545647936445366768594104105[[#This Row],[Costo]]*Tabla110345345445545647936445366768594104105[[#This Row],[Columna2]]</f>
        <v>2007.7152503999998</v>
      </c>
      <c r="I218" s="4"/>
      <c r="J218" s="4"/>
      <c r="K218" s="26"/>
      <c r="M218" s="346"/>
    </row>
    <row r="219" spans="2:13" x14ac:dyDescent="0.3">
      <c r="B219" s="10" t="s">
        <v>745</v>
      </c>
      <c r="C219" s="11" t="s">
        <v>67</v>
      </c>
      <c r="D219" s="12">
        <v>5</v>
      </c>
      <c r="E219" s="12">
        <v>5</v>
      </c>
      <c r="F219" s="12">
        <v>5.2629999999999999</v>
      </c>
      <c r="G219" s="13">
        <f>+VLOOKUP(Tabla110345345445545647936445366768594104105[[#This Row],[Ingrediente]],Tabla34[#All],3,0)</f>
        <v>37.5</v>
      </c>
      <c r="H219" s="14">
        <f>+Tabla110345345445545647936445366768594104105[[#This Row],[Costo]]*Tabla110345345445545647936445366768594104105[[#This Row],[Columna2]]</f>
        <v>197.36249999999998</v>
      </c>
      <c r="I219" s="4"/>
      <c r="J219" s="4"/>
      <c r="K219" s="26"/>
    </row>
    <row r="220" spans="2:13" x14ac:dyDescent="0.3">
      <c r="B220" s="10" t="s">
        <v>108</v>
      </c>
      <c r="C220" s="11" t="s">
        <v>67</v>
      </c>
      <c r="D220" s="12">
        <v>10</v>
      </c>
      <c r="E220" s="12">
        <v>0</v>
      </c>
      <c r="F220" s="12">
        <v>10</v>
      </c>
      <c r="G220" s="13">
        <f>+VLOOKUP(Tabla110345345445545647936445366768594104105[[#This Row],[Ingrediente]],Tabla34[#All],3,0)</f>
        <v>202.10400000000001</v>
      </c>
      <c r="H220" s="14">
        <f>+Tabla110345345445545647936445366768594104105[[#This Row],[Costo]]*Tabla110345345445545647936445366768594104105[[#This Row],[Columna2]]</f>
        <v>2021.0400000000002</v>
      </c>
      <c r="I220" s="4"/>
      <c r="J220" s="27"/>
      <c r="K220" s="27"/>
    </row>
    <row r="221" spans="2:13" x14ac:dyDescent="0.3">
      <c r="B221" s="10" t="s">
        <v>619</v>
      </c>
      <c r="C221" s="11" t="s">
        <v>67</v>
      </c>
      <c r="D221" s="12">
        <v>40</v>
      </c>
      <c r="E221" s="12">
        <v>0</v>
      </c>
      <c r="F221" s="12">
        <v>40</v>
      </c>
      <c r="G221" s="13">
        <f>+VLOOKUP(Tabla110345345445545647936445366768594104105[[#This Row],[Ingrediente]],Tabla34[#All],3,0)</f>
        <v>26.27257651</v>
      </c>
      <c r="H221" s="14">
        <f>+Tabla110345345445545647936445366768594104105[[#This Row],[Costo]]*Tabla110345345445545647936445366768594104105[[#This Row],[Columna2]]</f>
        <v>1050.9030604</v>
      </c>
      <c r="I221" s="4"/>
      <c r="J221" s="27"/>
      <c r="K221" s="27"/>
    </row>
    <row r="222" spans="2:13" x14ac:dyDescent="0.3">
      <c r="B222" s="16"/>
      <c r="C222" s="17"/>
      <c r="D222" s="17"/>
      <c r="E222" s="17"/>
      <c r="F222" s="17"/>
      <c r="G222" s="18"/>
      <c r="H222" s="18">
        <f>SUBTOTAL(109,Tabla110345345445545647936445366768594104105[Total costo])</f>
        <v>24496.608334</v>
      </c>
      <c r="I222" s="4"/>
    </row>
    <row r="225" spans="2:13" ht="15.6" x14ac:dyDescent="0.3">
      <c r="B225" s="1" t="s">
        <v>292</v>
      </c>
      <c r="C225" s="2"/>
      <c r="D225" s="2"/>
      <c r="E225" s="3"/>
      <c r="F225" s="3"/>
      <c r="G225" s="3"/>
      <c r="H225" s="3"/>
      <c r="J225" s="399" t="s">
        <v>0</v>
      </c>
      <c r="K225" s="399"/>
      <c r="M225" s="377" t="s">
        <v>1394</v>
      </c>
    </row>
    <row r="226" spans="2:13" x14ac:dyDescent="0.3">
      <c r="B226" s="5" t="s">
        <v>1</v>
      </c>
      <c r="C226" s="6" t="s">
        <v>2</v>
      </c>
      <c r="D226" s="6" t="s">
        <v>3</v>
      </c>
      <c r="E226" s="6" t="s">
        <v>920</v>
      </c>
      <c r="F226" s="6" t="s">
        <v>319</v>
      </c>
      <c r="G226" s="7" t="s">
        <v>4</v>
      </c>
      <c r="H226" s="7" t="s">
        <v>5</v>
      </c>
      <c r="J226" s="8" t="s">
        <v>6</v>
      </c>
      <c r="K226" s="9" t="e">
        <f>SUM(Tabla110345345445545647936445366768594104105106[Total costo])</f>
        <v>#N/A</v>
      </c>
      <c r="M226" s="346" t="s">
        <v>1571</v>
      </c>
    </row>
    <row r="227" spans="2:13" x14ac:dyDescent="0.3">
      <c r="B227" s="10" t="s">
        <v>602</v>
      </c>
      <c r="C227" s="11" t="s">
        <v>847</v>
      </c>
      <c r="D227" s="12">
        <v>1</v>
      </c>
      <c r="E227" s="12">
        <v>0</v>
      </c>
      <c r="F227" s="12">
        <v>1</v>
      </c>
      <c r="G227" s="13">
        <f>+VLOOKUP(Tabla110345345445545647936445366768594104105106[[#This Row],[Ingrediente]],Tabla34[#All],3,0)</f>
        <v>12500</v>
      </c>
      <c r="H227" s="14">
        <f>+Tabla110345345445545647936445366768594104105106[[#This Row],[Costo]]*Tabla110345345445545647936445366768594104105106[[#This Row],[Columna2]]</f>
        <v>12500</v>
      </c>
      <c r="I227" s="27"/>
      <c r="J227" s="8" t="s">
        <v>12</v>
      </c>
      <c r="K227" s="15" t="e">
        <f>+K226*10%</f>
        <v>#N/A</v>
      </c>
      <c r="M227" s="346" t="s">
        <v>1572</v>
      </c>
    </row>
    <row r="228" spans="2:13" x14ac:dyDescent="0.3">
      <c r="B228" s="10" t="s">
        <v>52</v>
      </c>
      <c r="C228" s="11" t="s">
        <v>67</v>
      </c>
      <c r="D228" s="12">
        <v>100</v>
      </c>
      <c r="E228" s="12">
        <v>0</v>
      </c>
      <c r="F228" s="12">
        <v>100</v>
      </c>
      <c r="G228" s="13">
        <f>+VLOOKUP(Tabla110345345445545647936445366768594104105106[[#This Row],[Ingrediente]],Tabla34[#All],3,0)</f>
        <v>27.651436050000001</v>
      </c>
      <c r="H228" s="14">
        <f>+Tabla110345345445545647936445366768594104105106[[#This Row],[Costo]]*Tabla110345345445545647936445366768594104105106[[#This Row],[Columna2]]</f>
        <v>2765.1436050000002</v>
      </c>
      <c r="J228" s="8" t="s">
        <v>13</v>
      </c>
      <c r="K228" s="15" t="e">
        <f>+K226+K227</f>
        <v>#N/A</v>
      </c>
    </row>
    <row r="229" spans="2:13" x14ac:dyDescent="0.3">
      <c r="B229" s="10" t="s">
        <v>451</v>
      </c>
      <c r="C229" s="11" t="s">
        <v>67</v>
      </c>
      <c r="D229" s="12">
        <v>15</v>
      </c>
      <c r="E229" s="12">
        <v>0</v>
      </c>
      <c r="F229" s="12">
        <v>15</v>
      </c>
      <c r="G229" s="13">
        <f>+VLOOKUP(Tabla110345345445545647936445366768594104105106[[#This Row],[Ingrediente]],Tabla34[#All],3,0)</f>
        <v>60.987499999999997</v>
      </c>
      <c r="H229" s="14">
        <f>+Tabla110345345445545647936445366768594104105106[[#This Row],[Costo]]*Tabla110345345445545647936445366768594104105106[[#This Row],[Columna2]]</f>
        <v>914.8125</v>
      </c>
      <c r="I229" s="4"/>
      <c r="J229" s="20" t="s">
        <v>14</v>
      </c>
      <c r="K229" s="21">
        <v>69000</v>
      </c>
      <c r="M229" s="377" t="s">
        <v>1377</v>
      </c>
    </row>
    <row r="230" spans="2:13" x14ac:dyDescent="0.3">
      <c r="B230" s="10" t="s">
        <v>833</v>
      </c>
      <c r="C230" s="11" t="s">
        <v>67</v>
      </c>
      <c r="D230" s="12">
        <v>3</v>
      </c>
      <c r="E230" s="12">
        <v>0</v>
      </c>
      <c r="F230" s="12">
        <v>3</v>
      </c>
      <c r="G230" s="13">
        <f>+VLOOKUP(Tabla110345345445545647936445366768594104105106[[#This Row],[Ingrediente]],Tabla34[#All],3,0)</f>
        <v>307.5</v>
      </c>
      <c r="H230" s="14">
        <f>+Tabla110345345445545647936445366768594104105106[[#This Row],[Costo]]*Tabla110345345445545647936445366768594104105106[[#This Row],[Columna2]]</f>
        <v>922.5</v>
      </c>
      <c r="I230" s="4"/>
      <c r="J230" s="8" t="s">
        <v>15</v>
      </c>
      <c r="K230" s="15">
        <f>+K229/1.08*0.08</f>
        <v>5111.1111111111104</v>
      </c>
      <c r="M230" s="346" t="s">
        <v>1573</v>
      </c>
    </row>
    <row r="231" spans="2:13" x14ac:dyDescent="0.3">
      <c r="B231" s="10" t="s">
        <v>86</v>
      </c>
      <c r="C231" s="11" t="s">
        <v>67</v>
      </c>
      <c r="D231" s="12">
        <v>20</v>
      </c>
      <c r="E231" s="12">
        <v>0</v>
      </c>
      <c r="F231" s="12">
        <v>20</v>
      </c>
      <c r="G231" s="13">
        <f>+VLOOKUP(Tabla110345345445545647936445366768594104105106[[#This Row],[Ingrediente]],Tabla34[#All],3,0)</f>
        <v>37.630499999999998</v>
      </c>
      <c r="H231" s="14">
        <f>+Tabla110345345445545647936445366768594104105106[[#This Row],[Costo]]*Tabla110345345445545647936445366768594104105106[[#This Row],[Columna2]]</f>
        <v>752.6099999999999</v>
      </c>
      <c r="I231" s="4"/>
      <c r="J231" s="8" t="s">
        <v>16</v>
      </c>
      <c r="K231" s="15">
        <f>+K229-K230</f>
        <v>63888.888888888891</v>
      </c>
      <c r="M231" s="346" t="s">
        <v>1574</v>
      </c>
    </row>
    <row r="232" spans="2:13" x14ac:dyDescent="0.3">
      <c r="B232" s="10" t="s">
        <v>106</v>
      </c>
      <c r="C232" s="11" t="s">
        <v>67</v>
      </c>
      <c r="D232" s="12">
        <v>40</v>
      </c>
      <c r="E232" s="12">
        <v>0</v>
      </c>
      <c r="F232" s="12">
        <v>40</v>
      </c>
      <c r="G232" s="13">
        <f>+VLOOKUP(Tabla110345345445545647936445366768594104105106[[#This Row],[Ingrediente]],Tabla34[#All],3,0)</f>
        <v>19.804166670000001</v>
      </c>
      <c r="H232" s="14">
        <f>+Tabla110345345445545647936445366768594104105106[[#This Row],[Costo]]*Tabla110345345445545647936445366768594104105106[[#This Row],[Columna2]]</f>
        <v>792.16666680000003</v>
      </c>
      <c r="I232" s="4"/>
      <c r="J232" s="8" t="s">
        <v>17</v>
      </c>
      <c r="K232" s="22" t="e">
        <f>+K228/K231</f>
        <v>#N/A</v>
      </c>
    </row>
    <row r="233" spans="2:13" x14ac:dyDescent="0.3">
      <c r="B233" s="10" t="s">
        <v>119</v>
      </c>
      <c r="C233" s="11" t="s">
        <v>67</v>
      </c>
      <c r="D233" s="12">
        <v>150</v>
      </c>
      <c r="E233" s="12">
        <v>0</v>
      </c>
      <c r="F233" s="12">
        <v>150</v>
      </c>
      <c r="G233" s="13">
        <f>+VLOOKUP(Tabla110345345445545647936445366768594104105106[[#This Row],[Ingrediente]],Tabla34[#All],3,0)</f>
        <v>5.8053971600000001</v>
      </c>
      <c r="H233" s="14">
        <f>+Tabla110345345445545647936445366768594104105106[[#This Row],[Costo]]*Tabla110345345445545647936445366768594104105106[[#This Row],[Columna2]]</f>
        <v>870.809574</v>
      </c>
      <c r="I233" s="4"/>
      <c r="J233" s="8" t="s">
        <v>18</v>
      </c>
      <c r="K233" s="23" t="e">
        <f>+K231-K228</f>
        <v>#N/A</v>
      </c>
    </row>
    <row r="234" spans="2:13" x14ac:dyDescent="0.3">
      <c r="B234" s="10" t="s">
        <v>169</v>
      </c>
      <c r="C234" s="11" t="s">
        <v>847</v>
      </c>
      <c r="D234" s="12">
        <v>1</v>
      </c>
      <c r="E234" s="12">
        <v>0</v>
      </c>
      <c r="F234" s="12">
        <v>1</v>
      </c>
      <c r="G234" s="13" t="e">
        <f>+VLOOKUP(Tabla110345345445545647936445366768594104105106[[#This Row],[Ingrediente]],Tabla34[#All],3,0)</f>
        <v>#N/A</v>
      </c>
      <c r="H234" s="14" t="e">
        <f>+Tabla110345345445545647936445366768594104105106[[#This Row],[Costo]]*Tabla110345345445545647936445366768594104105106[[#This Row],[Columna2]]</f>
        <v>#N/A</v>
      </c>
      <c r="I234" s="4"/>
      <c r="J234" s="8" t="s">
        <v>19</v>
      </c>
      <c r="K234" s="25" t="e">
        <f>+K233/K228</f>
        <v>#N/A</v>
      </c>
    </row>
    <row r="235" spans="2:13" x14ac:dyDescent="0.3">
      <c r="B235" s="24" t="s">
        <v>124</v>
      </c>
      <c r="C235" s="11" t="s">
        <v>67</v>
      </c>
      <c r="D235" s="12">
        <v>60</v>
      </c>
      <c r="E235" s="12">
        <v>0</v>
      </c>
      <c r="F235" s="12">
        <v>60</v>
      </c>
      <c r="G235" s="13">
        <f>+VLOOKUP(Tabla110345345445545647936445366768594104105106[[#This Row],[Ingrediente]],Tabla34[#All],3,0)</f>
        <v>3.1357552800000001</v>
      </c>
      <c r="H235" s="14">
        <f>+Tabla110345345445545647936445366768594104105106[[#This Row],[Costo]]*Tabla110345345445545647936445366768594104105106[[#This Row],[Columna2]]</f>
        <v>188.14531680000002</v>
      </c>
      <c r="I235" s="4"/>
      <c r="J235" s="4"/>
      <c r="K235" s="26"/>
    </row>
    <row r="236" spans="2:13" x14ac:dyDescent="0.3">
      <c r="B236" s="10" t="s">
        <v>828</v>
      </c>
      <c r="C236" s="11" t="s">
        <v>67</v>
      </c>
      <c r="D236" s="12">
        <v>19.029851000000001</v>
      </c>
      <c r="E236" s="12">
        <v>15</v>
      </c>
      <c r="F236" s="12">
        <v>22.388059999999999</v>
      </c>
      <c r="G236" s="13">
        <f>+VLOOKUP(Tabla110345345445545647936445366768594104105106[[#This Row],[Ingrediente]],Tabla34[#All],3,0)</f>
        <v>9.8000000000000007</v>
      </c>
      <c r="H236" s="14">
        <f>+Tabla110345345445545647936445366768594104105106[[#This Row],[Costo]]*Tabla110345345445545647936445366768594104105106[[#This Row],[Columna2]]</f>
        <v>219.40298800000002</v>
      </c>
      <c r="I236" s="4"/>
      <c r="J236" s="4"/>
      <c r="K236" s="26"/>
    </row>
    <row r="237" spans="2:13" x14ac:dyDescent="0.3">
      <c r="B237" s="10" t="s">
        <v>827</v>
      </c>
      <c r="C237" s="11" t="s">
        <v>67</v>
      </c>
      <c r="D237" s="12">
        <v>1</v>
      </c>
      <c r="E237" s="12">
        <v>0</v>
      </c>
      <c r="F237" s="12">
        <v>1</v>
      </c>
      <c r="G237" s="13">
        <f>+VLOOKUP(Tabla110345345445545647936445366768594104105106[[#This Row],[Ingrediente]],Tabla34[#All],3,0)</f>
        <v>511</v>
      </c>
      <c r="H237" s="14">
        <f>+Tabla110345345445545647936445366768594104105106[[#This Row],[Costo]]*Tabla110345345445545647936445366768594104105106[[#This Row],[Columna2]]</f>
        <v>511</v>
      </c>
      <c r="I237" s="4"/>
      <c r="J237" s="27"/>
      <c r="K237" s="27"/>
    </row>
    <row r="238" spans="2:13" x14ac:dyDescent="0.3">
      <c r="B238" s="10" t="s">
        <v>37</v>
      </c>
      <c r="C238" s="11" t="s">
        <v>67</v>
      </c>
      <c r="D238" s="12">
        <v>8</v>
      </c>
      <c r="E238" s="12">
        <v>0</v>
      </c>
      <c r="F238" s="12">
        <v>8</v>
      </c>
      <c r="G238" s="13">
        <f>+VLOOKUP(Tabla110345345445545647936445366768594104105106[[#This Row],[Ingrediente]],Tabla34[#All],3,0)</f>
        <v>14.25783539</v>
      </c>
      <c r="H238" s="14">
        <f>+Tabla110345345445545647936445366768594104105106[[#This Row],[Costo]]*Tabla110345345445545647936445366768594104105106[[#This Row],[Columna2]]</f>
        <v>114.06268312</v>
      </c>
      <c r="I238" s="4"/>
      <c r="J238" s="27"/>
      <c r="K238" s="27"/>
    </row>
    <row r="239" spans="2:13" x14ac:dyDescent="0.3">
      <c r="B239" s="10" t="s">
        <v>134</v>
      </c>
      <c r="C239" s="11" t="s">
        <v>67</v>
      </c>
      <c r="D239" s="12">
        <v>5</v>
      </c>
      <c r="E239" s="12">
        <v>0</v>
      </c>
      <c r="F239" s="12">
        <v>5</v>
      </c>
      <c r="G239" s="13">
        <f>+VLOOKUP(Tabla110345345445545647936445366768594104105106[[#This Row],[Ingrediente]],Tabla34[#All],3,0)</f>
        <v>5.7702915900000002</v>
      </c>
      <c r="H239" s="14">
        <f>+Tabla110345345445545647936445366768594104105106[[#This Row],[Costo]]*Tabla110345345445545647936445366768594104105106[[#This Row],[Columna2]]</f>
        <v>28.85145795</v>
      </c>
      <c r="I239" s="4"/>
      <c r="J239" s="27"/>
      <c r="K239" s="27"/>
    </row>
    <row r="240" spans="2:13" x14ac:dyDescent="0.3">
      <c r="B240" s="10" t="s">
        <v>202</v>
      </c>
      <c r="C240" s="11" t="s">
        <v>67</v>
      </c>
      <c r="D240" s="12">
        <v>1</v>
      </c>
      <c r="E240" s="12">
        <v>0</v>
      </c>
      <c r="F240" s="12">
        <v>1</v>
      </c>
      <c r="G240" s="13">
        <f>+VLOOKUP(Tabla110345345445545647936445366768594104105106[[#This Row],[Ingrediente]],Tabla34[#All],3,0)</f>
        <v>15.965999999999999</v>
      </c>
      <c r="H240" s="14">
        <f>+Tabla110345345445545647936445366768594104105106[[#This Row],[Costo]]*Tabla110345345445545647936445366768594104105106[[#This Row],[Columna2]]</f>
        <v>15.965999999999999</v>
      </c>
      <c r="I240" s="4"/>
    </row>
    <row r="241" spans="2:13" x14ac:dyDescent="0.3">
      <c r="B241" s="10" t="s">
        <v>89</v>
      </c>
      <c r="C241" s="11" t="s">
        <v>67</v>
      </c>
      <c r="D241" s="12">
        <v>6</v>
      </c>
      <c r="E241" s="12">
        <v>0</v>
      </c>
      <c r="F241" s="12">
        <v>6</v>
      </c>
      <c r="G241" s="13">
        <f>+VLOOKUP(Tabla110345345445545647936445366768594104105106[[#This Row],[Ingrediente]],Tabla34[#All],3,0)</f>
        <v>2.4009999999999998</v>
      </c>
      <c r="H241" s="14">
        <f>+Tabla110345345445545647936445366768594104105106[[#This Row],[Costo]]*Tabla110345345445545647936445366768594104105106[[#This Row],[Columna2]]</f>
        <v>14.405999999999999</v>
      </c>
      <c r="I241" s="4"/>
    </row>
    <row r="242" spans="2:13" x14ac:dyDescent="0.3">
      <c r="B242" s="16"/>
      <c r="C242" s="17"/>
      <c r="D242" s="17"/>
      <c r="E242" s="17"/>
      <c r="F242" s="17"/>
      <c r="G242" s="18"/>
      <c r="H242" s="18" t="e">
        <f>SUBTOTAL(109,Tabla110345345445545647936445366768594104105106[Total costo])</f>
        <v>#N/A</v>
      </c>
      <c r="I242" s="4"/>
    </row>
    <row r="244" spans="2:13" ht="15.6" x14ac:dyDescent="0.3">
      <c r="B244" s="1" t="s">
        <v>171</v>
      </c>
      <c r="C244" s="2"/>
      <c r="D244" s="2"/>
      <c r="E244" s="3"/>
      <c r="F244" s="3"/>
      <c r="G244" s="3"/>
      <c r="H244" s="3"/>
      <c r="J244" s="399" t="s">
        <v>0</v>
      </c>
      <c r="K244" s="399"/>
      <c r="M244" s="377" t="s">
        <v>1394</v>
      </c>
    </row>
    <row r="245" spans="2:13" x14ac:dyDescent="0.3">
      <c r="B245" s="5" t="s">
        <v>1</v>
      </c>
      <c r="C245" s="6" t="s">
        <v>2</v>
      </c>
      <c r="D245" s="6" t="s">
        <v>3</v>
      </c>
      <c r="E245" s="6" t="s">
        <v>920</v>
      </c>
      <c r="F245" s="6" t="s">
        <v>319</v>
      </c>
      <c r="G245" s="7" t="s">
        <v>4</v>
      </c>
      <c r="H245" s="7" t="s">
        <v>5</v>
      </c>
      <c r="J245" s="8" t="s">
        <v>6</v>
      </c>
      <c r="K245" s="9">
        <f>SUM(Tabla110345345445545647936445366768594104105107[Total costo])</f>
        <v>22030.65624145</v>
      </c>
      <c r="M245" s="346" t="s">
        <v>1575</v>
      </c>
    </row>
    <row r="246" spans="2:13" x14ac:dyDescent="0.3">
      <c r="B246" s="10" t="s">
        <v>622</v>
      </c>
      <c r="C246" s="11" t="s">
        <v>847</v>
      </c>
      <c r="D246" s="12">
        <v>1</v>
      </c>
      <c r="E246" s="12">
        <v>0</v>
      </c>
      <c r="F246" s="12">
        <v>1</v>
      </c>
      <c r="G246" s="13">
        <f>+VLOOKUP(Tabla110345345445545647936445366768594104105107[[#This Row],[Ingrediente]],Tabla34[#All],3,0)</f>
        <v>11800</v>
      </c>
      <c r="H246" s="14">
        <f>+Tabla110345345445545647936445366768594104105107[[#This Row],[Costo]]*Tabla110345345445545647936445366768594104105107[[#This Row],[Columna2]]</f>
        <v>11800</v>
      </c>
      <c r="I246" s="27"/>
      <c r="J246" s="8" t="s">
        <v>12</v>
      </c>
      <c r="K246" s="15">
        <f>+K245*10%</f>
        <v>2203.0656241450001</v>
      </c>
      <c r="M246" s="346" t="s">
        <v>1576</v>
      </c>
    </row>
    <row r="247" spans="2:13" x14ac:dyDescent="0.3">
      <c r="B247" s="10" t="s">
        <v>232</v>
      </c>
      <c r="C247" s="11" t="s">
        <v>67</v>
      </c>
      <c r="D247" s="12">
        <v>6</v>
      </c>
      <c r="E247" s="12">
        <v>5</v>
      </c>
      <c r="F247" s="12">
        <v>6.3159999999999998</v>
      </c>
      <c r="G247" s="13">
        <f>+VLOOKUP(Tabla110345345445545647936445366768594104105107[[#This Row],[Ingrediente]],Tabla34[#All],3,0)</f>
        <v>378</v>
      </c>
      <c r="H247" s="14">
        <f>+Tabla110345345445545647936445366768594104105107[[#This Row],[Costo]]*Tabla110345345445545647936445366768594104105107[[#This Row],[Columna2]]</f>
        <v>2387.4479999999999</v>
      </c>
      <c r="J247" s="8" t="s">
        <v>13</v>
      </c>
      <c r="K247" s="15">
        <f>+K245+K246</f>
        <v>24233.721865595002</v>
      </c>
      <c r="M247" s="346" t="s">
        <v>1577</v>
      </c>
    </row>
    <row r="248" spans="2:13" x14ac:dyDescent="0.3">
      <c r="B248" s="10" t="s">
        <v>831</v>
      </c>
      <c r="C248" s="11" t="s">
        <v>847</v>
      </c>
      <c r="D248" s="12">
        <v>1</v>
      </c>
      <c r="E248" s="12">
        <v>0</v>
      </c>
      <c r="F248" s="12">
        <v>1</v>
      </c>
      <c r="G248" s="13">
        <f>+VLOOKUP(Tabla110345345445545647936445366768594104105107[[#This Row],[Ingrediente]],Tabla34[#All],3,0)</f>
        <v>1600</v>
      </c>
      <c r="H248" s="14">
        <f>+Tabla110345345445545647936445366768594104105107[[#This Row],[Costo]]*Tabla110345345445545647936445366768594104105107[[#This Row],[Columna2]]</f>
        <v>1600</v>
      </c>
      <c r="I248" s="4"/>
      <c r="J248" s="20" t="s">
        <v>14</v>
      </c>
      <c r="K248" s="21">
        <v>77000</v>
      </c>
    </row>
    <row r="249" spans="2:13" x14ac:dyDescent="0.3">
      <c r="B249" s="10" t="s">
        <v>144</v>
      </c>
      <c r="C249" s="11" t="s">
        <v>67</v>
      </c>
      <c r="D249" s="12">
        <v>130</v>
      </c>
      <c r="E249" s="12">
        <v>0</v>
      </c>
      <c r="F249" s="12">
        <v>130</v>
      </c>
      <c r="G249" s="13">
        <f>+VLOOKUP(Tabla110345345445545647936445366768594104105107[[#This Row],[Ingrediente]],Tabla34[#All],3,0)</f>
        <v>12.23679763</v>
      </c>
      <c r="H249" s="14">
        <f>+Tabla110345345445545647936445366768594104105107[[#This Row],[Costo]]*Tabla110345345445545647936445366768594104105107[[#This Row],[Columna2]]</f>
        <v>1590.7836918999999</v>
      </c>
      <c r="I249" s="4"/>
      <c r="J249" s="8" t="s">
        <v>15</v>
      </c>
      <c r="K249" s="15">
        <f>+K248/1.08*0.08</f>
        <v>5703.7037037037035</v>
      </c>
      <c r="M249" s="377" t="s">
        <v>1377</v>
      </c>
    </row>
    <row r="250" spans="2:13" x14ac:dyDescent="0.3">
      <c r="B250" s="10" t="s">
        <v>451</v>
      </c>
      <c r="C250" s="11" t="s">
        <v>67</v>
      </c>
      <c r="D250" s="12">
        <v>25</v>
      </c>
      <c r="E250" s="12">
        <v>0</v>
      </c>
      <c r="F250" s="12">
        <v>25</v>
      </c>
      <c r="G250" s="13">
        <f>+VLOOKUP(Tabla110345345445545647936445366768594104105107[[#This Row],[Ingrediente]],Tabla34[#All],3,0)</f>
        <v>60.987499999999997</v>
      </c>
      <c r="H250" s="14">
        <f>+Tabla110345345445545647936445366768594104105107[[#This Row],[Costo]]*Tabla110345345445545647936445366768594104105107[[#This Row],[Columna2]]</f>
        <v>1524.6875</v>
      </c>
      <c r="I250" s="4"/>
      <c r="J250" s="8" t="s">
        <v>16</v>
      </c>
      <c r="K250" s="15">
        <f>+K248-K249</f>
        <v>71296.296296296292</v>
      </c>
      <c r="M250" s="346" t="s">
        <v>1578</v>
      </c>
    </row>
    <row r="251" spans="2:13" x14ac:dyDescent="0.3">
      <c r="B251" s="10" t="s">
        <v>86</v>
      </c>
      <c r="C251" s="11" t="s">
        <v>67</v>
      </c>
      <c r="D251" s="12">
        <v>30</v>
      </c>
      <c r="E251" s="12">
        <v>0</v>
      </c>
      <c r="F251" s="12">
        <v>30</v>
      </c>
      <c r="G251" s="13">
        <f>+VLOOKUP(Tabla110345345445545647936445366768594104105107[[#This Row],[Ingrediente]],Tabla34[#All],3,0)</f>
        <v>37.630499999999998</v>
      </c>
      <c r="H251" s="14">
        <f>+Tabla110345345445545647936445366768594104105107[[#This Row],[Costo]]*Tabla110345345445545647936445366768594104105107[[#This Row],[Columna2]]</f>
        <v>1128.915</v>
      </c>
      <c r="I251" s="4"/>
      <c r="J251" s="8" t="s">
        <v>17</v>
      </c>
      <c r="K251" s="22">
        <f>+K247/K250</f>
        <v>0.33990155343951434</v>
      </c>
      <c r="M251" s="346" t="s">
        <v>1506</v>
      </c>
    </row>
    <row r="252" spans="2:13" x14ac:dyDescent="0.3">
      <c r="B252" s="10" t="s">
        <v>106</v>
      </c>
      <c r="C252" s="11" t="s">
        <v>67</v>
      </c>
      <c r="D252" s="12">
        <v>35</v>
      </c>
      <c r="E252" s="12">
        <v>0</v>
      </c>
      <c r="F252" s="12">
        <v>35</v>
      </c>
      <c r="G252" s="13">
        <f>+VLOOKUP(Tabla110345345445545647936445366768594104105107[[#This Row],[Ingrediente]],Tabla34[#All],3,0)</f>
        <v>19.804166670000001</v>
      </c>
      <c r="H252" s="14">
        <f>+Tabla110345345445545647936445366768594104105107[[#This Row],[Costo]]*Tabla110345345445545647936445366768594104105107[[#This Row],[Columna2]]</f>
        <v>693.14583345000005</v>
      </c>
      <c r="I252" s="4"/>
      <c r="J252" s="8" t="s">
        <v>18</v>
      </c>
      <c r="K252" s="23">
        <f>+K250-K247</f>
        <v>47062.574430701294</v>
      </c>
      <c r="M252" s="346" t="s">
        <v>1579</v>
      </c>
    </row>
    <row r="253" spans="2:13" x14ac:dyDescent="0.3">
      <c r="B253" s="10" t="s">
        <v>229</v>
      </c>
      <c r="C253" s="11" t="s">
        <v>67</v>
      </c>
      <c r="D253" s="12">
        <v>15</v>
      </c>
      <c r="E253" s="12">
        <v>0</v>
      </c>
      <c r="F253" s="12">
        <v>15</v>
      </c>
      <c r="G253" s="13">
        <f>+VLOOKUP(Tabla110345345445545647936445366768594104105107[[#This Row],[Ingrediente]],Tabla34[#All],3,0)</f>
        <v>24.714500000000001</v>
      </c>
      <c r="H253" s="14">
        <f>+Tabla110345345445545647936445366768594104105107[[#This Row],[Costo]]*Tabla110345345445545647936445366768594104105107[[#This Row],[Columna2]]</f>
        <v>370.71750000000003</v>
      </c>
      <c r="I253" s="4"/>
      <c r="J253" s="8" t="s">
        <v>19</v>
      </c>
      <c r="K253" s="25">
        <f>+K252/K247</f>
        <v>1.9420283310883737</v>
      </c>
      <c r="M253" s="346" t="s">
        <v>1580</v>
      </c>
    </row>
    <row r="254" spans="2:13" x14ac:dyDescent="0.3">
      <c r="B254" s="10" t="s">
        <v>124</v>
      </c>
      <c r="C254" s="11" t="s">
        <v>67</v>
      </c>
      <c r="D254" s="12">
        <v>100</v>
      </c>
      <c r="E254" s="12">
        <v>0</v>
      </c>
      <c r="F254" s="12">
        <v>100</v>
      </c>
      <c r="G254" s="13">
        <f>+VLOOKUP(Tabla110345345445545647936445366768594104105107[[#This Row],[Ingrediente]],Tabla34[#All],3,0)</f>
        <v>3.1357552800000001</v>
      </c>
      <c r="H254" s="14">
        <f>+Tabla110345345445545647936445366768594104105107[[#This Row],[Costo]]*Tabla110345345445545647936445366768594104105107[[#This Row],[Columna2]]</f>
        <v>313.57552800000002</v>
      </c>
      <c r="I254" s="4"/>
      <c r="J254" s="4"/>
      <c r="K254" s="26"/>
      <c r="M254" s="346" t="s">
        <v>1581</v>
      </c>
    </row>
    <row r="255" spans="2:13" x14ac:dyDescent="0.3">
      <c r="B255" s="10" t="s">
        <v>122</v>
      </c>
      <c r="C255" s="11" t="s">
        <v>67</v>
      </c>
      <c r="D255" s="12">
        <v>10</v>
      </c>
      <c r="E255" s="12">
        <v>0</v>
      </c>
      <c r="F255" s="12">
        <v>10</v>
      </c>
      <c r="G255" s="13">
        <f>+VLOOKUP(Tabla110345345445545647936445366768594104105107[[#This Row],[Ingrediente]],Tabla34[#All],3,0)</f>
        <v>20.160619029999999</v>
      </c>
      <c r="H255" s="14">
        <f>+Tabla110345345445545647936445366768594104105107[[#This Row],[Costo]]*Tabla110345345445545647936445366768594104105107[[#This Row],[Columna2]]</f>
        <v>201.60619029999998</v>
      </c>
      <c r="I255" s="4"/>
      <c r="J255" s="4"/>
      <c r="K255" s="26"/>
    </row>
    <row r="256" spans="2:13" x14ac:dyDescent="0.3">
      <c r="B256" s="10" t="s">
        <v>134</v>
      </c>
      <c r="C256" s="11" t="s">
        <v>67</v>
      </c>
      <c r="D256" s="12">
        <v>30</v>
      </c>
      <c r="E256" s="12">
        <v>0</v>
      </c>
      <c r="F256" s="12">
        <v>30</v>
      </c>
      <c r="G256" s="13">
        <f>+VLOOKUP(Tabla110345345445545647936445366768594104105107[[#This Row],[Ingrediente]],Tabla34[#All],3,0)</f>
        <v>5.7702915900000002</v>
      </c>
      <c r="H256" s="14">
        <f>+Tabla110345345445545647936445366768594104105107[[#This Row],[Costo]]*Tabla110345345445545647936445366768594104105107[[#This Row],[Columna2]]</f>
        <v>173.10874770000001</v>
      </c>
      <c r="I256" s="4"/>
      <c r="J256" s="4"/>
      <c r="K256" s="26"/>
    </row>
    <row r="257" spans="2:13" x14ac:dyDescent="0.3">
      <c r="B257" s="10" t="s">
        <v>42</v>
      </c>
      <c r="C257" s="11" t="s">
        <v>67</v>
      </c>
      <c r="D257" s="12">
        <v>10</v>
      </c>
      <c r="E257" s="12">
        <v>0</v>
      </c>
      <c r="F257" s="12">
        <v>10</v>
      </c>
      <c r="G257" s="13">
        <f>+VLOOKUP(Tabla110345345445545647936445366768594104105107[[#This Row],[Ingrediente]],Tabla34[#All],3,0)</f>
        <v>12.66172066</v>
      </c>
      <c r="H257" s="14">
        <f>+Tabla110345345445545647936445366768594104105107[[#This Row],[Costo]]*Tabla110345345445545647936445366768594104105107[[#This Row],[Columna2]]</f>
        <v>126.6172066</v>
      </c>
      <c r="I257" s="4"/>
      <c r="J257" s="4"/>
      <c r="K257" s="26"/>
    </row>
    <row r="258" spans="2:13" x14ac:dyDescent="0.3">
      <c r="B258" s="10" t="s">
        <v>57</v>
      </c>
      <c r="C258" s="11" t="s">
        <v>67</v>
      </c>
      <c r="D258" s="12">
        <v>5</v>
      </c>
      <c r="E258" s="12">
        <v>0</v>
      </c>
      <c r="F258" s="12">
        <v>5</v>
      </c>
      <c r="G258" s="13">
        <f>+VLOOKUP(Tabla110345345445545647936445366768594104105107[[#This Row],[Ingrediente]],Tabla34[#All],3,0)</f>
        <v>18.782608700000001</v>
      </c>
      <c r="H258" s="14">
        <f>+Tabla110345345445545647936445366768594104105107[[#This Row],[Costo]]*Tabla110345345445545647936445366768594104105107[[#This Row],[Columna2]]</f>
        <v>93.913043500000001</v>
      </c>
      <c r="I258" s="4"/>
      <c r="J258" s="4"/>
      <c r="K258" s="26"/>
    </row>
    <row r="259" spans="2:13" x14ac:dyDescent="0.3">
      <c r="B259" s="10" t="s">
        <v>312</v>
      </c>
      <c r="C259" s="11" t="s">
        <v>67</v>
      </c>
      <c r="D259" s="12">
        <v>5</v>
      </c>
      <c r="E259" s="12">
        <v>0</v>
      </c>
      <c r="F259" s="12">
        <v>5</v>
      </c>
      <c r="G259" s="13">
        <f>+VLOOKUP(Tabla110345345445545647936445366768594104105107[[#This Row],[Ingrediente]],Tabla34[#All],3,0)</f>
        <v>4.2671999999999999</v>
      </c>
      <c r="H259" s="14">
        <f>+Tabla110345345445545647936445366768594104105107[[#This Row],[Costo]]*Tabla110345345445545647936445366768594104105107[[#This Row],[Columna2]]</f>
        <v>21.335999999999999</v>
      </c>
      <c r="I259" s="4"/>
      <c r="J259" s="4"/>
      <c r="K259" s="26"/>
    </row>
    <row r="260" spans="2:13" x14ac:dyDescent="0.3">
      <c r="B260" s="10" t="s">
        <v>89</v>
      </c>
      <c r="C260" s="11" t="s">
        <v>67</v>
      </c>
      <c r="D260" s="12">
        <v>2</v>
      </c>
      <c r="E260" s="12">
        <v>0</v>
      </c>
      <c r="F260" s="12">
        <v>2</v>
      </c>
      <c r="G260" s="13">
        <f>+VLOOKUP(Tabla110345345445545647936445366768594104105107[[#This Row],[Ingrediente]],Tabla34[#All],3,0)</f>
        <v>2.4009999999999998</v>
      </c>
      <c r="H260" s="14">
        <f>+Tabla110345345445545647936445366768594104105107[[#This Row],[Costo]]*Tabla110345345445545647936445366768594104105107[[#This Row],[Columna2]]</f>
        <v>4.8019999999999996</v>
      </c>
      <c r="I260" s="4"/>
      <c r="J260" s="27"/>
      <c r="K260" s="27"/>
    </row>
    <row r="261" spans="2:13" x14ac:dyDescent="0.3">
      <c r="B261" s="16"/>
      <c r="C261" s="17"/>
      <c r="D261" s="17"/>
      <c r="E261" s="17"/>
      <c r="F261" s="17"/>
      <c r="G261" s="18"/>
      <c r="H261" s="18">
        <f>SUBTOTAL(109,Tabla110345345445545647936445366768594104105107[Total costo])</f>
        <v>22030.65624145</v>
      </c>
      <c r="I261" s="4"/>
    </row>
    <row r="262" spans="2:13" x14ac:dyDescent="0.3">
      <c r="G262" s="27"/>
    </row>
    <row r="263" spans="2:13" ht="15.6" x14ac:dyDescent="0.3">
      <c r="B263" s="1" t="s">
        <v>293</v>
      </c>
      <c r="C263" s="2"/>
      <c r="D263" s="2"/>
      <c r="E263" s="3"/>
      <c r="F263" s="3"/>
      <c r="G263" s="3"/>
      <c r="H263" s="3"/>
      <c r="J263" s="399" t="s">
        <v>0</v>
      </c>
      <c r="K263" s="399"/>
      <c r="M263" s="377" t="s">
        <v>1394</v>
      </c>
    </row>
    <row r="264" spans="2:13" x14ac:dyDescent="0.3">
      <c r="B264" s="5" t="s">
        <v>1</v>
      </c>
      <c r="C264" s="6" t="s">
        <v>2</v>
      </c>
      <c r="D264" s="6" t="s">
        <v>3</v>
      </c>
      <c r="E264" s="6" t="s">
        <v>920</v>
      </c>
      <c r="F264" s="6" t="s">
        <v>319</v>
      </c>
      <c r="G264" s="7" t="s">
        <v>4</v>
      </c>
      <c r="H264" s="7" t="s">
        <v>5</v>
      </c>
      <c r="J264" s="8" t="s">
        <v>6</v>
      </c>
      <c r="K264" s="9">
        <f>SUM(Tabla110345345445545647936445366768594104105107264[Total costo])</f>
        <v>15022.118924420001</v>
      </c>
      <c r="M264" s="346" t="s">
        <v>1582</v>
      </c>
    </row>
    <row r="265" spans="2:13" x14ac:dyDescent="0.3">
      <c r="B265" s="10" t="s">
        <v>833</v>
      </c>
      <c r="C265" s="11" t="s">
        <v>67</v>
      </c>
      <c r="D265" s="12">
        <v>1</v>
      </c>
      <c r="E265" s="12">
        <v>0</v>
      </c>
      <c r="F265" s="12">
        <v>1</v>
      </c>
      <c r="G265" s="13">
        <f>+VLOOKUP(Tabla110345345445545647936445366768594104105107264[[#This Row],[Ingrediente]],Tabla34[#All],3,0)</f>
        <v>307.5</v>
      </c>
      <c r="H265" s="14">
        <f>+Tabla110345345445545647936445366768594104105107264[[#This Row],[Costo]]*Tabla110345345445545647936445366768594104105107264[[#This Row],[Columna2]]</f>
        <v>307.5</v>
      </c>
      <c r="I265" s="27"/>
      <c r="J265" s="8" t="s">
        <v>12</v>
      </c>
      <c r="K265" s="15">
        <f>+K264*10%</f>
        <v>1502.2118924420001</v>
      </c>
      <c r="M265" s="346" t="s">
        <v>1583</v>
      </c>
    </row>
    <row r="266" spans="2:13" x14ac:dyDescent="0.3">
      <c r="B266" s="10" t="s">
        <v>837</v>
      </c>
      <c r="C266" s="11" t="s">
        <v>847</v>
      </c>
      <c r="D266" s="12">
        <v>4</v>
      </c>
      <c r="E266" s="12">
        <v>0</v>
      </c>
      <c r="F266" s="12">
        <v>4</v>
      </c>
      <c r="G266" s="13">
        <f>+VLOOKUP(Tabla110345345445545647936445366768594104105107264[[#This Row],[Ingrediente]],Tabla34[#All],3,0)</f>
        <v>514.28</v>
      </c>
      <c r="H266" s="14">
        <f>+Tabla110345345445545647936445366768594104105107264[[#This Row],[Costo]]*Tabla110345345445545647936445366768594104105107264[[#This Row],[Columna2]]</f>
        <v>2057.12</v>
      </c>
      <c r="J266" s="8" t="s">
        <v>13</v>
      </c>
      <c r="K266" s="15">
        <f>+K264+K265</f>
        <v>16524.330816862002</v>
      </c>
    </row>
    <row r="267" spans="2:13" x14ac:dyDescent="0.3">
      <c r="B267" s="10" t="s">
        <v>633</v>
      </c>
      <c r="C267" s="11" t="s">
        <v>67</v>
      </c>
      <c r="D267" s="12">
        <v>19.999999450000001</v>
      </c>
      <c r="E267" s="12">
        <v>5</v>
      </c>
      <c r="F267" s="12">
        <v>21.052631000000002</v>
      </c>
      <c r="G267" s="13">
        <f>+VLOOKUP(Tabla110345345445545647936445366768594104105107264[[#This Row],[Ingrediente]],Tabla34[#All],3,0)</f>
        <v>27</v>
      </c>
      <c r="H267" s="14">
        <f>+Tabla110345345445545647936445366768594104105107264[[#This Row],[Costo]]*Tabla110345345445545647936445366768594104105107264[[#This Row],[Columna2]]</f>
        <v>568.42103700000007</v>
      </c>
      <c r="I267" s="4"/>
      <c r="J267" s="20" t="s">
        <v>14</v>
      </c>
      <c r="K267" s="21">
        <v>57000</v>
      </c>
      <c r="M267" s="377" t="s">
        <v>1377</v>
      </c>
    </row>
    <row r="268" spans="2:13" x14ac:dyDescent="0.3">
      <c r="B268" s="10" t="s">
        <v>106</v>
      </c>
      <c r="C268" s="11" t="s">
        <v>67</v>
      </c>
      <c r="D268" s="12">
        <v>15</v>
      </c>
      <c r="E268" s="12">
        <v>0</v>
      </c>
      <c r="F268" s="12">
        <v>15</v>
      </c>
      <c r="G268" s="13">
        <f>+VLOOKUP(Tabla110345345445545647936445366768594104105107264[[#This Row],[Ingrediente]],Tabla34[#All],3,0)</f>
        <v>19.804166670000001</v>
      </c>
      <c r="H268" s="14">
        <f>+Tabla110345345445545647936445366768594104105107264[[#This Row],[Costo]]*Tabla110345345445545647936445366768594104105107264[[#This Row],[Columna2]]</f>
        <v>297.06250005000004</v>
      </c>
      <c r="I268" s="4"/>
      <c r="J268" s="8" t="s">
        <v>15</v>
      </c>
      <c r="K268" s="15">
        <f>+K267/1.08*0.08</f>
        <v>4222.2222222222217</v>
      </c>
      <c r="M268" s="346" t="s">
        <v>1584</v>
      </c>
    </row>
    <row r="269" spans="2:13" x14ac:dyDescent="0.3">
      <c r="B269" s="10" t="s">
        <v>620</v>
      </c>
      <c r="C269" s="11" t="s">
        <v>67</v>
      </c>
      <c r="D269" s="12">
        <v>150.00000299999999</v>
      </c>
      <c r="E269" s="12">
        <v>10</v>
      </c>
      <c r="F269" s="12">
        <v>166.66667000000001</v>
      </c>
      <c r="G269" s="13">
        <f>+VLOOKUP(Tabla110345345445545647936445366768594104105107264[[#This Row],[Ingrediente]],Tabla34[#All],3,0)</f>
        <v>39</v>
      </c>
      <c r="H269" s="14">
        <f>+Tabla110345345445545647936445366768594104105107264[[#This Row],[Costo]]*Tabla110345345445545647936445366768594104105107264[[#This Row],[Columna2]]</f>
        <v>6500.0001300000004</v>
      </c>
      <c r="I269" s="4"/>
      <c r="J269" s="8" t="s">
        <v>16</v>
      </c>
      <c r="K269" s="15">
        <f>+K267-K268</f>
        <v>52777.777777777781</v>
      </c>
      <c r="M269" s="346" t="s">
        <v>1585</v>
      </c>
    </row>
    <row r="270" spans="2:13" x14ac:dyDescent="0.3">
      <c r="B270" s="10" t="s">
        <v>631</v>
      </c>
      <c r="C270" s="11" t="s">
        <v>67</v>
      </c>
      <c r="D270" s="12">
        <v>30</v>
      </c>
      <c r="E270" s="12">
        <v>0</v>
      </c>
      <c r="F270" s="12">
        <v>30</v>
      </c>
      <c r="G270" s="13">
        <f>+VLOOKUP(Tabla110345345445545647936445366768594104105107264[[#This Row],[Ingrediente]],Tabla34[#All],3,0)</f>
        <v>34.714285709999999</v>
      </c>
      <c r="H270" s="14">
        <f>+Tabla110345345445545647936445366768594104105107264[[#This Row],[Costo]]*Tabla110345345445545647936445366768594104105107264[[#This Row],[Columna2]]</f>
        <v>1041.4285712999999</v>
      </c>
      <c r="I270" s="4"/>
      <c r="J270" s="8" t="s">
        <v>17</v>
      </c>
      <c r="K270" s="22">
        <f>+K266/K269</f>
        <v>0.31309258389843792</v>
      </c>
      <c r="M270" s="346" t="s">
        <v>1586</v>
      </c>
    </row>
    <row r="271" spans="2:13" x14ac:dyDescent="0.3">
      <c r="B271" s="10" t="s">
        <v>451</v>
      </c>
      <c r="C271" s="11" t="s">
        <v>67</v>
      </c>
      <c r="D271" s="12">
        <v>5</v>
      </c>
      <c r="E271" s="12">
        <v>0</v>
      </c>
      <c r="F271" s="12">
        <v>5</v>
      </c>
      <c r="G271" s="13">
        <f>+VLOOKUP(Tabla110345345445545647936445366768594104105107264[[#This Row],[Ingrediente]],Tabla34[#All],3,0)</f>
        <v>60.987499999999997</v>
      </c>
      <c r="H271" s="14">
        <f>+Tabla110345345445545647936445366768594104105107264[[#This Row],[Costo]]*Tabla110345345445545647936445366768594104105107264[[#This Row],[Columna2]]</f>
        <v>304.9375</v>
      </c>
      <c r="I271" s="4"/>
      <c r="J271" s="8" t="s">
        <v>18</v>
      </c>
      <c r="K271" s="23">
        <f>+K269-K266</f>
        <v>36253.446960915782</v>
      </c>
      <c r="M271" s="346" t="s">
        <v>1587</v>
      </c>
    </row>
    <row r="272" spans="2:13" x14ac:dyDescent="0.3">
      <c r="B272" s="10" t="s">
        <v>89</v>
      </c>
      <c r="C272" s="11" t="s">
        <v>67</v>
      </c>
      <c r="D272" s="12">
        <v>6</v>
      </c>
      <c r="E272" s="12">
        <v>0</v>
      </c>
      <c r="F272" s="12">
        <v>6</v>
      </c>
      <c r="G272" s="13">
        <f>+VLOOKUP(Tabla110345345445545647936445366768594104105107264[[#This Row],[Ingrediente]],Tabla34[#All],3,0)</f>
        <v>2.4009999999999998</v>
      </c>
      <c r="H272" s="14">
        <f>+Tabla110345345445545647936445366768594104105107264[[#This Row],[Costo]]*Tabla110345345445545647936445366768594104105107264[[#This Row],[Columna2]]</f>
        <v>14.405999999999999</v>
      </c>
      <c r="I272" s="4"/>
      <c r="J272" s="8" t="s">
        <v>19</v>
      </c>
      <c r="K272" s="25">
        <f>+K271/K266</f>
        <v>2.1939434257707733</v>
      </c>
      <c r="M272" s="346" t="s">
        <v>1588</v>
      </c>
    </row>
    <row r="273" spans="2:11" x14ac:dyDescent="0.3">
      <c r="B273" s="10" t="s">
        <v>37</v>
      </c>
      <c r="C273" s="11" t="s">
        <v>67</v>
      </c>
      <c r="D273" s="12">
        <v>8</v>
      </c>
      <c r="E273" s="12">
        <v>0</v>
      </c>
      <c r="F273" s="12">
        <v>8</v>
      </c>
      <c r="G273" s="13">
        <f>+VLOOKUP(Tabla110345345445545647936445366768594104105107264[[#This Row],[Ingrediente]],Tabla34[#All],3,0)</f>
        <v>14.25783539</v>
      </c>
      <c r="H273" s="14">
        <f>+Tabla110345345445545647936445366768594104105107264[[#This Row],[Costo]]*Tabla110345345445545647936445366768594104105107264[[#This Row],[Columna2]]</f>
        <v>114.06268312</v>
      </c>
      <c r="I273" s="4"/>
      <c r="J273" s="4"/>
      <c r="K273" s="26"/>
    </row>
    <row r="274" spans="2:11" x14ac:dyDescent="0.3">
      <c r="B274" s="10" t="s">
        <v>745</v>
      </c>
      <c r="C274" s="11" t="s">
        <v>67</v>
      </c>
      <c r="D274" s="12">
        <v>5.0000001000000003</v>
      </c>
      <c r="E274" s="12">
        <v>5</v>
      </c>
      <c r="F274" s="12">
        <v>5.2631579999999998</v>
      </c>
      <c r="G274" s="13">
        <f>+VLOOKUP(Tabla110345345445545647936445366768594104105107264[[#This Row],[Ingrediente]],Tabla34[#All],3,0)</f>
        <v>37.5</v>
      </c>
      <c r="H274" s="14">
        <f>+Tabla110345345445545647936445366768594104105107264[[#This Row],[Costo]]*Tabla110345345445545647936445366768594104105107264[[#This Row],[Columna2]]</f>
        <v>197.368425</v>
      </c>
      <c r="I274" s="4"/>
      <c r="J274" s="4"/>
      <c r="K274" s="26"/>
    </row>
    <row r="275" spans="2:11" x14ac:dyDescent="0.3">
      <c r="B275" s="10" t="s">
        <v>646</v>
      </c>
      <c r="C275" s="11" t="s">
        <v>67</v>
      </c>
      <c r="D275" s="12">
        <v>20</v>
      </c>
      <c r="E275" s="12">
        <v>0</v>
      </c>
      <c r="F275" s="12">
        <v>20</v>
      </c>
      <c r="G275" s="13">
        <f>+VLOOKUP(Tabla110345345445545647936445366768594104105107264[[#This Row],[Ingrediente]],Tabla34[#All],3,0)</f>
        <v>22.5276</v>
      </c>
      <c r="H275" s="14">
        <f>+Tabla110345345445545647936445366768594104105107264[[#This Row],[Costo]]*Tabla110345345445545647936445366768594104105107264[[#This Row],[Columna2]]</f>
        <v>450.55200000000002</v>
      </c>
      <c r="I275" s="4"/>
      <c r="J275" s="27"/>
      <c r="K275" s="27"/>
    </row>
    <row r="276" spans="2:11" x14ac:dyDescent="0.3">
      <c r="B276" s="10" t="s">
        <v>119</v>
      </c>
      <c r="C276" s="11" t="s">
        <v>67</v>
      </c>
      <c r="D276" s="12">
        <v>200</v>
      </c>
      <c r="E276" s="12">
        <v>0</v>
      </c>
      <c r="F276" s="12">
        <v>200</v>
      </c>
      <c r="G276" s="13">
        <f>+VLOOKUP(Tabla110345345445545647936445366768594104105107264[[#This Row],[Ingrediente]],Tabla34[#All],3,0)</f>
        <v>5.8053971600000001</v>
      </c>
      <c r="H276" s="14">
        <f>+Tabla110345345445545647936445366768594104105107264[[#This Row],[Costo]]*Tabla110345345445545647936445366768594104105107264[[#This Row],[Columna2]]</f>
        <v>1161.079432</v>
      </c>
      <c r="I276" s="4"/>
      <c r="J276" s="27"/>
      <c r="K276" s="27"/>
    </row>
    <row r="277" spans="2:11" x14ac:dyDescent="0.3">
      <c r="B277" s="10" t="s">
        <v>134</v>
      </c>
      <c r="C277" s="11" t="s">
        <v>67</v>
      </c>
      <c r="D277" s="12">
        <v>5</v>
      </c>
      <c r="E277" s="12">
        <v>0</v>
      </c>
      <c r="F277" s="12">
        <v>5</v>
      </c>
      <c r="G277" s="13">
        <f>+VLOOKUP(Tabla110345345445545647936445366768594104105107264[[#This Row],[Ingrediente]],Tabla34[#All],3,0)</f>
        <v>5.7702915900000002</v>
      </c>
      <c r="H277" s="14">
        <f>+Tabla110345345445545647936445366768594104105107264[[#This Row],[Costo]]*Tabla110345345445545647936445366768594104105107264[[#This Row],[Columna2]]</f>
        <v>28.85145795</v>
      </c>
      <c r="I277" s="4"/>
    </row>
    <row r="278" spans="2:11" x14ac:dyDescent="0.3">
      <c r="B278" s="10" t="s">
        <v>124</v>
      </c>
      <c r="C278" s="11" t="s">
        <v>67</v>
      </c>
      <c r="D278" s="12">
        <v>10</v>
      </c>
      <c r="E278" s="12">
        <v>0</v>
      </c>
      <c r="F278" s="12">
        <v>10</v>
      </c>
      <c r="G278" s="13">
        <f>+VLOOKUP(Tabla110345345445545647936445366768594104105107264[[#This Row],[Ingrediente]],Tabla34[#All],3,0)</f>
        <v>3.1357552800000001</v>
      </c>
      <c r="H278" s="14">
        <f>+Tabla110345345445545647936445366768594104105107264[[#This Row],[Costo]]*Tabla110345345445545647936445366768594104105107264[[#This Row],[Columna2]]</f>
        <v>31.357552800000001</v>
      </c>
    </row>
    <row r="279" spans="2:11" x14ac:dyDescent="0.3">
      <c r="B279" s="10" t="s">
        <v>86</v>
      </c>
      <c r="C279" s="11" t="s">
        <v>67</v>
      </c>
      <c r="D279" s="12">
        <v>10</v>
      </c>
      <c r="E279" s="12">
        <v>0</v>
      </c>
      <c r="F279" s="12">
        <v>10</v>
      </c>
      <c r="G279" s="13">
        <f>+VLOOKUP(Tabla110345345445545647936445366768594104105107264[[#This Row],[Ingrediente]],Tabla34[#All],3,0)</f>
        <v>37.630499999999998</v>
      </c>
      <c r="H279" s="14">
        <f>+Tabla110345345445545647936445366768594104105107264[[#This Row],[Costo]]*Tabla110345345445545647936445366768594104105107264[[#This Row],[Columna2]]</f>
        <v>376.30499999999995</v>
      </c>
    </row>
    <row r="280" spans="2:11" x14ac:dyDescent="0.3">
      <c r="B280" s="10" t="s">
        <v>683</v>
      </c>
      <c r="C280" s="11" t="s">
        <v>67</v>
      </c>
      <c r="D280" s="12">
        <v>99.999997500000006</v>
      </c>
      <c r="E280" s="12">
        <v>25</v>
      </c>
      <c r="F280" s="12">
        <v>133.33332999999999</v>
      </c>
      <c r="G280" s="13">
        <f>+VLOOKUP(Tabla110345345445545647936445366768594104105107264[[#This Row],[Ingrediente]],Tabla34[#All],3,0)</f>
        <v>8.5</v>
      </c>
      <c r="H280" s="14">
        <f>+Tabla110345345445545647936445366768594104105107264[[#This Row],[Costo]]*Tabla110345345445545647936445366768594104105107264[[#This Row],[Columna2]]</f>
        <v>1133.3333049999999</v>
      </c>
    </row>
    <row r="281" spans="2:11" x14ac:dyDescent="0.3">
      <c r="B281" s="10" t="s">
        <v>187</v>
      </c>
      <c r="C281" s="11" t="s">
        <v>67</v>
      </c>
      <c r="D281" s="12">
        <v>14.9999994</v>
      </c>
      <c r="E281" s="12">
        <v>10</v>
      </c>
      <c r="F281" s="12">
        <v>16.666665999999999</v>
      </c>
      <c r="G281" s="13">
        <f>+VLOOKUP(Tabla110345345445545647936445366768594104105107264[[#This Row],[Ingrediente]],Tabla34[#All],3,0)</f>
        <v>4.7</v>
      </c>
      <c r="H281" s="14">
        <f>+Tabla110345345445545647936445366768594104105107264[[#This Row],[Costo]]*Tabla110345345445545647936445366768594104105107264[[#This Row],[Columna2]]</f>
        <v>78.333330200000006</v>
      </c>
    </row>
    <row r="282" spans="2:11" x14ac:dyDescent="0.3">
      <c r="B282" s="10" t="s">
        <v>708</v>
      </c>
      <c r="C282" s="11" t="s">
        <v>67</v>
      </c>
      <c r="D282" s="12">
        <v>15</v>
      </c>
      <c r="E282" s="12">
        <v>0</v>
      </c>
      <c r="F282" s="12">
        <v>15</v>
      </c>
      <c r="G282" s="13">
        <f>+VLOOKUP(Tabla110345345445545647936445366768594104105107264[[#This Row],[Ingrediente]],Tabla34[#All],3,0)</f>
        <v>11</v>
      </c>
      <c r="H282" s="14">
        <f>+Tabla110345345445545647936445366768594104105107264[[#This Row],[Costo]]*Tabla110345345445545647936445366768594104105107264[[#This Row],[Columna2]]</f>
        <v>165</v>
      </c>
    </row>
    <row r="283" spans="2:11" x14ac:dyDescent="0.3">
      <c r="B283" s="10" t="s">
        <v>730</v>
      </c>
      <c r="C283" s="11" t="s">
        <v>67</v>
      </c>
      <c r="D283" s="12">
        <v>3</v>
      </c>
      <c r="E283" s="12">
        <v>40</v>
      </c>
      <c r="F283" s="12">
        <v>5</v>
      </c>
      <c r="G283" s="13">
        <f>+VLOOKUP(Tabla110345345445545647936445366768594104105107264[[#This Row],[Ingrediente]],Tabla34[#All],3,0)</f>
        <v>12</v>
      </c>
      <c r="H283" s="14">
        <f>+Tabla110345345445545647936445366768594104105107264[[#This Row],[Costo]]*Tabla110345345445545647936445366768594104105107264[[#This Row],[Columna2]]</f>
        <v>60</v>
      </c>
    </row>
    <row r="284" spans="2:11" x14ac:dyDescent="0.3">
      <c r="B284" s="10" t="s">
        <v>835</v>
      </c>
      <c r="C284" s="11" t="s">
        <v>67</v>
      </c>
      <c r="D284" s="12">
        <v>30</v>
      </c>
      <c r="E284" s="12">
        <v>0</v>
      </c>
      <c r="F284" s="12">
        <v>30</v>
      </c>
      <c r="G284" s="13">
        <f>+VLOOKUP(Tabla110345345445545647936445366768594104105107264[[#This Row],[Ingrediente]],Tabla34[#All],3,0)</f>
        <v>4.5</v>
      </c>
      <c r="H284" s="14">
        <f>+Tabla110345345445545647936445366768594104105107264[[#This Row],[Costo]]*Tabla110345345445545647936445366768594104105107264[[#This Row],[Columna2]]</f>
        <v>135</v>
      </c>
    </row>
    <row r="285" spans="2:11" x14ac:dyDescent="0.3">
      <c r="B285" s="16"/>
      <c r="C285" s="17"/>
      <c r="D285" s="17"/>
      <c r="E285" s="17"/>
      <c r="F285" s="17"/>
      <c r="G285" s="18"/>
      <c r="H285" s="18">
        <f>SUBTOTAL(109,Tabla110345345445545647936445366768594104105107264[Total costo])</f>
        <v>15022.118924420001</v>
      </c>
    </row>
  </sheetData>
  <mergeCells count="14">
    <mergeCell ref="J110:K110"/>
    <mergeCell ref="J6:K6"/>
    <mergeCell ref="J33:K33"/>
    <mergeCell ref="J58:K58"/>
    <mergeCell ref="J79:K79"/>
    <mergeCell ref="J95:K95"/>
    <mergeCell ref="J263:K263"/>
    <mergeCell ref="J244:K244"/>
    <mergeCell ref="J129:K129"/>
    <mergeCell ref="J146:K146"/>
    <mergeCell ref="J166:K166"/>
    <mergeCell ref="J190:K190"/>
    <mergeCell ref="J208:K208"/>
    <mergeCell ref="J225:K225"/>
  </mergeCells>
  <phoneticPr fontId="16" type="noConversion"/>
  <conditionalFormatting sqref="K13">
    <cfRule type="cellIs" dxfId="2529" priority="27" operator="lessThan">
      <formula>0.3</formula>
    </cfRule>
    <cfRule type="cellIs" dxfId="2528" priority="28" operator="greaterThan">
      <formula>0.3</formula>
    </cfRule>
  </conditionalFormatting>
  <conditionalFormatting sqref="K40">
    <cfRule type="cellIs" dxfId="2527" priority="25" operator="lessThan">
      <formula>0.3</formula>
    </cfRule>
    <cfRule type="cellIs" dxfId="2526" priority="26" operator="greaterThan">
      <formula>0.3</formula>
    </cfRule>
  </conditionalFormatting>
  <conditionalFormatting sqref="K65">
    <cfRule type="cellIs" dxfId="2525" priority="23" operator="lessThan">
      <formula>0.3</formula>
    </cfRule>
    <cfRule type="cellIs" dxfId="2524" priority="24" operator="greaterThan">
      <formula>0.3</formula>
    </cfRule>
  </conditionalFormatting>
  <conditionalFormatting sqref="K86">
    <cfRule type="cellIs" dxfId="2523" priority="21" operator="lessThan">
      <formula>0.3</formula>
    </cfRule>
    <cfRule type="cellIs" dxfId="2522" priority="22" operator="greaterThan">
      <formula>0.3</formula>
    </cfRule>
  </conditionalFormatting>
  <conditionalFormatting sqref="K102">
    <cfRule type="cellIs" dxfId="2521" priority="19" operator="lessThan">
      <formula>0.3</formula>
    </cfRule>
    <cfRule type="cellIs" dxfId="2520" priority="20" operator="greaterThan">
      <formula>0.3</formula>
    </cfRule>
  </conditionalFormatting>
  <conditionalFormatting sqref="K117">
    <cfRule type="cellIs" dxfId="2519" priority="17" operator="lessThan">
      <formula>0.3</formula>
    </cfRule>
    <cfRule type="cellIs" dxfId="2518" priority="18" operator="greaterThan">
      <formula>0.3</formula>
    </cfRule>
  </conditionalFormatting>
  <conditionalFormatting sqref="K136">
    <cfRule type="cellIs" dxfId="2517" priority="15" operator="lessThan">
      <formula>0.3</formula>
    </cfRule>
    <cfRule type="cellIs" dxfId="2516" priority="16" operator="greaterThan">
      <formula>0.3</formula>
    </cfRule>
  </conditionalFormatting>
  <conditionalFormatting sqref="K153">
    <cfRule type="cellIs" dxfId="2515" priority="13" operator="lessThan">
      <formula>0.3</formula>
    </cfRule>
    <cfRule type="cellIs" dxfId="2514" priority="14" operator="greaterThan">
      <formula>0.3</formula>
    </cfRule>
  </conditionalFormatting>
  <conditionalFormatting sqref="K173">
    <cfRule type="cellIs" dxfId="2513" priority="11" operator="lessThan">
      <formula>0.3</formula>
    </cfRule>
    <cfRule type="cellIs" dxfId="2512" priority="12" operator="greaterThan">
      <formula>0.3</formula>
    </cfRule>
  </conditionalFormatting>
  <conditionalFormatting sqref="K197">
    <cfRule type="cellIs" dxfId="2511" priority="9" operator="lessThan">
      <formula>0.3</formula>
    </cfRule>
    <cfRule type="cellIs" dxfId="2510" priority="10" operator="greaterThan">
      <formula>0.3</formula>
    </cfRule>
  </conditionalFormatting>
  <conditionalFormatting sqref="K215">
    <cfRule type="cellIs" dxfId="2509" priority="7" operator="lessThan">
      <formula>0.3</formula>
    </cfRule>
    <cfRule type="cellIs" dxfId="2508" priority="8" operator="greaterThan">
      <formula>0.3</formula>
    </cfRule>
  </conditionalFormatting>
  <conditionalFormatting sqref="K232">
    <cfRule type="cellIs" dxfId="2507" priority="5" operator="lessThan">
      <formula>0.3</formula>
    </cfRule>
    <cfRule type="cellIs" dxfId="2506" priority="6" operator="greaterThan">
      <formula>0.3</formula>
    </cfRule>
  </conditionalFormatting>
  <conditionalFormatting sqref="K251">
    <cfRule type="cellIs" dxfId="2505" priority="3" operator="lessThan">
      <formula>0.3</formula>
    </cfRule>
    <cfRule type="cellIs" dxfId="2504" priority="4" operator="greaterThan">
      <formula>0.3</formula>
    </cfRule>
  </conditionalFormatting>
  <conditionalFormatting sqref="K270">
    <cfRule type="cellIs" dxfId="2503" priority="1" operator="lessThan">
      <formula>0.3</formula>
    </cfRule>
    <cfRule type="cellIs" dxfId="2502" priority="2" operator="greaterThan">
      <formula>0.3</formula>
    </cfRule>
  </conditionalFormatting>
  <pageMargins left="0.7" right="0.7" top="0.75" bottom="0.75" header="0.3" footer="0.3"/>
  <pageSetup orientation="portrait" horizontalDpi="1200" verticalDpi="1200" r:id="rId1"/>
  <drawing r:id="rId2"/>
  <tableParts count="4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E5E44-C230-4985-90B9-6FA319A5EFBE}">
  <dimension ref="B6:M134"/>
  <sheetViews>
    <sheetView showGridLines="0" topLeftCell="A91" zoomScale="90" zoomScaleNormal="90" workbookViewId="0">
      <selection activeCell="M113" sqref="M113"/>
    </sheetView>
  </sheetViews>
  <sheetFormatPr baseColWidth="10" defaultRowHeight="14.4" x14ac:dyDescent="0.3"/>
  <cols>
    <col min="1" max="1" width="4" customWidth="1"/>
    <col min="2" max="2" width="32" customWidth="1"/>
    <col min="6" max="6" width="10.88671875" customWidth="1"/>
    <col min="7" max="8" width="10.77734375" customWidth="1"/>
    <col min="9" max="9" width="3.77734375" customWidth="1"/>
    <col min="10" max="10" width="27.21875" bestFit="1" customWidth="1"/>
  </cols>
  <sheetData>
    <row r="6" spans="2:13" ht="15.6" x14ac:dyDescent="0.3">
      <c r="B6" s="1" t="s">
        <v>78</v>
      </c>
      <c r="C6" s="2"/>
      <c r="D6" s="2"/>
      <c r="E6" s="3"/>
      <c r="F6" s="3"/>
      <c r="G6" s="3"/>
      <c r="H6" s="3"/>
      <c r="I6" s="4"/>
      <c r="J6" s="399" t="s">
        <v>0</v>
      </c>
      <c r="K6" s="399"/>
      <c r="M6" s="377" t="s">
        <v>1394</v>
      </c>
    </row>
    <row r="7" spans="2:13" x14ac:dyDescent="0.3">
      <c r="B7" s="5" t="s">
        <v>857</v>
      </c>
      <c r="C7" s="6" t="s">
        <v>895</v>
      </c>
      <c r="D7" s="6" t="s">
        <v>892</v>
      </c>
      <c r="E7" s="6" t="s">
        <v>893</v>
      </c>
      <c r="F7" s="6" t="s">
        <v>894</v>
      </c>
      <c r="G7" s="7" t="s">
        <v>901</v>
      </c>
      <c r="H7" s="7" t="s">
        <v>902</v>
      </c>
      <c r="I7" s="4"/>
      <c r="J7" s="8" t="s">
        <v>6</v>
      </c>
      <c r="K7" s="9">
        <f>SUM(Tabla1103453454455456479455868778695108[Coste LÃ­nea])</f>
        <v>23551.175844709996</v>
      </c>
      <c r="M7" s="346" t="s">
        <v>1645</v>
      </c>
    </row>
    <row r="8" spans="2:13" x14ac:dyDescent="0.3">
      <c r="B8" s="10" t="s">
        <v>917</v>
      </c>
      <c r="C8" s="11" t="s">
        <v>847</v>
      </c>
      <c r="D8" s="12">
        <v>1</v>
      </c>
      <c r="E8" s="12">
        <v>0</v>
      </c>
      <c r="F8" s="12">
        <v>1</v>
      </c>
      <c r="G8" s="13">
        <f>+VLOOKUP(Tabla1103453454455456479455868778695108[[#This Row],[ArtÃ­culo]],Tabla34[#All],3,0)</f>
        <v>11140.90909091</v>
      </c>
      <c r="H8" s="14">
        <f>+Tabla1103453454455456479455868778695108[[#This Row],[Coste Componente]]*Tabla1103453454455456479455868778695108[[#This Row],[Unidades]]</f>
        <v>11140.90909091</v>
      </c>
      <c r="I8" s="4"/>
      <c r="J8" s="8" t="s">
        <v>12</v>
      </c>
      <c r="K8" s="15">
        <f>+K7*10%</f>
        <v>2355.1175844709996</v>
      </c>
      <c r="M8" s="346" t="s">
        <v>1646</v>
      </c>
    </row>
    <row r="9" spans="2:13" x14ac:dyDescent="0.3">
      <c r="B9" s="10" t="s">
        <v>145</v>
      </c>
      <c r="C9" s="11" t="s">
        <v>67</v>
      </c>
      <c r="D9" s="12">
        <v>100</v>
      </c>
      <c r="E9" s="12">
        <v>0</v>
      </c>
      <c r="F9" s="12">
        <v>100</v>
      </c>
      <c r="G9" s="13">
        <f>+VLOOKUP(Tabla1103453454455456479455868778695108[[#This Row],[ArtÃ­culo]],Tabla34[#All],3,0)</f>
        <v>40.425119780000003</v>
      </c>
      <c r="H9" s="14">
        <f>+Tabla1103453454455456479455868778695108[[#This Row],[Coste Componente]]*Tabla1103453454455456479455868778695108[[#This Row],[Unidades]]</f>
        <v>4042.5119780000005</v>
      </c>
      <c r="I9" s="4"/>
      <c r="J9" s="8" t="s">
        <v>13</v>
      </c>
      <c r="K9" s="15">
        <f>+K7+K8</f>
        <v>25906.293429180994</v>
      </c>
      <c r="M9" s="346" t="s">
        <v>1647</v>
      </c>
    </row>
    <row r="10" spans="2:13" x14ac:dyDescent="0.3">
      <c r="B10" s="10" t="s">
        <v>837</v>
      </c>
      <c r="C10" s="11" t="s">
        <v>847</v>
      </c>
      <c r="D10" s="12">
        <v>4</v>
      </c>
      <c r="E10" s="12">
        <v>0</v>
      </c>
      <c r="F10" s="12">
        <v>4</v>
      </c>
      <c r="G10" s="13">
        <f>+VLOOKUP(Tabla1103453454455456479455868778695108[[#This Row],[ArtÃ­culo]],Tabla34[#All],3,0)</f>
        <v>514.28</v>
      </c>
      <c r="H10" s="14">
        <f>+Tabla1103453454455456479455868778695108[[#This Row],[Coste Componente]]*Tabla1103453454455456479455868778695108[[#This Row],[Unidades]]</f>
        <v>2057.12</v>
      </c>
      <c r="I10" s="4"/>
      <c r="J10" s="20" t="s">
        <v>14</v>
      </c>
      <c r="K10" s="21">
        <v>76000</v>
      </c>
      <c r="M10" s="346" t="s">
        <v>1648</v>
      </c>
    </row>
    <row r="11" spans="2:13" x14ac:dyDescent="0.3">
      <c r="B11" s="24" t="s">
        <v>106</v>
      </c>
      <c r="C11" s="11" t="s">
        <v>67</v>
      </c>
      <c r="D11" s="12">
        <v>80</v>
      </c>
      <c r="E11" s="12">
        <v>0</v>
      </c>
      <c r="F11" s="12">
        <v>80</v>
      </c>
      <c r="G11" s="13">
        <f>+VLOOKUP(Tabla1103453454455456479455868778695108[[#This Row],[ArtÃ­culo]],Tabla34[#All],3,0)</f>
        <v>19.804166670000001</v>
      </c>
      <c r="H11" s="14">
        <f>+Tabla1103453454455456479455868778695108[[#This Row],[Coste Componente]]*Tabla1103453454455456479455868778695108[[#This Row],[Unidades]]</f>
        <v>1584.3333336000001</v>
      </c>
      <c r="I11" s="4"/>
      <c r="J11" s="8" t="s">
        <v>15</v>
      </c>
      <c r="K11" s="15">
        <f>+K10/1.08*0.08</f>
        <v>5629.6296296296296</v>
      </c>
    </row>
    <row r="12" spans="2:13" x14ac:dyDescent="0.3">
      <c r="B12" s="10" t="s">
        <v>451</v>
      </c>
      <c r="C12" s="11" t="s">
        <v>67</v>
      </c>
      <c r="D12" s="12">
        <v>20</v>
      </c>
      <c r="E12" s="12">
        <v>0</v>
      </c>
      <c r="F12" s="12">
        <v>20</v>
      </c>
      <c r="G12" s="13">
        <f>+VLOOKUP(Tabla1103453454455456479455868778695108[[#This Row],[ArtÃ­culo]],Tabla34[#All],3,0)</f>
        <v>60.987499999999997</v>
      </c>
      <c r="H12" s="14">
        <f>+Tabla1103453454455456479455868778695108[[#This Row],[Coste Componente]]*Tabla1103453454455456479455868778695108[[#This Row],[Unidades]]</f>
        <v>1219.75</v>
      </c>
      <c r="I12" s="4"/>
      <c r="J12" s="8" t="s">
        <v>16</v>
      </c>
      <c r="K12" s="15">
        <f>+K10-K11</f>
        <v>70370.370370370365</v>
      </c>
      <c r="M12" s="377" t="s">
        <v>1377</v>
      </c>
    </row>
    <row r="13" spans="2:13" x14ac:dyDescent="0.3">
      <c r="B13" s="24" t="s">
        <v>633</v>
      </c>
      <c r="C13" s="11" t="s">
        <v>67</v>
      </c>
      <c r="D13" s="12">
        <v>30</v>
      </c>
      <c r="E13" s="12">
        <v>5</v>
      </c>
      <c r="F13" s="12">
        <v>31.579000000000001</v>
      </c>
      <c r="G13" s="13">
        <f>+VLOOKUP(Tabla1103453454455456479455868778695108[[#This Row],[ArtÃ­culo]],Tabla34[#All],3,0)</f>
        <v>27</v>
      </c>
      <c r="H13" s="14">
        <f>+Tabla1103453454455456479455868778695108[[#This Row],[Coste Componente]]*Tabla1103453454455456479455868778695108[[#This Row],[Unidades]]</f>
        <v>852.63300000000004</v>
      </c>
      <c r="I13" s="4"/>
      <c r="J13" s="8" t="s">
        <v>17</v>
      </c>
      <c r="K13" s="22">
        <f>+K9/K12</f>
        <v>0.36814206451994047</v>
      </c>
      <c r="M13" s="346"/>
    </row>
    <row r="14" spans="2:13" x14ac:dyDescent="0.3">
      <c r="B14" s="24" t="s">
        <v>220</v>
      </c>
      <c r="C14" s="11" t="s">
        <v>67</v>
      </c>
      <c r="D14" s="12">
        <v>120</v>
      </c>
      <c r="E14" s="12">
        <v>10</v>
      </c>
      <c r="F14" s="12">
        <v>133.333</v>
      </c>
      <c r="G14" s="13">
        <f>+VLOOKUP(Tabla1103453454455456479455868778695108[[#This Row],[ArtÃ­culo]],Tabla34[#All],3,0)</f>
        <v>4.5</v>
      </c>
      <c r="H14" s="14">
        <f>+Tabla1103453454455456479455868778695108[[#This Row],[Coste Componente]]*Tabla1103453454455456479455868778695108[[#This Row],[Unidades]]</f>
        <v>599.99850000000004</v>
      </c>
      <c r="I14" s="4"/>
      <c r="J14" s="8" t="s">
        <v>18</v>
      </c>
      <c r="K14" s="23">
        <f>+K12-K9</f>
        <v>44464.076941189371</v>
      </c>
      <c r="M14" s="346"/>
    </row>
    <row r="15" spans="2:13" x14ac:dyDescent="0.3">
      <c r="B15" s="10" t="s">
        <v>229</v>
      </c>
      <c r="C15" s="11" t="s">
        <v>67</v>
      </c>
      <c r="D15" s="12">
        <v>20</v>
      </c>
      <c r="E15" s="12">
        <v>0</v>
      </c>
      <c r="F15" s="12">
        <v>20</v>
      </c>
      <c r="G15" s="13">
        <f>+VLOOKUP(Tabla1103453454455456479455868778695108[[#This Row],[ArtÃ­culo]],Tabla34[#All],3,0)</f>
        <v>24.714500000000001</v>
      </c>
      <c r="H15" s="14">
        <f>+Tabla1103453454455456479455868778695108[[#This Row],[Coste Componente]]*Tabla1103453454455456479455868778695108[[#This Row],[Unidades]]</f>
        <v>494.29</v>
      </c>
      <c r="I15" s="4"/>
      <c r="J15" s="8" t="s">
        <v>19</v>
      </c>
      <c r="K15" s="25">
        <f>+K14/K9</f>
        <v>1.7163426741358834</v>
      </c>
      <c r="M15" s="346"/>
    </row>
    <row r="16" spans="2:13" x14ac:dyDescent="0.3">
      <c r="B16" s="24" t="s">
        <v>692</v>
      </c>
      <c r="C16" s="11" t="s">
        <v>67</v>
      </c>
      <c r="D16" s="12">
        <v>15</v>
      </c>
      <c r="E16" s="12">
        <v>0</v>
      </c>
      <c r="F16" s="12">
        <v>15</v>
      </c>
      <c r="G16" s="13">
        <f>+VLOOKUP(Tabla1103453454455456479455868778695108[[#This Row],[ArtÃ­culo]],Tabla34[#All],3,0)</f>
        <v>18.698499999999999</v>
      </c>
      <c r="H16" s="14">
        <f>+Tabla1103453454455456479455868778695108[[#This Row],[Coste Componente]]*Tabla1103453454455456479455868778695108[[#This Row],[Unidades]]</f>
        <v>280.47749999999996</v>
      </c>
      <c r="I16" s="4"/>
      <c r="J16" s="4"/>
      <c r="K16" s="31"/>
      <c r="M16" s="346"/>
    </row>
    <row r="17" spans="2:13" x14ac:dyDescent="0.3">
      <c r="B17" s="24" t="s">
        <v>41</v>
      </c>
      <c r="C17" s="11" t="s">
        <v>67</v>
      </c>
      <c r="D17" s="12">
        <v>20</v>
      </c>
      <c r="E17" s="12">
        <v>0</v>
      </c>
      <c r="F17" s="12">
        <v>20</v>
      </c>
      <c r="G17" s="13">
        <f>+VLOOKUP(Tabla1103453454455456479455868778695108[[#This Row],[ArtÃ­culo]],Tabla34[#All],3,0)</f>
        <v>13.969223339999999</v>
      </c>
      <c r="H17" s="14">
        <f>+Tabla1103453454455456479455868778695108[[#This Row],[Coste Componente]]*Tabla1103453454455456479455868778695108[[#This Row],[Unidades]]</f>
        <v>279.38446679999998</v>
      </c>
      <c r="I17" s="4"/>
      <c r="J17" s="4"/>
      <c r="K17" s="31"/>
    </row>
    <row r="18" spans="2:13" x14ac:dyDescent="0.3">
      <c r="B18" s="10" t="s">
        <v>281</v>
      </c>
      <c r="C18" s="11" t="s">
        <v>67</v>
      </c>
      <c r="D18" s="12">
        <v>10</v>
      </c>
      <c r="E18" s="12">
        <v>0</v>
      </c>
      <c r="F18" s="12">
        <v>10</v>
      </c>
      <c r="G18" s="13">
        <f>+VLOOKUP(Tabla1103453454455456479455868778695108[[#This Row],[ArtÃ­culo]],Tabla34[#All],3,0)</f>
        <v>25.61066254</v>
      </c>
      <c r="H18" s="14">
        <f>+Tabla1103453454455456479455868778695108[[#This Row],[Coste Componente]]*Tabla1103453454455456479455868778695108[[#This Row],[Unidades]]</f>
        <v>256.10662539999998</v>
      </c>
      <c r="I18" s="4"/>
      <c r="J18" s="4"/>
      <c r="K18" s="31"/>
    </row>
    <row r="19" spans="2:13" x14ac:dyDescent="0.3">
      <c r="B19" s="10" t="s">
        <v>828</v>
      </c>
      <c r="C19" s="11" t="s">
        <v>67</v>
      </c>
      <c r="D19" s="12">
        <v>15</v>
      </c>
      <c r="E19" s="12">
        <v>33</v>
      </c>
      <c r="F19" s="12">
        <v>22.388000000000002</v>
      </c>
      <c r="G19" s="13">
        <f>+VLOOKUP(Tabla1103453454455456479455868778695108[[#This Row],[ArtÃ­culo]],Tabla34[#All],3,0)</f>
        <v>9.8000000000000007</v>
      </c>
      <c r="H19" s="14">
        <f>+Tabla1103453454455456479455868778695108[[#This Row],[Coste Componente]]*Tabla1103453454455456479455868778695108[[#This Row],[Unidades]]</f>
        <v>219.40240000000003</v>
      </c>
      <c r="I19" s="4"/>
      <c r="J19" s="4"/>
      <c r="K19" s="31"/>
    </row>
    <row r="20" spans="2:13" x14ac:dyDescent="0.3">
      <c r="B20" s="10" t="s">
        <v>321</v>
      </c>
      <c r="C20" s="11" t="s">
        <v>67</v>
      </c>
      <c r="D20" s="12">
        <v>15</v>
      </c>
      <c r="E20" s="12">
        <v>0</v>
      </c>
      <c r="F20" s="12">
        <v>15</v>
      </c>
      <c r="G20" s="13">
        <f>+VLOOKUP(Tabla1103453454455456479455868778695108[[#This Row],[ArtÃ­culo]],Tabla34[#All],3,0)</f>
        <v>12</v>
      </c>
      <c r="H20" s="14">
        <f>+Tabla1103453454455456479455868778695108[[#This Row],[Coste Componente]]*Tabla1103453454455456479455868778695108[[#This Row],[Unidades]]</f>
        <v>180</v>
      </c>
      <c r="I20" s="4"/>
      <c r="J20" s="4"/>
      <c r="K20" s="26"/>
    </row>
    <row r="21" spans="2:13" x14ac:dyDescent="0.3">
      <c r="B21" s="24" t="s">
        <v>730</v>
      </c>
      <c r="C21" s="11" t="s">
        <v>67</v>
      </c>
      <c r="D21" s="12">
        <v>5</v>
      </c>
      <c r="E21" s="12">
        <v>40</v>
      </c>
      <c r="F21" s="12">
        <v>8.3330000000000002</v>
      </c>
      <c r="G21" s="13">
        <f>+VLOOKUP(Tabla1103453454455456479455868778695108[[#This Row],[ArtÃ­culo]],Tabla34[#All],3,0)</f>
        <v>12</v>
      </c>
      <c r="H21" s="14">
        <f>+Tabla1103453454455456479455868778695108[[#This Row],[Coste Componente]]*Tabla1103453454455456479455868778695108[[#This Row],[Unidades]]</f>
        <v>99.996000000000009</v>
      </c>
      <c r="I21" s="4"/>
      <c r="J21" s="4"/>
      <c r="K21" s="26"/>
    </row>
    <row r="22" spans="2:13" x14ac:dyDescent="0.3">
      <c r="B22" s="24" t="s">
        <v>687</v>
      </c>
      <c r="C22" s="11" t="s">
        <v>67</v>
      </c>
      <c r="D22" s="12">
        <v>20</v>
      </c>
      <c r="E22" s="12">
        <v>15</v>
      </c>
      <c r="F22" s="12">
        <v>23.529</v>
      </c>
      <c r="G22" s="13">
        <f>+VLOOKUP(Tabla1103453454455456479455868778695108[[#This Row],[ArtÃ­culo]],Tabla34[#All],3,0)</f>
        <v>2.8</v>
      </c>
      <c r="H22" s="14">
        <f>+Tabla1103453454455456479455868778695108[[#This Row],[Coste Componente]]*Tabla1103453454455456479455868778695108[[#This Row],[Unidades]]</f>
        <v>65.881199999999993</v>
      </c>
      <c r="I22" s="27"/>
      <c r="J22" s="4"/>
      <c r="K22" s="26"/>
    </row>
    <row r="23" spans="2:13" x14ac:dyDescent="0.3">
      <c r="B23" s="10" t="s">
        <v>187</v>
      </c>
      <c r="C23" s="11" t="s">
        <v>67</v>
      </c>
      <c r="D23" s="12">
        <v>10</v>
      </c>
      <c r="E23" s="12">
        <v>10</v>
      </c>
      <c r="F23" s="12">
        <v>11.111000000000001</v>
      </c>
      <c r="G23" s="13">
        <f>+VLOOKUP(Tabla1103453454455456479455868778695108[[#This Row],[ArtÃ­culo]],Tabla34[#All],3,0)</f>
        <v>4.7</v>
      </c>
      <c r="H23" s="14">
        <f>+Tabla1103453454455456479455868778695108[[#This Row],[Coste Componente]]*Tabla1103453454455456479455868778695108[[#This Row],[Unidades]]</f>
        <v>52.221700000000006</v>
      </c>
      <c r="J23" s="4"/>
      <c r="K23" s="26"/>
    </row>
    <row r="24" spans="2:13" x14ac:dyDescent="0.3">
      <c r="B24" s="10" t="s">
        <v>634</v>
      </c>
      <c r="C24" s="11" t="s">
        <v>67</v>
      </c>
      <c r="D24" s="12">
        <v>5</v>
      </c>
      <c r="E24" s="12">
        <v>0</v>
      </c>
      <c r="F24" s="12">
        <v>5</v>
      </c>
      <c r="G24" s="13">
        <f>+VLOOKUP(Tabla1103453454455456479455868778695108[[#This Row],[ArtÃ­culo]],Tabla34[#All],3,0)</f>
        <v>8.9250000000000007</v>
      </c>
      <c r="H24" s="14">
        <f>+Tabla1103453454455456479455868778695108[[#This Row],[Coste Componente]]*Tabla1103453454455456479455868778695108[[#This Row],[Unidades]]</f>
        <v>44.625</v>
      </c>
      <c r="J24" s="4"/>
      <c r="K24" s="26"/>
    </row>
    <row r="25" spans="2:13" x14ac:dyDescent="0.3">
      <c r="B25" s="10" t="s">
        <v>313</v>
      </c>
      <c r="C25" s="11" t="s">
        <v>67</v>
      </c>
      <c r="D25" s="12">
        <v>5</v>
      </c>
      <c r="E25" s="12">
        <v>0</v>
      </c>
      <c r="F25" s="12">
        <v>5</v>
      </c>
      <c r="G25" s="13">
        <f>+VLOOKUP(Tabla1103453454455456479455868778695108[[#This Row],[ArtÃ­culo]],Tabla34[#All],3,0)</f>
        <v>7.6838499999999996</v>
      </c>
      <c r="H25" s="14">
        <f>+Tabla1103453454455456479455868778695108[[#This Row],[Coste Componente]]*Tabla1103453454455456479455868778695108[[#This Row],[Unidades]]</f>
        <v>38.419249999999998</v>
      </c>
      <c r="I25" s="4"/>
      <c r="J25" s="4"/>
      <c r="K25" s="26"/>
    </row>
    <row r="26" spans="2:13" x14ac:dyDescent="0.3">
      <c r="B26" s="24" t="s">
        <v>687</v>
      </c>
      <c r="C26" s="11" t="s">
        <v>67</v>
      </c>
      <c r="D26" s="12">
        <v>10</v>
      </c>
      <c r="E26" s="12">
        <v>10</v>
      </c>
      <c r="F26" s="12">
        <v>11.111000000000001</v>
      </c>
      <c r="G26" s="13">
        <f>+VLOOKUP(Tabla1103453454455456479455868778695108[[#This Row],[ArtÃ­culo]],Tabla34[#All],3,0)</f>
        <v>2.8</v>
      </c>
      <c r="H26" s="14">
        <f>+Tabla1103453454455456479455868778695108[[#This Row],[Coste Componente]]*Tabla1103453454455456479455868778695108[[#This Row],[Unidades]]</f>
        <v>31.110800000000001</v>
      </c>
      <c r="I26" s="4"/>
      <c r="J26" s="4"/>
      <c r="K26" s="26"/>
    </row>
    <row r="27" spans="2:13" x14ac:dyDescent="0.3">
      <c r="B27" s="10" t="s">
        <v>89</v>
      </c>
      <c r="C27" s="11" t="s">
        <v>67</v>
      </c>
      <c r="D27" s="12">
        <v>5</v>
      </c>
      <c r="E27" s="12">
        <v>0</v>
      </c>
      <c r="F27" s="12">
        <v>5</v>
      </c>
      <c r="G27" s="13">
        <f>+VLOOKUP(Tabla1103453454455456479455868778695108[[#This Row],[ArtÃ­culo]],Tabla34[#All],3,0)</f>
        <v>2.4009999999999998</v>
      </c>
      <c r="H27" s="14">
        <f>+Tabla1103453454455456479455868778695108[[#This Row],[Coste Componente]]*Tabla1103453454455456479455868778695108[[#This Row],[Unidades]]</f>
        <v>12.004999999999999</v>
      </c>
      <c r="I27" s="4"/>
      <c r="J27" s="4"/>
      <c r="K27" s="26"/>
    </row>
    <row r="28" spans="2:13" x14ac:dyDescent="0.3">
      <c r="B28" s="16"/>
      <c r="C28" s="17"/>
      <c r="D28" s="17"/>
      <c r="E28" s="17"/>
      <c r="F28" s="17"/>
      <c r="G28" s="18"/>
      <c r="H28" s="18">
        <f>SUBTOTAL(109,Tabla1103453454455456479455868778695108[Coste LÃ­nea])</f>
        <v>23551.175844709996</v>
      </c>
    </row>
    <row r="29" spans="2:13" x14ac:dyDescent="0.3">
      <c r="B29" s="32"/>
      <c r="C29" s="33"/>
      <c r="D29" s="33"/>
      <c r="E29" s="33"/>
      <c r="F29" s="33"/>
      <c r="G29" s="34"/>
      <c r="H29" s="34"/>
    </row>
    <row r="30" spans="2:13" s="28" customFormat="1" x14ac:dyDescent="0.3">
      <c r="B30" s="1" t="s">
        <v>79</v>
      </c>
      <c r="C30" s="2"/>
      <c r="D30" s="2"/>
      <c r="E30" s="3"/>
      <c r="F30" s="3"/>
      <c r="G30" s="3"/>
      <c r="H30" s="3"/>
    </row>
    <row r="31" spans="2:13" ht="15.6" x14ac:dyDescent="0.3">
      <c r="B31" s="53" t="s">
        <v>857</v>
      </c>
      <c r="C31" s="54" t="s">
        <v>895</v>
      </c>
      <c r="D31" s="54" t="s">
        <v>892</v>
      </c>
      <c r="E31" s="54" t="s">
        <v>893</v>
      </c>
      <c r="F31" s="54" t="s">
        <v>894</v>
      </c>
      <c r="G31" s="55" t="s">
        <v>901</v>
      </c>
      <c r="H31" s="55" t="s">
        <v>902</v>
      </c>
      <c r="I31" s="4"/>
      <c r="J31" s="399" t="s">
        <v>0</v>
      </c>
      <c r="K31" s="399"/>
      <c r="M31" s="377" t="s">
        <v>1394</v>
      </c>
    </row>
    <row r="32" spans="2:13" x14ac:dyDescent="0.3">
      <c r="B32" s="10" t="s">
        <v>313</v>
      </c>
      <c r="C32" s="11" t="s">
        <v>67</v>
      </c>
      <c r="D32" s="12">
        <v>5</v>
      </c>
      <c r="E32" s="12">
        <v>0</v>
      </c>
      <c r="F32" s="12">
        <v>5</v>
      </c>
      <c r="G32" s="13">
        <f>+VLOOKUP(Tabla110345345445545647936465969788796109[[#This Row],[ArtÃ­culo]],Tabla34[#All],3,0)</f>
        <v>7.6838499999999996</v>
      </c>
      <c r="H32" s="14">
        <f>+Tabla110345345445545647936465969788796109[[#This Row],[Coste Componente]]*Tabla110345345445545647936465969788796109[[#This Row],[Unidades]]</f>
        <v>38.419249999999998</v>
      </c>
      <c r="I32" s="4"/>
      <c r="J32" s="8" t="s">
        <v>6</v>
      </c>
      <c r="K32" s="9">
        <f>SUM(Tabla110345345445545647936465969788796109[Coste LÃ­nea])</f>
        <v>14061.980123750001</v>
      </c>
      <c r="M32" s="346" t="s">
        <v>1649</v>
      </c>
    </row>
    <row r="33" spans="2:13" x14ac:dyDescent="0.3">
      <c r="B33" s="24" t="s">
        <v>828</v>
      </c>
      <c r="C33" s="11" t="s">
        <v>67</v>
      </c>
      <c r="D33" s="12">
        <v>10</v>
      </c>
      <c r="E33" s="12">
        <v>33</v>
      </c>
      <c r="F33" s="12">
        <v>14.925000000000001</v>
      </c>
      <c r="G33" s="13">
        <f>+VLOOKUP(Tabla110345345445545647936465969788796109[[#This Row],[ArtÃ­culo]],Tabla34[#All],3,0)</f>
        <v>9.8000000000000007</v>
      </c>
      <c r="H33" s="14">
        <f>+Tabla110345345445545647936465969788796109[[#This Row],[Coste Componente]]*Tabla110345345445545647936465969788796109[[#This Row],[Unidades]]</f>
        <v>146.26500000000001</v>
      </c>
      <c r="I33" s="4"/>
      <c r="J33" s="8" t="s">
        <v>12</v>
      </c>
      <c r="K33" s="15">
        <f>+K32*10%</f>
        <v>1406.1980123750002</v>
      </c>
      <c r="M33" s="346" t="s">
        <v>1650</v>
      </c>
    </row>
    <row r="34" spans="2:13" x14ac:dyDescent="0.3">
      <c r="B34" s="10" t="s">
        <v>833</v>
      </c>
      <c r="C34" s="11" t="s">
        <v>67</v>
      </c>
      <c r="D34" s="12">
        <v>1</v>
      </c>
      <c r="E34" s="12">
        <v>0</v>
      </c>
      <c r="F34" s="12">
        <v>1</v>
      </c>
      <c r="G34" s="13">
        <f>+VLOOKUP(Tabla110345345445545647936465969788796109[[#This Row],[ArtÃ­culo]],Tabla34[#All],3,0)</f>
        <v>307.5</v>
      </c>
      <c r="H34" s="14">
        <f>+Tabla110345345445545647936465969788796109[[#This Row],[Coste Componente]]*Tabla110345345445545647936465969788796109[[#This Row],[Unidades]]</f>
        <v>307.5</v>
      </c>
      <c r="I34" s="4"/>
      <c r="J34" s="8" t="s">
        <v>13</v>
      </c>
      <c r="K34" s="15">
        <f>+K32+K33</f>
        <v>15468.178136125001</v>
      </c>
      <c r="M34" s="346" t="s">
        <v>1651</v>
      </c>
    </row>
    <row r="35" spans="2:13" x14ac:dyDescent="0.3">
      <c r="B35" s="10" t="s">
        <v>837</v>
      </c>
      <c r="C35" s="11" t="s">
        <v>847</v>
      </c>
      <c r="D35" s="12">
        <v>7</v>
      </c>
      <c r="E35" s="12">
        <v>0</v>
      </c>
      <c r="F35" s="12">
        <v>7</v>
      </c>
      <c r="G35" s="13">
        <f>+VLOOKUP(Tabla110345345445545647936465969788796109[[#This Row],[ArtÃ­culo]],Tabla34[#All],3,0)</f>
        <v>514.28</v>
      </c>
      <c r="H35" s="14">
        <f>+Tabla110345345445545647936465969788796109[[#This Row],[Coste Componente]]*Tabla110345345445545647936465969788796109[[#This Row],[Unidades]]</f>
        <v>3599.96</v>
      </c>
      <c r="I35" s="4"/>
      <c r="J35" s="20" t="s">
        <v>14</v>
      </c>
      <c r="K35" s="21">
        <v>49000</v>
      </c>
      <c r="M35" s="346" t="s">
        <v>1652</v>
      </c>
    </row>
    <row r="36" spans="2:13" x14ac:dyDescent="0.3">
      <c r="B36" s="24" t="s">
        <v>730</v>
      </c>
      <c r="C36" s="11" t="s">
        <v>67</v>
      </c>
      <c r="D36" s="12">
        <v>3</v>
      </c>
      <c r="E36" s="12">
        <v>40</v>
      </c>
      <c r="F36" s="12">
        <v>5</v>
      </c>
      <c r="G36" s="13">
        <f>+VLOOKUP(Tabla110345345445545647936465969788796109[[#This Row],[ArtÃ­culo]],Tabla34[#All],3,0)</f>
        <v>12</v>
      </c>
      <c r="H36" s="14">
        <f>+Tabla110345345445545647936465969788796109[[#This Row],[Coste Componente]]*Tabla110345345445545647936465969788796109[[#This Row],[Unidades]]</f>
        <v>60</v>
      </c>
      <c r="I36" s="4"/>
      <c r="J36" s="8" t="s">
        <v>15</v>
      </c>
      <c r="K36" s="15">
        <f>+K35/1.08*0.08</f>
        <v>3629.6296296296291</v>
      </c>
      <c r="M36" s="346" t="s">
        <v>1653</v>
      </c>
    </row>
    <row r="37" spans="2:13" x14ac:dyDescent="0.3">
      <c r="B37" s="24" t="s">
        <v>106</v>
      </c>
      <c r="C37" s="11" t="s">
        <v>67</v>
      </c>
      <c r="D37" s="12">
        <v>100</v>
      </c>
      <c r="E37" s="12">
        <v>0</v>
      </c>
      <c r="F37" s="12">
        <v>100</v>
      </c>
      <c r="G37" s="13">
        <f>+VLOOKUP(Tabla110345345445545647936465969788796109[[#This Row],[ArtÃ­culo]],Tabla34[#All],3,0)</f>
        <v>19.804166670000001</v>
      </c>
      <c r="H37" s="14">
        <f>+Tabla110345345445545647936465969788796109[[#This Row],[Coste Componente]]*Tabla110345345445545647936465969788796109[[#This Row],[Unidades]]</f>
        <v>1980.416667</v>
      </c>
      <c r="I37" s="4"/>
      <c r="J37" s="8" t="s">
        <v>16</v>
      </c>
      <c r="K37" s="15">
        <f>+K35-K36</f>
        <v>45370.370370370372</v>
      </c>
      <c r="M37" s="346"/>
    </row>
    <row r="38" spans="2:13" x14ac:dyDescent="0.3">
      <c r="B38" s="24" t="s">
        <v>451</v>
      </c>
      <c r="C38" s="11" t="s">
        <v>67</v>
      </c>
      <c r="D38" s="12">
        <v>15</v>
      </c>
      <c r="E38" s="12">
        <v>0</v>
      </c>
      <c r="F38" s="12">
        <v>15</v>
      </c>
      <c r="G38" s="13">
        <f>+VLOOKUP(Tabla110345345445545647936465969788796109[[#This Row],[ArtÃ­culo]],Tabla34[#All],3,0)</f>
        <v>60.987499999999997</v>
      </c>
      <c r="H38" s="14">
        <f>+Tabla110345345445545647936465969788796109[[#This Row],[Coste Componente]]*Tabla110345345445545647936465969788796109[[#This Row],[Unidades]]</f>
        <v>914.8125</v>
      </c>
      <c r="I38" s="4"/>
      <c r="J38" s="8" t="s">
        <v>17</v>
      </c>
      <c r="K38" s="22">
        <f>+K34/K37</f>
        <v>0.34093127320438776</v>
      </c>
      <c r="M38" s="377" t="s">
        <v>1377</v>
      </c>
    </row>
    <row r="39" spans="2:13" x14ac:dyDescent="0.3">
      <c r="B39" s="24" t="s">
        <v>308</v>
      </c>
      <c r="C39" s="11" t="s">
        <v>67</v>
      </c>
      <c r="D39" s="12">
        <v>40</v>
      </c>
      <c r="E39" s="12">
        <v>0</v>
      </c>
      <c r="F39" s="12">
        <v>40</v>
      </c>
      <c r="G39" s="13">
        <f>+VLOOKUP(Tabla110345345445545647936465969788796109[[#This Row],[ArtÃ­culo]],Tabla34[#All],3,0)</f>
        <v>24.115200000000002</v>
      </c>
      <c r="H39" s="14">
        <f>+Tabla110345345445545647936465969788796109[[#This Row],[Coste Componente]]*Tabla110345345445545647936465969788796109[[#This Row],[Unidades]]</f>
        <v>964.60800000000006</v>
      </c>
      <c r="I39" s="27"/>
      <c r="J39" s="8" t="s">
        <v>18</v>
      </c>
      <c r="K39" s="23">
        <f>+K37-K34</f>
        <v>29902.192234245369</v>
      </c>
      <c r="M39" s="346" t="s">
        <v>1654</v>
      </c>
    </row>
    <row r="40" spans="2:13" x14ac:dyDescent="0.3">
      <c r="B40" s="10" t="s">
        <v>89</v>
      </c>
      <c r="C40" s="11" t="s">
        <v>67</v>
      </c>
      <c r="D40" s="12">
        <v>2</v>
      </c>
      <c r="E40" s="12">
        <v>0</v>
      </c>
      <c r="F40" s="12">
        <v>2</v>
      </c>
      <c r="G40" s="13">
        <f>+VLOOKUP(Tabla110345345445545647936465969788796109[[#This Row],[ArtÃ­culo]],Tabla34[#All],3,0)</f>
        <v>2.4009999999999998</v>
      </c>
      <c r="H40" s="14">
        <f>+Tabla110345345445545647936465969788796109[[#This Row],[Coste Componente]]*Tabla110345345445545647936465969788796109[[#This Row],[Unidades]]</f>
        <v>4.8019999999999996</v>
      </c>
      <c r="J40" s="8" t="s">
        <v>19</v>
      </c>
      <c r="K40" s="25">
        <f>+K39/K34</f>
        <v>1.933142479424296</v>
      </c>
      <c r="M40" s="346" t="s">
        <v>1655</v>
      </c>
    </row>
    <row r="41" spans="2:13" x14ac:dyDescent="0.3">
      <c r="B41" s="24" t="s">
        <v>634</v>
      </c>
      <c r="C41" s="11" t="s">
        <v>67</v>
      </c>
      <c r="D41" s="12">
        <v>5</v>
      </c>
      <c r="E41" s="12">
        <v>0</v>
      </c>
      <c r="F41" s="12">
        <v>5</v>
      </c>
      <c r="G41" s="13">
        <f>+VLOOKUP(Tabla110345345445545647936465969788796109[[#This Row],[ArtÃ­culo]],Tabla34[#All],3,0)</f>
        <v>8.9250000000000007</v>
      </c>
      <c r="H41" s="14">
        <f>+Tabla110345345445545647936465969788796109[[#This Row],[Coste Componente]]*Tabla110345345445545647936465969788796109[[#This Row],[Unidades]]</f>
        <v>44.625</v>
      </c>
      <c r="J41" s="4"/>
      <c r="K41" s="31"/>
      <c r="M41" s="346" t="s">
        <v>1656</v>
      </c>
    </row>
    <row r="42" spans="2:13" x14ac:dyDescent="0.3">
      <c r="B42" s="10" t="s">
        <v>55</v>
      </c>
      <c r="C42" s="11" t="s">
        <v>847</v>
      </c>
      <c r="D42" s="12">
        <v>1</v>
      </c>
      <c r="E42" s="12">
        <v>0</v>
      </c>
      <c r="F42" s="12">
        <v>1</v>
      </c>
      <c r="G42" s="13">
        <f>+VLOOKUP(Tabla110345345445545647936465969788796109[[#This Row],[ArtÃ­culo]],Tabla34[#All],3,0)</f>
        <v>4964</v>
      </c>
      <c r="H42" s="14">
        <f>+Tabla110345345445545647936465969788796109[[#This Row],[Coste Componente]]*Tabla110345345445545647936465969788796109[[#This Row],[Unidades]]</f>
        <v>4964</v>
      </c>
      <c r="J42" s="4"/>
      <c r="K42" s="31"/>
      <c r="M42" s="346"/>
    </row>
    <row r="43" spans="2:13" x14ac:dyDescent="0.3">
      <c r="B43" s="10" t="s">
        <v>37</v>
      </c>
      <c r="C43" s="11" t="s">
        <v>67</v>
      </c>
      <c r="D43" s="12">
        <v>5</v>
      </c>
      <c r="E43" s="12">
        <v>0</v>
      </c>
      <c r="F43" s="12">
        <v>5</v>
      </c>
      <c r="G43" s="13">
        <f>+VLOOKUP(Tabla110345345445545647936465969788796109[[#This Row],[ArtÃ­culo]],Tabla34[#All],3,0)</f>
        <v>14.25783539</v>
      </c>
      <c r="H43" s="14">
        <f>+Tabla110345345445545647936465969788796109[[#This Row],[Coste Componente]]*Tabla110345345445545647936465969788796109[[#This Row],[Unidades]]</f>
        <v>71.289176949999998</v>
      </c>
      <c r="J43" s="4"/>
      <c r="K43" s="31"/>
    </row>
    <row r="44" spans="2:13" x14ac:dyDescent="0.3">
      <c r="B44" s="24" t="s">
        <v>141</v>
      </c>
      <c r="C44" s="11" t="s">
        <v>67</v>
      </c>
      <c r="D44" s="12">
        <v>20</v>
      </c>
      <c r="E44" s="12">
        <v>0</v>
      </c>
      <c r="F44" s="12">
        <v>20</v>
      </c>
      <c r="G44" s="13">
        <f>+VLOOKUP(Tabla110345345445545647936465969788796109[[#This Row],[ArtÃ­culo]],Tabla34[#All],3,0)</f>
        <v>18.392951490000002</v>
      </c>
      <c r="H44" s="14">
        <f>+Tabla110345345445545647936465969788796109[[#This Row],[Coste Componente]]*Tabla110345345445545647936465969788796109[[#This Row],[Unidades]]</f>
        <v>367.85902980000003</v>
      </c>
      <c r="J44" s="4"/>
      <c r="K44" s="31"/>
    </row>
    <row r="45" spans="2:13" x14ac:dyDescent="0.3">
      <c r="B45" s="24" t="s">
        <v>229</v>
      </c>
      <c r="C45" s="11" t="s">
        <v>67</v>
      </c>
      <c r="D45" s="12">
        <v>10</v>
      </c>
      <c r="E45" s="12">
        <v>0</v>
      </c>
      <c r="F45" s="12">
        <v>10</v>
      </c>
      <c r="G45" s="13">
        <f>+VLOOKUP(Tabla110345345445545647936465969788796109[[#This Row],[ArtÃ­culo]],Tabla34[#All],3,0)</f>
        <v>24.714500000000001</v>
      </c>
      <c r="H45" s="14">
        <f>+Tabla110345345445545647936465969788796109[[#This Row],[Coste Componente]]*Tabla110345345445545647936465969788796109[[#This Row],[Unidades]]</f>
        <v>247.14500000000001</v>
      </c>
      <c r="J45" s="4"/>
      <c r="K45" s="31"/>
    </row>
    <row r="46" spans="2:13" x14ac:dyDescent="0.3">
      <c r="B46" s="24" t="s">
        <v>646</v>
      </c>
      <c r="C46" s="11" t="s">
        <v>67</v>
      </c>
      <c r="D46" s="12">
        <v>10</v>
      </c>
      <c r="E46" s="12">
        <v>0</v>
      </c>
      <c r="F46" s="12">
        <v>10</v>
      </c>
      <c r="G46" s="13">
        <f>+VLOOKUP(Tabla110345345445545647936465969788796109[[#This Row],[ArtÃ­culo]],Tabla34[#All],3,0)</f>
        <v>22.5276</v>
      </c>
      <c r="H46" s="14">
        <f>+Tabla110345345445545647936465969788796109[[#This Row],[Coste Componente]]*Tabla110345345445545647936465969788796109[[#This Row],[Unidades]]</f>
        <v>225.27600000000001</v>
      </c>
      <c r="J46" s="4"/>
      <c r="K46" s="31"/>
    </row>
    <row r="47" spans="2:13" x14ac:dyDescent="0.3">
      <c r="B47" s="10" t="s">
        <v>687</v>
      </c>
      <c r="C47" s="11" t="s">
        <v>67</v>
      </c>
      <c r="D47" s="12">
        <v>15</v>
      </c>
      <c r="E47" s="12">
        <v>10</v>
      </c>
      <c r="F47" s="12">
        <v>16.667000000000002</v>
      </c>
      <c r="G47" s="13">
        <f>+VLOOKUP(Tabla110345345445545647936465969788796109[[#This Row],[ArtÃ­culo]],Tabla34[#All],3,0)</f>
        <v>2.8</v>
      </c>
      <c r="H47" s="14">
        <f>+Tabla110345345445545647936465969788796109[[#This Row],[Coste Componente]]*Tabla110345345445545647936465969788796109[[#This Row],[Unidades]]</f>
        <v>46.6676</v>
      </c>
      <c r="J47" s="4"/>
      <c r="K47" s="31"/>
    </row>
    <row r="48" spans="2:13" x14ac:dyDescent="0.3">
      <c r="B48" s="10" t="s">
        <v>187</v>
      </c>
      <c r="C48" s="11" t="s">
        <v>67</v>
      </c>
      <c r="D48" s="12">
        <v>15</v>
      </c>
      <c r="E48" s="12">
        <v>10</v>
      </c>
      <c r="F48" s="12">
        <v>16.667000000000002</v>
      </c>
      <c r="G48" s="13">
        <f>+VLOOKUP(Tabla110345345445545647936465969788796109[[#This Row],[ArtÃ­culo]],Tabla34[#All],3,0)</f>
        <v>4.7</v>
      </c>
      <c r="H48" s="14">
        <f>+Tabla110345345445545647936465969788796109[[#This Row],[Coste Componente]]*Tabla110345345445545647936465969788796109[[#This Row],[Unidades]]</f>
        <v>78.334900000000005</v>
      </c>
      <c r="J48" s="4"/>
      <c r="K48" s="31"/>
    </row>
    <row r="49" spans="2:13" x14ac:dyDescent="0.3">
      <c r="B49" s="16"/>
      <c r="C49" s="17"/>
      <c r="D49" s="17"/>
      <c r="E49" s="17"/>
      <c r="F49" s="17"/>
      <c r="G49" s="18"/>
      <c r="H49" s="18">
        <f>SUBTOTAL(109,Tabla110345345445545647936465969788796109[Coste LÃ­nea])</f>
        <v>14061.980123750001</v>
      </c>
      <c r="I49" s="4"/>
      <c r="J49" s="27"/>
      <c r="K49" s="27"/>
    </row>
    <row r="50" spans="2:13" x14ac:dyDescent="0.3">
      <c r="G50" s="4"/>
    </row>
    <row r="51" spans="2:13" x14ac:dyDescent="0.3">
      <c r="B51" s="1" t="s">
        <v>80</v>
      </c>
      <c r="C51" s="2"/>
      <c r="D51" s="2"/>
      <c r="E51" s="3"/>
      <c r="F51" s="3"/>
      <c r="G51" s="3"/>
      <c r="H51" s="3"/>
    </row>
    <row r="52" spans="2:13" ht="15.6" x14ac:dyDescent="0.3">
      <c r="B52" s="53" t="s">
        <v>857</v>
      </c>
      <c r="C52" s="54" t="s">
        <v>895</v>
      </c>
      <c r="D52" s="54" t="s">
        <v>892</v>
      </c>
      <c r="E52" s="54" t="s">
        <v>893</v>
      </c>
      <c r="F52" s="54" t="s">
        <v>894</v>
      </c>
      <c r="G52" s="55" t="s">
        <v>901</v>
      </c>
      <c r="H52" s="55" t="s">
        <v>902</v>
      </c>
      <c r="I52" s="4"/>
      <c r="J52" s="399" t="s">
        <v>0</v>
      </c>
      <c r="K52" s="399"/>
      <c r="M52" s="377" t="s">
        <v>1394</v>
      </c>
    </row>
    <row r="53" spans="2:13" x14ac:dyDescent="0.3">
      <c r="B53" s="24" t="s">
        <v>917</v>
      </c>
      <c r="C53" s="11" t="s">
        <v>847</v>
      </c>
      <c r="D53" s="12">
        <v>0.5</v>
      </c>
      <c r="E53" s="12">
        <v>0</v>
      </c>
      <c r="F53" s="12">
        <v>0.5</v>
      </c>
      <c r="G53" s="13">
        <f>+VLOOKUP(Tabla11034534544554564793637476070798897110[[#This Row],[ArtÃ­culo]],Tabla34[#All],3,0)</f>
        <v>11140.90909091</v>
      </c>
      <c r="H53" s="14">
        <f>+Tabla11034534544554564793637476070798897110[[#This Row],[Coste Componente]]*Tabla11034534544554564793637476070798897110[[#This Row],[Unidades]]</f>
        <v>5570.4545454549998</v>
      </c>
      <c r="I53" s="4"/>
      <c r="J53" s="8" t="s">
        <v>6</v>
      </c>
      <c r="K53" s="9">
        <f>SUM(Tabla11034534544554564793637476070798897110[Coste LÃ­nea])</f>
        <v>17229.821387944994</v>
      </c>
      <c r="M53" s="346" t="s">
        <v>1657</v>
      </c>
    </row>
    <row r="54" spans="2:13" x14ac:dyDescent="0.3">
      <c r="B54" s="24" t="s">
        <v>837</v>
      </c>
      <c r="C54" s="11" t="s">
        <v>847</v>
      </c>
      <c r="D54" s="12">
        <v>7</v>
      </c>
      <c r="E54" s="12">
        <v>0</v>
      </c>
      <c r="F54" s="12">
        <v>7</v>
      </c>
      <c r="G54" s="13">
        <f>+VLOOKUP(Tabla11034534544554564793637476070798897110[[#This Row],[ArtÃ­culo]],Tabla34[#All],3,0)</f>
        <v>514.28</v>
      </c>
      <c r="H54" s="14">
        <f>+Tabla11034534544554564793637476070798897110[[#This Row],[Coste Componente]]*Tabla11034534544554564793637476070798897110[[#This Row],[Unidades]]</f>
        <v>3599.96</v>
      </c>
      <c r="I54" s="4"/>
      <c r="J54" s="8" t="s">
        <v>12</v>
      </c>
      <c r="K54" s="15">
        <f>+K53*10%</f>
        <v>1722.9821387944994</v>
      </c>
      <c r="M54" s="346" t="s">
        <v>1658</v>
      </c>
    </row>
    <row r="55" spans="2:13" x14ac:dyDescent="0.3">
      <c r="B55" s="10" t="s">
        <v>451</v>
      </c>
      <c r="C55" s="11" t="s">
        <v>67</v>
      </c>
      <c r="D55" s="12">
        <v>30</v>
      </c>
      <c r="E55" s="12">
        <v>0</v>
      </c>
      <c r="F55" s="12">
        <v>30</v>
      </c>
      <c r="G55" s="13">
        <f>+VLOOKUP(Tabla11034534544554564793637476070798897110[[#This Row],[ArtÃ­culo]],Tabla34[#All],3,0)</f>
        <v>60.987499999999997</v>
      </c>
      <c r="H55" s="14">
        <f>+Tabla11034534544554564793637476070798897110[[#This Row],[Coste Componente]]*Tabla11034534544554564793637476070798897110[[#This Row],[Unidades]]</f>
        <v>1829.625</v>
      </c>
      <c r="I55" s="4"/>
      <c r="J55" s="8" t="s">
        <v>13</v>
      </c>
      <c r="K55" s="15">
        <f>+K53+K54</f>
        <v>18952.803526739495</v>
      </c>
      <c r="M55" s="346" t="s">
        <v>1659</v>
      </c>
    </row>
    <row r="56" spans="2:13" x14ac:dyDescent="0.3">
      <c r="B56" s="10" t="s">
        <v>106</v>
      </c>
      <c r="C56" s="11" t="s">
        <v>67</v>
      </c>
      <c r="D56" s="12">
        <v>100</v>
      </c>
      <c r="E56" s="12">
        <v>0</v>
      </c>
      <c r="F56" s="12">
        <v>100</v>
      </c>
      <c r="G56" s="13">
        <f>+VLOOKUP(Tabla11034534544554564793637476070798897110[[#This Row],[ArtÃ­culo]],Tabla34[#All],3,0)</f>
        <v>19.804166670000001</v>
      </c>
      <c r="H56" s="14">
        <f>+Tabla11034534544554564793637476070798897110[[#This Row],[Coste Componente]]*Tabla11034534544554564793637476070798897110[[#This Row],[Unidades]]</f>
        <v>1980.416667</v>
      </c>
      <c r="I56" s="4"/>
      <c r="J56" s="20" t="s">
        <v>14</v>
      </c>
      <c r="K56" s="21">
        <v>62000</v>
      </c>
      <c r="M56" s="346" t="s">
        <v>1660</v>
      </c>
    </row>
    <row r="57" spans="2:13" x14ac:dyDescent="0.3">
      <c r="B57" s="24" t="s">
        <v>633</v>
      </c>
      <c r="C57" s="11" t="s">
        <v>67</v>
      </c>
      <c r="D57" s="12">
        <v>29.999999649999999</v>
      </c>
      <c r="E57" s="12">
        <v>5</v>
      </c>
      <c r="F57" s="12">
        <v>31.578946999999999</v>
      </c>
      <c r="G57" s="13">
        <f>+VLOOKUP(Tabla11034534544554564793637476070798897110[[#This Row],[ArtÃ­culo]],Tabla34[#All],3,0)</f>
        <v>27</v>
      </c>
      <c r="H57" s="14">
        <f>+Tabla11034534544554564793637476070798897110[[#This Row],[Coste Componente]]*Tabla11034534544554564793637476070798897110[[#This Row],[Unidades]]</f>
        <v>852.63156900000001</v>
      </c>
      <c r="I57" s="4"/>
      <c r="J57" s="8" t="s">
        <v>15</v>
      </c>
      <c r="K57" s="15">
        <f>+K56/1.08*0.08</f>
        <v>4592.5925925925922</v>
      </c>
    </row>
    <row r="58" spans="2:13" x14ac:dyDescent="0.3">
      <c r="B58" s="10" t="s">
        <v>716</v>
      </c>
      <c r="C58" s="11" t="s">
        <v>847</v>
      </c>
      <c r="D58" s="12">
        <v>1</v>
      </c>
      <c r="E58" s="12">
        <v>0</v>
      </c>
      <c r="F58" s="12">
        <v>1</v>
      </c>
      <c r="G58" s="13">
        <f>+VLOOKUP(Tabla11034534544554564793637476070798897110[[#This Row],[ArtÃ­culo]],Tabla34[#All],3,0)</f>
        <v>809.99</v>
      </c>
      <c r="H58" s="14">
        <f>+Tabla11034534544554564793637476070798897110[[#This Row],[Coste Componente]]*Tabla11034534544554564793637476070798897110[[#This Row],[Unidades]]</f>
        <v>809.99</v>
      </c>
      <c r="I58" s="4"/>
      <c r="J58" s="8" t="s">
        <v>16</v>
      </c>
      <c r="K58" s="15">
        <f>+K56-K57</f>
        <v>57407.407407407409</v>
      </c>
      <c r="M58" s="377" t="s">
        <v>1377</v>
      </c>
    </row>
    <row r="59" spans="2:13" x14ac:dyDescent="0.3">
      <c r="B59" s="10" t="s">
        <v>708</v>
      </c>
      <c r="C59" s="11" t="s">
        <v>67</v>
      </c>
      <c r="D59" s="12">
        <v>29.999999649999999</v>
      </c>
      <c r="E59" s="12">
        <v>5</v>
      </c>
      <c r="F59" s="12">
        <v>31.578946999999999</v>
      </c>
      <c r="G59" s="13">
        <f>+VLOOKUP(Tabla11034534544554564793637476070798897110[[#This Row],[ArtÃ­culo]],Tabla34[#All],3,0)</f>
        <v>11</v>
      </c>
      <c r="H59" s="14">
        <f>+Tabla11034534544554564793637476070798897110[[#This Row],[Coste Componente]]*Tabla11034534544554564793637476070798897110[[#This Row],[Unidades]]</f>
        <v>347.36841700000002</v>
      </c>
      <c r="I59" s="4"/>
      <c r="J59" s="8" t="s">
        <v>17</v>
      </c>
      <c r="K59" s="22">
        <f>+K55/K58</f>
        <v>0.33014560982062346</v>
      </c>
      <c r="M59" s="346" t="s">
        <v>1661</v>
      </c>
    </row>
    <row r="60" spans="2:13" x14ac:dyDescent="0.3">
      <c r="B60" s="10" t="s">
        <v>728</v>
      </c>
      <c r="C60" s="11" t="s">
        <v>67</v>
      </c>
      <c r="D60" s="12">
        <v>29.999999299999999</v>
      </c>
      <c r="E60" s="12">
        <v>59</v>
      </c>
      <c r="F60" s="12">
        <v>73.170730000000006</v>
      </c>
      <c r="G60" s="13">
        <f>+VLOOKUP(Tabla11034534544554564793637476070798897110[[#This Row],[ArtÃ­culo]],Tabla34[#All],3,0)</f>
        <v>4.5</v>
      </c>
      <c r="H60" s="14">
        <f>+Tabla11034534544554564793637476070798897110[[#This Row],[Coste Componente]]*Tabla11034534544554564793637476070798897110[[#This Row],[Unidades]]</f>
        <v>329.26828500000005</v>
      </c>
      <c r="I60" s="4"/>
      <c r="J60" s="8" t="s">
        <v>18</v>
      </c>
      <c r="K60" s="23">
        <f>+K58-K55</f>
        <v>38454.603880667913</v>
      </c>
      <c r="M60" s="346" t="s">
        <v>1662</v>
      </c>
    </row>
    <row r="61" spans="2:13" x14ac:dyDescent="0.3">
      <c r="B61" s="24" t="s">
        <v>828</v>
      </c>
      <c r="C61" s="11" t="s">
        <v>67</v>
      </c>
      <c r="D61" s="12">
        <v>19.999999819999999</v>
      </c>
      <c r="E61" s="12">
        <v>33</v>
      </c>
      <c r="F61" s="12">
        <v>29.850746000000001</v>
      </c>
      <c r="G61" s="13">
        <f>+VLOOKUP(Tabla11034534544554564793637476070798897110[[#This Row],[ArtÃ­culo]],Tabla34[#All],3,0)</f>
        <v>9.8000000000000007</v>
      </c>
      <c r="H61" s="14">
        <f>+Tabla11034534544554564793637476070798897110[[#This Row],[Coste Componente]]*Tabla11034534544554564793637476070798897110[[#This Row],[Unidades]]</f>
        <v>292.53731080000006</v>
      </c>
      <c r="I61" s="27"/>
      <c r="J61" s="8" t="s">
        <v>19</v>
      </c>
      <c r="K61" s="25">
        <f>+K60/K55</f>
        <v>2.0289665234177292</v>
      </c>
    </row>
    <row r="62" spans="2:13" x14ac:dyDescent="0.3">
      <c r="B62" s="10" t="s">
        <v>281</v>
      </c>
      <c r="C62" s="11" t="s">
        <v>67</v>
      </c>
      <c r="D62" s="12">
        <v>10</v>
      </c>
      <c r="E62" s="12">
        <v>0</v>
      </c>
      <c r="F62" s="12">
        <v>10</v>
      </c>
      <c r="G62" s="13">
        <f>+VLOOKUP(Tabla11034534544554564793637476070798897110[[#This Row],[ArtÃ­culo]],Tabla34[#All],3,0)</f>
        <v>25.61066254</v>
      </c>
      <c r="H62" s="14">
        <f>+Tabla11034534544554564793637476070798897110[[#This Row],[Coste Componente]]*Tabla11034534544554564793637476070798897110[[#This Row],[Unidades]]</f>
        <v>256.10662539999998</v>
      </c>
      <c r="I62" s="27"/>
      <c r="J62" s="4"/>
      <c r="K62" s="31"/>
    </row>
    <row r="63" spans="2:13" x14ac:dyDescent="0.3">
      <c r="B63" s="24" t="s">
        <v>149</v>
      </c>
      <c r="C63" s="11" t="s">
        <v>847</v>
      </c>
      <c r="D63" s="12">
        <v>1</v>
      </c>
      <c r="E63" s="12">
        <v>0</v>
      </c>
      <c r="F63" s="12">
        <v>1</v>
      </c>
      <c r="G63" s="13">
        <f>+VLOOKUP(Tabla11034534544554564793637476070798897110[[#This Row],[ArtÃ­culo]],Tabla34[#All],3,0)</f>
        <v>1109.8487711299999</v>
      </c>
      <c r="H63" s="14">
        <f>+Tabla11034534544554564793637476070798897110[[#This Row],[Coste Componente]]*Tabla11034534544554564793637476070798897110[[#This Row],[Unidades]]</f>
        <v>1109.8487711299999</v>
      </c>
      <c r="I63" s="27"/>
      <c r="J63" s="4"/>
      <c r="K63" s="31"/>
    </row>
    <row r="64" spans="2:13" x14ac:dyDescent="0.3">
      <c r="B64" s="24" t="s">
        <v>646</v>
      </c>
      <c r="C64" s="11" t="s">
        <v>67</v>
      </c>
      <c r="D64" s="12">
        <v>5</v>
      </c>
      <c r="E64" s="12">
        <v>0</v>
      </c>
      <c r="F64" s="12">
        <v>5</v>
      </c>
      <c r="G64" s="13">
        <f>+VLOOKUP(Tabla11034534544554564793637476070798897110[[#This Row],[ArtÃ­culo]],Tabla34[#All],3,0)</f>
        <v>22.5276</v>
      </c>
      <c r="H64" s="14">
        <f>+Tabla11034534544554564793637476070798897110[[#This Row],[Coste Componente]]*Tabla11034534544554564793637476070798897110[[#This Row],[Unidades]]</f>
        <v>112.63800000000001</v>
      </c>
      <c r="I64" s="27"/>
      <c r="J64" s="4"/>
      <c r="K64" s="31"/>
    </row>
    <row r="65" spans="2:13" x14ac:dyDescent="0.3">
      <c r="B65" s="24" t="s">
        <v>37</v>
      </c>
      <c r="C65" s="11" t="s">
        <v>67</v>
      </c>
      <c r="D65" s="12">
        <v>4</v>
      </c>
      <c r="E65" s="12">
        <v>0</v>
      </c>
      <c r="F65" s="12">
        <v>4</v>
      </c>
      <c r="G65" s="13">
        <f>+VLOOKUP(Tabla11034534544554564793637476070798897110[[#This Row],[ArtÃ­culo]],Tabla34[#All],3,0)</f>
        <v>14.25783539</v>
      </c>
      <c r="H65" s="14">
        <f>+Tabla11034534544554564793637476070798897110[[#This Row],[Coste Componente]]*Tabla11034534544554564793637476070798897110[[#This Row],[Unidades]]</f>
        <v>57.031341560000001</v>
      </c>
      <c r="I65" s="27"/>
      <c r="J65" s="4"/>
      <c r="K65" s="31"/>
    </row>
    <row r="66" spans="2:13" x14ac:dyDescent="0.3">
      <c r="B66" s="10" t="s">
        <v>754</v>
      </c>
      <c r="C66" s="11" t="s">
        <v>67</v>
      </c>
      <c r="D66" s="12">
        <v>19.999999599999999</v>
      </c>
      <c r="E66" s="12">
        <v>30</v>
      </c>
      <c r="F66" s="12">
        <v>28.571428000000001</v>
      </c>
      <c r="G66" s="13">
        <f>+VLOOKUP(Tabla11034534544554564793637476070798897110[[#This Row],[ArtÃ­culo]],Tabla34[#All],3,0)</f>
        <v>2.7</v>
      </c>
      <c r="H66" s="14">
        <f>+Tabla11034534544554564793637476070798897110[[#This Row],[Coste Componente]]*Tabla11034534544554564793637476070798897110[[#This Row],[Unidades]]</f>
        <v>77.142855600000004</v>
      </c>
      <c r="I66" s="27"/>
      <c r="J66" s="4"/>
      <c r="K66" s="31"/>
    </row>
    <row r="67" spans="2:13" x14ac:dyDescent="0.3">
      <c r="B67" s="24" t="s">
        <v>89</v>
      </c>
      <c r="C67" s="11" t="s">
        <v>67</v>
      </c>
      <c r="D67" s="12">
        <v>2</v>
      </c>
      <c r="E67" s="12">
        <v>0</v>
      </c>
      <c r="F67" s="12">
        <v>2</v>
      </c>
      <c r="G67" s="13">
        <f>+VLOOKUP(Tabla11034534544554564793637476070798897110[[#This Row],[ArtÃ­culo]],Tabla34[#All],3,0)</f>
        <v>2.4009999999999998</v>
      </c>
      <c r="H67" s="14">
        <f>+Tabla11034534544554564793637476070798897110[[#This Row],[Coste Componente]]*Tabla11034534544554564793637476070798897110[[#This Row],[Unidades]]</f>
        <v>4.8019999999999996</v>
      </c>
      <c r="I67" s="27"/>
      <c r="J67" s="4"/>
      <c r="K67" s="31"/>
    </row>
    <row r="68" spans="2:13" x14ac:dyDescent="0.3">
      <c r="B68" s="16"/>
      <c r="C68" s="17"/>
      <c r="D68" s="17"/>
      <c r="E68" s="17"/>
      <c r="F68" s="17"/>
      <c r="G68" s="18"/>
      <c r="H68" s="18">
        <f>SUBTOTAL(109,Tabla11034534544554564793637476070798897110[Coste LÃ­nea])</f>
        <v>17229.821387944994</v>
      </c>
      <c r="J68" s="4"/>
      <c r="K68" s="31"/>
    </row>
    <row r="69" spans="2:13" x14ac:dyDescent="0.3">
      <c r="G69" s="4"/>
      <c r="I69" s="4"/>
      <c r="J69" s="27"/>
      <c r="K69" s="27"/>
    </row>
    <row r="70" spans="2:13" x14ac:dyDescent="0.3">
      <c r="B70" s="1" t="s">
        <v>81</v>
      </c>
      <c r="C70" s="2"/>
      <c r="D70" s="2"/>
      <c r="E70" s="3"/>
      <c r="F70" s="3"/>
      <c r="G70" s="3"/>
      <c r="H70" s="3"/>
    </row>
    <row r="71" spans="2:13" ht="15.6" x14ac:dyDescent="0.3">
      <c r="B71" s="53" t="s">
        <v>857</v>
      </c>
      <c r="C71" s="54" t="s">
        <v>895</v>
      </c>
      <c r="D71" s="54" t="s">
        <v>892</v>
      </c>
      <c r="E71" s="54" t="s">
        <v>893</v>
      </c>
      <c r="F71" s="54" t="s">
        <v>894</v>
      </c>
      <c r="G71" s="55" t="s">
        <v>901</v>
      </c>
      <c r="H71" s="55" t="s">
        <v>902</v>
      </c>
      <c r="I71" s="4"/>
      <c r="J71" s="399" t="s">
        <v>0</v>
      </c>
      <c r="K71" s="399"/>
      <c r="M71" s="377" t="s">
        <v>1394</v>
      </c>
    </row>
    <row r="72" spans="2:13" x14ac:dyDescent="0.3">
      <c r="B72" s="10" t="s">
        <v>917</v>
      </c>
      <c r="C72" s="11" t="s">
        <v>847</v>
      </c>
      <c r="D72" s="12">
        <v>1</v>
      </c>
      <c r="E72" s="12">
        <v>0</v>
      </c>
      <c r="F72" s="12">
        <v>1</v>
      </c>
      <c r="G72" s="13">
        <f>+VLOOKUP(Tabla11034534544554564793638486171808998111[[#This Row],[ArtÃ­culo]],Tabla34[#All],3,0)</f>
        <v>11140.90909091</v>
      </c>
      <c r="H72" s="14">
        <f>+Tabla11034534544554564793638486171808998111[[#This Row],[Coste Componente]]*Tabla11034534544554564793638486171808998111[[#This Row],[Unidades]]</f>
        <v>11140.90909091</v>
      </c>
      <c r="I72" s="4"/>
      <c r="J72" s="8" t="s">
        <v>6</v>
      </c>
      <c r="K72" s="9">
        <f>SUM(Tabla11034534544554564793638486171808998111[Coste LÃ­nea])</f>
        <v>21788.535391810001</v>
      </c>
      <c r="M72" s="346" t="s">
        <v>1645</v>
      </c>
    </row>
    <row r="73" spans="2:13" x14ac:dyDescent="0.3">
      <c r="B73" s="10" t="s">
        <v>137</v>
      </c>
      <c r="C73" s="11" t="s">
        <v>67</v>
      </c>
      <c r="D73" s="12">
        <v>150</v>
      </c>
      <c r="E73" s="12">
        <v>0</v>
      </c>
      <c r="F73" s="12">
        <v>150</v>
      </c>
      <c r="G73" s="13">
        <f>+VLOOKUP(Tabla11034534544554564793638486171808998111[[#This Row],[ArtÃ­culo]],Tabla34[#All],3,0)</f>
        <v>16.730960419999999</v>
      </c>
      <c r="H73" s="14">
        <f>+Tabla11034534544554564793638486171808998111[[#This Row],[Coste Componente]]*Tabla11034534544554564793638486171808998111[[#This Row],[Unidades]]</f>
        <v>2509.6440629999997</v>
      </c>
      <c r="I73" s="4"/>
      <c r="J73" s="8" t="s">
        <v>12</v>
      </c>
      <c r="K73" s="15">
        <f>+K72*10%</f>
        <v>2178.8535391810001</v>
      </c>
      <c r="M73" s="346" t="s">
        <v>1646</v>
      </c>
    </row>
    <row r="74" spans="2:13" x14ac:dyDescent="0.3">
      <c r="B74" s="10" t="s">
        <v>837</v>
      </c>
      <c r="C74" s="11" t="s">
        <v>847</v>
      </c>
      <c r="D74" s="12">
        <v>4</v>
      </c>
      <c r="E74" s="12">
        <v>0</v>
      </c>
      <c r="F74" s="12">
        <v>4</v>
      </c>
      <c r="G74" s="13">
        <f>+VLOOKUP(Tabla11034534544554564793638486171808998111[[#This Row],[ArtÃ­culo]],Tabla34[#All],3,0)</f>
        <v>514.28</v>
      </c>
      <c r="H74" s="14">
        <f>+Tabla11034534544554564793638486171808998111[[#This Row],[Coste Componente]]*Tabla11034534544554564793638486171808998111[[#This Row],[Unidades]]</f>
        <v>2057.12</v>
      </c>
      <c r="I74" s="4"/>
      <c r="J74" s="8" t="s">
        <v>13</v>
      </c>
      <c r="K74" s="15">
        <f>+K72+K73</f>
        <v>23967.388930991001</v>
      </c>
      <c r="M74" s="346" t="s">
        <v>1647</v>
      </c>
    </row>
    <row r="75" spans="2:13" x14ac:dyDescent="0.3">
      <c r="B75" s="10" t="s">
        <v>831</v>
      </c>
      <c r="C75" s="11" t="s">
        <v>847</v>
      </c>
      <c r="D75" s="12">
        <v>1</v>
      </c>
      <c r="E75" s="12">
        <v>0</v>
      </c>
      <c r="F75" s="12">
        <v>1</v>
      </c>
      <c r="G75" s="13">
        <f>+VLOOKUP(Tabla11034534544554564793638486171808998111[[#This Row],[ArtÃ­culo]],Tabla34[#All],3,0)</f>
        <v>1600</v>
      </c>
      <c r="H75" s="14">
        <f>+Tabla11034534544554564793638486171808998111[[#This Row],[Coste Componente]]*Tabla11034534544554564793638486171808998111[[#This Row],[Unidades]]</f>
        <v>1600</v>
      </c>
      <c r="I75" s="4"/>
      <c r="J75" s="20" t="s">
        <v>14</v>
      </c>
      <c r="K75" s="21">
        <v>71000</v>
      </c>
      <c r="M75" s="346" t="s">
        <v>1648</v>
      </c>
    </row>
    <row r="76" spans="2:13" x14ac:dyDescent="0.3">
      <c r="B76" s="10" t="s">
        <v>106</v>
      </c>
      <c r="C76" s="11" t="s">
        <v>67</v>
      </c>
      <c r="D76" s="12">
        <v>50</v>
      </c>
      <c r="E76" s="12">
        <v>0</v>
      </c>
      <c r="F76" s="12">
        <v>50</v>
      </c>
      <c r="G76" s="13">
        <f>+VLOOKUP(Tabla11034534544554564793638486171808998111[[#This Row],[ArtÃ­culo]],Tabla34[#All],3,0)</f>
        <v>19.804166670000001</v>
      </c>
      <c r="H76" s="14">
        <f>+Tabla11034534544554564793638486171808998111[[#This Row],[Coste Componente]]*Tabla11034534544554564793638486171808998111[[#This Row],[Unidades]]</f>
        <v>990.20833349999998</v>
      </c>
      <c r="I76" s="4"/>
      <c r="J76" s="8" t="s">
        <v>15</v>
      </c>
      <c r="K76" s="15">
        <f>+K75/1.08*0.08</f>
        <v>5259.2592592592582</v>
      </c>
    </row>
    <row r="77" spans="2:13" x14ac:dyDescent="0.3">
      <c r="B77" s="10" t="s">
        <v>633</v>
      </c>
      <c r="C77" s="11" t="s">
        <v>67</v>
      </c>
      <c r="D77" s="12">
        <v>29.999999649999999</v>
      </c>
      <c r="E77" s="12">
        <v>5</v>
      </c>
      <c r="F77" s="12">
        <v>31.578946999999999</v>
      </c>
      <c r="G77" s="13">
        <f>+VLOOKUP(Tabla11034534544554564793638486171808998111[[#This Row],[ArtÃ­culo]],Tabla34[#All],3,0)</f>
        <v>27</v>
      </c>
      <c r="H77" s="14">
        <f>+Tabla11034534544554564793638486171808998111[[#This Row],[Coste Componente]]*Tabla11034534544554564793638486171808998111[[#This Row],[Unidades]]</f>
        <v>852.63156900000001</v>
      </c>
      <c r="I77" s="4"/>
      <c r="J77" s="8" t="s">
        <v>16</v>
      </c>
      <c r="K77" s="15">
        <f>+K75-K76</f>
        <v>65740.740740740745</v>
      </c>
      <c r="M77" s="377" t="s">
        <v>1377</v>
      </c>
    </row>
    <row r="78" spans="2:13" x14ac:dyDescent="0.3">
      <c r="B78" s="10" t="s">
        <v>114</v>
      </c>
      <c r="C78" s="11" t="s">
        <v>847</v>
      </c>
      <c r="D78" s="12">
        <v>2</v>
      </c>
      <c r="E78" s="12">
        <v>0</v>
      </c>
      <c r="F78" s="12">
        <v>2</v>
      </c>
      <c r="G78" s="13">
        <f>+VLOOKUP(Tabla11034534544554564793638486171808998111[[#This Row],[ArtÃ­culo]],Tabla34[#All],3,0)</f>
        <v>436</v>
      </c>
      <c r="H78" s="14">
        <f>+Tabla11034534544554564793638486171808998111[[#This Row],[Coste Componente]]*Tabla11034534544554564793638486171808998111[[#This Row],[Unidades]]</f>
        <v>872</v>
      </c>
      <c r="I78" s="4"/>
      <c r="J78" s="8" t="s">
        <v>17</v>
      </c>
      <c r="K78" s="22">
        <f>+K74/K77</f>
        <v>0.36457436683760958</v>
      </c>
      <c r="M78" s="346"/>
    </row>
    <row r="79" spans="2:13" x14ac:dyDescent="0.3">
      <c r="B79" s="10" t="s">
        <v>728</v>
      </c>
      <c r="C79" s="11" t="s">
        <v>67</v>
      </c>
      <c r="D79" s="12">
        <v>29.999999299999999</v>
      </c>
      <c r="E79" s="12">
        <v>59</v>
      </c>
      <c r="F79" s="12">
        <v>73.170730000000006</v>
      </c>
      <c r="G79" s="13">
        <f>+VLOOKUP(Tabla11034534544554564793638486171808998111[[#This Row],[ArtÃ­culo]],Tabla34[#All],3,0)</f>
        <v>4.5</v>
      </c>
      <c r="H79" s="14">
        <f>+Tabla11034534544554564793638486171808998111[[#This Row],[Coste Componente]]*Tabla11034534544554564793638486171808998111[[#This Row],[Unidades]]</f>
        <v>329.26828500000005</v>
      </c>
      <c r="I79" s="4"/>
      <c r="J79" s="8" t="s">
        <v>18</v>
      </c>
      <c r="K79" s="23">
        <f>+K77-K74</f>
        <v>41773.351809749744</v>
      </c>
      <c r="M79" s="346"/>
    </row>
    <row r="80" spans="2:13" x14ac:dyDescent="0.3">
      <c r="B80" s="10" t="s">
        <v>833</v>
      </c>
      <c r="C80" s="11" t="s">
        <v>67</v>
      </c>
      <c r="D80" s="12">
        <v>1</v>
      </c>
      <c r="E80" s="12">
        <v>0</v>
      </c>
      <c r="F80" s="12">
        <v>1</v>
      </c>
      <c r="G80" s="13">
        <f>+VLOOKUP(Tabla11034534544554564793638486171808998111[[#This Row],[ArtÃ­culo]],Tabla34[#All],3,0)</f>
        <v>307.5</v>
      </c>
      <c r="H80" s="14">
        <f>+Tabla11034534544554564793638486171808998111[[#This Row],[Coste Componente]]*Tabla11034534544554564793638486171808998111[[#This Row],[Unidades]]</f>
        <v>307.5</v>
      </c>
      <c r="I80" s="27"/>
      <c r="J80" s="8" t="s">
        <v>19</v>
      </c>
      <c r="K80" s="25">
        <f>+K79/K74</f>
        <v>1.7429246018424129</v>
      </c>
      <c r="M80" s="346"/>
    </row>
    <row r="81" spans="2:13" x14ac:dyDescent="0.3">
      <c r="B81" s="10" t="s">
        <v>451</v>
      </c>
      <c r="C81" s="11" t="s">
        <v>67</v>
      </c>
      <c r="D81" s="12">
        <v>5</v>
      </c>
      <c r="E81" s="12">
        <v>0</v>
      </c>
      <c r="F81" s="12">
        <v>5</v>
      </c>
      <c r="G81" s="13">
        <f>+VLOOKUP(Tabla11034534544554564793638486171808998111[[#This Row],[ArtÃ­culo]],Tabla34[#All],3,0)</f>
        <v>60.987499999999997</v>
      </c>
      <c r="H81" s="14">
        <f>+Tabla11034534544554564793638486171808998111[[#This Row],[Coste Componente]]*Tabla11034534544554564793638486171808998111[[#This Row],[Unidades]]</f>
        <v>304.9375</v>
      </c>
      <c r="J81" s="4"/>
      <c r="K81" s="26"/>
      <c r="M81" s="346"/>
    </row>
    <row r="82" spans="2:13" x14ac:dyDescent="0.3">
      <c r="B82" s="10" t="s">
        <v>708</v>
      </c>
      <c r="C82" s="11" t="s">
        <v>67</v>
      </c>
      <c r="D82" s="12">
        <v>19.999999450000001</v>
      </c>
      <c r="E82" s="12">
        <v>5</v>
      </c>
      <c r="F82" s="12">
        <v>21.052631000000002</v>
      </c>
      <c r="G82" s="13">
        <f>+VLOOKUP(Tabla11034534544554564793638486171808998111[[#This Row],[ArtÃ­culo]],Tabla34[#All],3,0)</f>
        <v>11</v>
      </c>
      <c r="H82" s="14">
        <f>+Tabla11034534544554564793638486171808998111[[#This Row],[Coste Componente]]*Tabla11034534544554564793638486171808998111[[#This Row],[Unidades]]</f>
        <v>231.57894100000001</v>
      </c>
      <c r="J82" s="4"/>
      <c r="K82" s="26"/>
    </row>
    <row r="83" spans="2:13" x14ac:dyDescent="0.3">
      <c r="B83" s="10" t="s">
        <v>753</v>
      </c>
      <c r="C83" s="11" t="s">
        <v>67</v>
      </c>
      <c r="D83" s="12">
        <v>5</v>
      </c>
      <c r="E83" s="12">
        <v>0</v>
      </c>
      <c r="F83" s="12">
        <v>5</v>
      </c>
      <c r="G83" s="13">
        <f>+VLOOKUP(Tabla11034534544554564793638486171808998111[[#This Row],[ArtÃ­culo]],Tabla34[#All],3,0)</f>
        <v>39.31131019</v>
      </c>
      <c r="H83" s="14">
        <f>+Tabla11034534544554564793638486171808998111[[#This Row],[Coste Componente]]*Tabla11034534544554564793638486171808998111[[#This Row],[Unidades]]</f>
        <v>196.55655095</v>
      </c>
      <c r="J83" s="4"/>
      <c r="K83" s="26"/>
    </row>
    <row r="84" spans="2:13" x14ac:dyDescent="0.3">
      <c r="B84" s="10" t="s">
        <v>118</v>
      </c>
      <c r="C84" s="11" t="s">
        <v>67</v>
      </c>
      <c r="D84" s="12">
        <v>5</v>
      </c>
      <c r="E84" s="12">
        <v>0</v>
      </c>
      <c r="F84" s="12">
        <v>5</v>
      </c>
      <c r="G84" s="13">
        <f>+VLOOKUP(Tabla11034534544554564793638486171808998111[[#This Row],[ArtÃ­culo]],Tabla34[#All],3,0)</f>
        <v>30.25466445</v>
      </c>
      <c r="H84" s="14">
        <f>+Tabla11034534544554564793638486171808998111[[#This Row],[Coste Componente]]*Tabla11034534544554564793638486171808998111[[#This Row],[Unidades]]</f>
        <v>151.27332225000001</v>
      </c>
      <c r="J84" s="4"/>
      <c r="K84" s="26"/>
    </row>
    <row r="85" spans="2:13" x14ac:dyDescent="0.3">
      <c r="B85" s="24" t="s">
        <v>233</v>
      </c>
      <c r="C85" s="11" t="s">
        <v>67</v>
      </c>
      <c r="D85" s="12">
        <v>1</v>
      </c>
      <c r="E85" s="12">
        <v>0</v>
      </c>
      <c r="F85" s="12">
        <v>1</v>
      </c>
      <c r="G85" s="13">
        <f>+VLOOKUP(Tabla11034534544554564793638486171808998111[[#This Row],[ArtÃ­culo]],Tabla34[#All],3,0)</f>
        <v>99.166666669999998</v>
      </c>
      <c r="H85" s="14">
        <f>+Tabla11034534544554564793638486171808998111[[#This Row],[Coste Componente]]*Tabla11034534544554564793638486171808998111[[#This Row],[Unidades]]</f>
        <v>99.166666669999998</v>
      </c>
      <c r="J85" s="4"/>
      <c r="K85" s="26"/>
    </row>
    <row r="86" spans="2:13" x14ac:dyDescent="0.3">
      <c r="B86" s="10" t="s">
        <v>128</v>
      </c>
      <c r="C86" s="11" t="s">
        <v>67</v>
      </c>
      <c r="D86" s="12">
        <v>5</v>
      </c>
      <c r="E86" s="12">
        <v>0</v>
      </c>
      <c r="F86" s="12">
        <v>5</v>
      </c>
      <c r="G86" s="13">
        <f>+VLOOKUP(Tabla11034534544554564793638486171808998111[[#This Row],[ArtÃ­culo]],Tabla34[#All],3,0)</f>
        <v>18.434479750000001</v>
      </c>
      <c r="H86" s="14">
        <f>+Tabla11034534544554564793638486171808998111[[#This Row],[Coste Componente]]*Tabla11034534544554564793638486171808998111[[#This Row],[Unidades]]</f>
        <v>92.172398750000013</v>
      </c>
      <c r="J86" s="4"/>
      <c r="K86" s="26"/>
    </row>
    <row r="87" spans="2:13" x14ac:dyDescent="0.3">
      <c r="B87" s="10" t="s">
        <v>37</v>
      </c>
      <c r="C87" s="11" t="s">
        <v>67</v>
      </c>
      <c r="D87" s="12">
        <v>2</v>
      </c>
      <c r="E87" s="12">
        <v>0</v>
      </c>
      <c r="F87" s="12">
        <v>2</v>
      </c>
      <c r="G87" s="13">
        <f>+VLOOKUP(Tabla11034534544554564793638486171808998111[[#This Row],[ArtÃ­culo]],Tabla34[#All],3,0)</f>
        <v>14.25783539</v>
      </c>
      <c r="H87" s="14">
        <f>+Tabla11034534544554564793638486171808998111[[#This Row],[Coste Componente]]*Tabla11034534544554564793638486171808998111[[#This Row],[Unidades]]</f>
        <v>28.515670780000001</v>
      </c>
      <c r="J87" s="4"/>
      <c r="K87" s="26"/>
    </row>
    <row r="88" spans="2:13" x14ac:dyDescent="0.3">
      <c r="B88" s="10" t="s">
        <v>634</v>
      </c>
      <c r="C88" s="11" t="s">
        <v>67</v>
      </c>
      <c r="D88" s="12">
        <v>2</v>
      </c>
      <c r="E88" s="12">
        <v>0</v>
      </c>
      <c r="F88" s="12">
        <v>2</v>
      </c>
      <c r="G88" s="13">
        <f>+VLOOKUP(Tabla11034534544554564793638486171808998111[[#This Row],[ArtÃ­culo]],Tabla34[#All],3,0)</f>
        <v>8.9250000000000007</v>
      </c>
      <c r="H88" s="14">
        <f>+Tabla11034534544554564793638486171808998111[[#This Row],[Coste Componente]]*Tabla11034534544554564793638486171808998111[[#This Row],[Unidades]]</f>
        <v>17.850000000000001</v>
      </c>
      <c r="J88" s="4"/>
      <c r="K88" s="26"/>
    </row>
    <row r="89" spans="2:13" x14ac:dyDescent="0.3">
      <c r="B89" s="10" t="s">
        <v>89</v>
      </c>
      <c r="C89" s="11" t="s">
        <v>67</v>
      </c>
      <c r="D89" s="12">
        <v>3</v>
      </c>
      <c r="E89" s="12">
        <v>0</v>
      </c>
      <c r="F89" s="12">
        <v>3</v>
      </c>
      <c r="G89" s="13">
        <f>+VLOOKUP(Tabla11034534544554564793638486171808998111[[#This Row],[ArtÃ­culo]],Tabla34[#All],3,0)</f>
        <v>2.4009999999999998</v>
      </c>
      <c r="H89" s="14">
        <f>+Tabla11034534544554564793638486171808998111[[#This Row],[Coste Componente]]*Tabla11034534544554564793638486171808998111[[#This Row],[Unidades]]</f>
        <v>7.2029999999999994</v>
      </c>
      <c r="J89" s="4"/>
      <c r="K89" s="26"/>
    </row>
    <row r="90" spans="2:13" x14ac:dyDescent="0.3">
      <c r="B90" s="16"/>
      <c r="C90" s="17"/>
      <c r="D90" s="17"/>
      <c r="E90" s="17"/>
      <c r="F90" s="17"/>
      <c r="G90" s="18"/>
      <c r="H90" s="18">
        <f>SUBTOTAL(109,Tabla11034534544554564793638486171808998111[Coste LÃ­nea])</f>
        <v>21788.535391810001</v>
      </c>
      <c r="I90" s="4"/>
      <c r="J90" s="4"/>
      <c r="K90" s="26"/>
    </row>
    <row r="91" spans="2:13" x14ac:dyDescent="0.3">
      <c r="I91" s="4"/>
      <c r="J91" s="27"/>
      <c r="K91" s="27"/>
    </row>
    <row r="94" spans="2:13" x14ac:dyDescent="0.3">
      <c r="B94" s="19" t="s">
        <v>849</v>
      </c>
      <c r="C94" s="2"/>
      <c r="D94" s="2"/>
      <c r="E94" s="3"/>
      <c r="F94" s="3"/>
      <c r="G94" s="3"/>
      <c r="H94" s="3"/>
    </row>
    <row r="95" spans="2:13" ht="15.6" x14ac:dyDescent="0.3">
      <c r="B95" s="5" t="s">
        <v>1</v>
      </c>
      <c r="C95" s="6" t="s">
        <v>2</v>
      </c>
      <c r="D95" s="6" t="s">
        <v>3</v>
      </c>
      <c r="E95" s="6" t="s">
        <v>920</v>
      </c>
      <c r="F95" s="6" t="s">
        <v>319</v>
      </c>
      <c r="G95" s="7" t="s">
        <v>4</v>
      </c>
      <c r="H95" s="7" t="s">
        <v>5</v>
      </c>
      <c r="I95" s="4"/>
      <c r="J95" s="399" t="s">
        <v>0</v>
      </c>
      <c r="K95" s="399"/>
      <c r="M95" s="377" t="s">
        <v>1394</v>
      </c>
    </row>
    <row r="96" spans="2:13" x14ac:dyDescent="0.3">
      <c r="B96" s="10" t="s">
        <v>683</v>
      </c>
      <c r="C96" s="11" t="s">
        <v>67</v>
      </c>
      <c r="D96" s="12">
        <v>100</v>
      </c>
      <c r="E96" s="12">
        <v>25</v>
      </c>
      <c r="F96" s="12">
        <v>133.333</v>
      </c>
      <c r="G96" s="13">
        <f>+VLOOKUP(Tabla110345345445545647945586877869510811712713622823724627233260269297315316348494493495501248[[#This Row],[Ingrediente]],Tabla34[#All],3,0)</f>
        <v>8.5</v>
      </c>
      <c r="H96" s="14">
        <f>+Tabla110345345445545647945586877869510811712713622823724627233260269297315316348494493495501248[[#This Row],[Costo]]*Tabla110345345445545647945586877869510811712713622823724627233260269297315316348494493495501248[[#This Row],[Columna2]]</f>
        <v>1133.3305</v>
      </c>
      <c r="I96" s="40"/>
      <c r="J96" s="8" t="s">
        <v>6</v>
      </c>
      <c r="K96" s="9">
        <f>SUM(Tabla110345345445545647945586877869510811712713622823724627233260269297315316348494493495501248[Total costo])</f>
        <v>14600.31390694</v>
      </c>
      <c r="M96" s="346"/>
    </row>
    <row r="97" spans="2:13" x14ac:dyDescent="0.3">
      <c r="B97" s="10" t="s">
        <v>835</v>
      </c>
      <c r="C97" s="11" t="s">
        <v>67</v>
      </c>
      <c r="D97" s="12">
        <v>60</v>
      </c>
      <c r="E97" s="12">
        <v>78</v>
      </c>
      <c r="F97" s="12">
        <v>272.72699999999998</v>
      </c>
      <c r="G97" s="13">
        <f>+VLOOKUP(Tabla110345345445545647945586877869510811712713622823724627233260269297315316348494493495501248[[#This Row],[Ingrediente]],Tabla34[#All],3,0)</f>
        <v>4.5</v>
      </c>
      <c r="H97" s="14">
        <f>+Tabla110345345445545647945586877869510811712713622823724627233260269297315316348494493495501248[[#This Row],[Costo]]*Tabla110345345445545647945586877869510811712713622823724627233260269297315316348494493495501248[[#This Row],[Columna2]]</f>
        <v>1227.2714999999998</v>
      </c>
      <c r="I97" s="40"/>
      <c r="J97" s="8" t="s">
        <v>12</v>
      </c>
      <c r="K97" s="15">
        <f>+K96*5%</f>
        <v>730.01569534700002</v>
      </c>
      <c r="M97" s="346"/>
    </row>
    <row r="98" spans="2:13" x14ac:dyDescent="0.3">
      <c r="B98" s="10" t="s">
        <v>624</v>
      </c>
      <c r="C98" s="11" t="s">
        <v>67</v>
      </c>
      <c r="D98" s="12">
        <v>40</v>
      </c>
      <c r="E98" s="12">
        <v>0</v>
      </c>
      <c r="F98" s="12">
        <v>40</v>
      </c>
      <c r="G98" s="13">
        <f>+VLOOKUP(Tabla110345345445545647945586877869510811712713622823724627233260269297315316348494493495501248[[#This Row],[Ingrediente]],Tabla34[#All],3,0)</f>
        <v>32.29</v>
      </c>
      <c r="H98" s="14">
        <f>+Tabla110345345445545647945586877869510811712713622823724627233260269297315316348494493495501248[[#This Row],[Costo]]*Tabla110345345445545647945586877869510811712713622823724627233260269297315316348494493495501248[[#This Row],[Columna2]]</f>
        <v>1291.5999999999999</v>
      </c>
      <c r="I98" s="40"/>
      <c r="J98" s="8" t="s">
        <v>13</v>
      </c>
      <c r="K98" s="15">
        <f>+K96+K97</f>
        <v>15330.329602287</v>
      </c>
      <c r="M98" s="346"/>
    </row>
    <row r="99" spans="2:13" x14ac:dyDescent="0.3">
      <c r="B99" s="10" t="s">
        <v>56</v>
      </c>
      <c r="C99" s="11" t="s">
        <v>67</v>
      </c>
      <c r="D99" s="12">
        <v>80</v>
      </c>
      <c r="E99" s="12">
        <v>30</v>
      </c>
      <c r="F99" s="12">
        <v>114.286</v>
      </c>
      <c r="G99" s="13">
        <f>+VLOOKUP(Tabla110345345445545647945586877869510811712713622823724627233260269297315316348494493495501248[[#This Row],[Ingrediente]],Tabla34[#All],3,0)</f>
        <v>3.5</v>
      </c>
      <c r="H99" s="14">
        <f>+Tabla110345345445545647945586877869510811712713622823724627233260269297315316348494493495501248[[#This Row],[Costo]]*Tabla110345345445545647945586877869510811712713622823724627233260269297315316348494493495501248[[#This Row],[Columna2]]</f>
        <v>400.00099999999998</v>
      </c>
      <c r="I99" s="40"/>
      <c r="J99" s="20" t="s">
        <v>14</v>
      </c>
      <c r="K99" s="21">
        <v>56000</v>
      </c>
      <c r="M99" s="346"/>
    </row>
    <row r="100" spans="2:13" x14ac:dyDescent="0.3">
      <c r="B100" s="10" t="s">
        <v>229</v>
      </c>
      <c r="C100" s="11" t="s">
        <v>67</v>
      </c>
      <c r="D100" s="12">
        <v>30</v>
      </c>
      <c r="E100" s="12">
        <v>0</v>
      </c>
      <c r="F100" s="12">
        <v>30</v>
      </c>
      <c r="G100" s="13">
        <f>+VLOOKUP(Tabla110345345445545647945586877869510811712713622823724627233260269297315316348494493495501248[[#This Row],[Ingrediente]],Tabla34[#All],3,0)</f>
        <v>24.714500000000001</v>
      </c>
      <c r="H100" s="14">
        <f>+Tabla110345345445545647945586877869510811712713622823724627233260269297315316348494493495501248[[#This Row],[Costo]]*Tabla110345345445545647945586877869510811712713622823724627233260269297315316348494493495501248[[#This Row],[Columna2]]</f>
        <v>741.43500000000006</v>
      </c>
      <c r="I100" s="40"/>
      <c r="J100" s="8" t="s">
        <v>15</v>
      </c>
      <c r="K100" s="15">
        <f>+K99/1.08*0.08</f>
        <v>4148.1481481481478</v>
      </c>
    </row>
    <row r="101" spans="2:13" x14ac:dyDescent="0.3">
      <c r="B101" s="10" t="s">
        <v>132</v>
      </c>
      <c r="C101" s="11" t="s">
        <v>67</v>
      </c>
      <c r="D101" s="12">
        <v>30</v>
      </c>
      <c r="E101" s="12">
        <v>0</v>
      </c>
      <c r="F101" s="12">
        <v>30</v>
      </c>
      <c r="G101" s="13">
        <f>+VLOOKUP(Tabla110345345445545647945586877869510811712713622823724627233260269297315316348494493495501248[[#This Row],[Ingrediente]],Tabla34[#All],3,0)</f>
        <v>9.1207600099999997</v>
      </c>
      <c r="H101" s="14">
        <f>+Tabla110345345445545647945586877869510811712713622823724627233260269297315316348494493495501248[[#This Row],[Costo]]*Tabla110345345445545647945586877869510811712713622823724627233260269297315316348494493495501248[[#This Row],[Columna2]]</f>
        <v>273.62280029999999</v>
      </c>
      <c r="I101" s="40"/>
      <c r="J101" s="8" t="s">
        <v>16</v>
      </c>
      <c r="K101" s="15">
        <f>+K99-K100</f>
        <v>51851.851851851854</v>
      </c>
      <c r="M101" s="377" t="s">
        <v>1377</v>
      </c>
    </row>
    <row r="102" spans="2:13" x14ac:dyDescent="0.3">
      <c r="B102" s="10" t="s">
        <v>127</v>
      </c>
      <c r="C102" s="11" t="s">
        <v>67</v>
      </c>
      <c r="D102" s="12">
        <v>10</v>
      </c>
      <c r="E102" s="12">
        <v>0</v>
      </c>
      <c r="F102" s="12">
        <v>10</v>
      </c>
      <c r="G102" s="13">
        <f>+VLOOKUP(Tabla110345345445545647945586877869510811712713622823724627233260269297315316348494493495501248[[#This Row],[Ingrediente]],Tabla34[#All],3,0)</f>
        <v>15.69091749</v>
      </c>
      <c r="H102" s="14">
        <f>+Tabla110345345445545647945586877869510811712713622823724627233260269297315316348494493495501248[[#This Row],[Costo]]*Tabla110345345445545647945586877869510811712713622823724627233260269297315316348494493495501248[[#This Row],[Columna2]]</f>
        <v>156.90917490000001</v>
      </c>
      <c r="I102" s="40"/>
      <c r="J102" s="8" t="s">
        <v>17</v>
      </c>
      <c r="K102" s="41">
        <f>+K98/K101</f>
        <v>0.29565635661553497</v>
      </c>
      <c r="M102" s="346"/>
    </row>
    <row r="103" spans="2:13" x14ac:dyDescent="0.3">
      <c r="B103" s="10" t="s">
        <v>187</v>
      </c>
      <c r="C103" s="11" t="s">
        <v>67</v>
      </c>
      <c r="D103" s="12">
        <v>30</v>
      </c>
      <c r="E103" s="12">
        <v>20</v>
      </c>
      <c r="F103" s="12">
        <v>37.5</v>
      </c>
      <c r="G103" s="13">
        <f>+VLOOKUP(Tabla110345345445545647945586877869510811712713622823724627233260269297315316348494493495501248[[#This Row],[Ingrediente]],Tabla34[#All],3,0)</f>
        <v>4.7</v>
      </c>
      <c r="H103" s="14">
        <f>+Tabla110345345445545647945586877869510811712713622823724627233260269297315316348494493495501248[[#This Row],[Costo]]*Tabla110345345445545647945586877869510811712713622823724627233260269297315316348494493495501248[[#This Row],[Columna2]]</f>
        <v>176.25</v>
      </c>
      <c r="I103" s="40"/>
      <c r="J103" s="8" t="s">
        <v>18</v>
      </c>
      <c r="K103" s="42">
        <f>+K101-K98</f>
        <v>36521.522249564856</v>
      </c>
      <c r="M103" s="346"/>
    </row>
    <row r="104" spans="2:13" x14ac:dyDescent="0.3">
      <c r="B104" s="10" t="s">
        <v>708</v>
      </c>
      <c r="C104" s="11" t="s">
        <v>67</v>
      </c>
      <c r="D104" s="12">
        <v>20</v>
      </c>
      <c r="E104" s="12">
        <v>10</v>
      </c>
      <c r="F104" s="12">
        <v>22.222000000000001</v>
      </c>
      <c r="G104" s="13">
        <f>+VLOOKUP(Tabla110345345445545647945586877869510811712713622823724627233260269297315316348494493495501248[[#This Row],[Ingrediente]],Tabla34[#All],3,0)</f>
        <v>11</v>
      </c>
      <c r="H104" s="14">
        <f>+Tabla110345345445545647945586877869510811712713622823724627233260269297315316348494493495501248[[#This Row],[Costo]]*Tabla110345345445545647945586877869510811712713622823724627233260269297315316348494493495501248[[#This Row],[Columna2]]</f>
        <v>244.44200000000001</v>
      </c>
      <c r="I104" s="40"/>
      <c r="J104" s="8" t="s">
        <v>19</v>
      </c>
      <c r="K104" s="43">
        <f>+K103/K98</f>
        <v>2.3823050904343588</v>
      </c>
      <c r="M104" s="346"/>
    </row>
    <row r="105" spans="2:13" x14ac:dyDescent="0.3">
      <c r="B105" s="10" t="s">
        <v>730</v>
      </c>
      <c r="C105" s="11" t="s">
        <v>67</v>
      </c>
      <c r="D105" s="12">
        <v>6</v>
      </c>
      <c r="E105" s="12">
        <v>40</v>
      </c>
      <c r="F105" s="12">
        <v>10</v>
      </c>
      <c r="G105" s="13">
        <f>+VLOOKUP(Tabla110345345445545647945586877869510811712713622823724627233260269297315316348494493495501248[[#This Row],[Ingrediente]],Tabla34[#All],3,0)</f>
        <v>12</v>
      </c>
      <c r="H105" s="14">
        <f>+Tabla110345345445545647945586877869510811712713622823724627233260269297315316348494493495501248[[#This Row],[Costo]]*Tabla110345345445545647945586877869510811712713622823724627233260269297315316348494493495501248[[#This Row],[Columna2]]</f>
        <v>120</v>
      </c>
      <c r="I105" s="40"/>
      <c r="J105" s="40"/>
      <c r="K105" s="40"/>
      <c r="M105" s="346"/>
    </row>
    <row r="106" spans="2:13" x14ac:dyDescent="0.3">
      <c r="B106" s="10" t="s">
        <v>840</v>
      </c>
      <c r="C106" s="11" t="s">
        <v>67</v>
      </c>
      <c r="D106" s="12">
        <v>1</v>
      </c>
      <c r="E106" s="12">
        <v>0</v>
      </c>
      <c r="F106" s="12">
        <v>1</v>
      </c>
      <c r="G106" s="13">
        <f>+VLOOKUP(Tabla110345345445545647945586877869510811712713622823724627233260269297315316348494493495501248[[#This Row],[Ingrediente]],Tabla34[#All],3,0)</f>
        <v>57.218061669999997</v>
      </c>
      <c r="H106" s="14">
        <f>+Tabla110345345445545647945586877869510811712713622823724627233260269297315316348494493495501248[[#This Row],[Costo]]*Tabla110345345445545647945586877869510811712713622823724627233260269297315316348494493495501248[[#This Row],[Columna2]]</f>
        <v>57.218061669999997</v>
      </c>
      <c r="I106" s="40"/>
      <c r="J106" s="40"/>
      <c r="K106" s="40"/>
    </row>
    <row r="107" spans="2:13" x14ac:dyDescent="0.3">
      <c r="B107" s="10" t="s">
        <v>37</v>
      </c>
      <c r="C107" s="11" t="s">
        <v>67</v>
      </c>
      <c r="D107" s="12">
        <v>3</v>
      </c>
      <c r="E107" s="12">
        <v>0</v>
      </c>
      <c r="F107" s="12">
        <v>3</v>
      </c>
      <c r="G107" s="13">
        <f>+VLOOKUP(Tabla110345345445545647945586877869510811712713622823724627233260269297315316348494493495501248[[#This Row],[Ingrediente]],Tabla34[#All],3,0)</f>
        <v>14.25783539</v>
      </c>
      <c r="H107" s="14">
        <f>+Tabla110345345445545647945586877869510811712713622823724627233260269297315316348494493495501248[[#This Row],[Costo]]*Tabla110345345445545647945586877869510811712713622823724627233260269297315316348494493495501248[[#This Row],[Columna2]]</f>
        <v>42.773506170000005</v>
      </c>
      <c r="I107" s="40"/>
      <c r="J107" s="40"/>
      <c r="K107" s="40"/>
    </row>
    <row r="108" spans="2:13" x14ac:dyDescent="0.3">
      <c r="B108" s="10" t="s">
        <v>89</v>
      </c>
      <c r="C108" s="11" t="s">
        <v>67</v>
      </c>
      <c r="D108" s="12">
        <v>2</v>
      </c>
      <c r="E108" s="12">
        <v>0</v>
      </c>
      <c r="F108" s="12">
        <v>2</v>
      </c>
      <c r="G108" s="13">
        <f>+VLOOKUP(Tabla110345345445545647945586877869510811712713622823724627233260269297315316348494493495501248[[#This Row],[Ingrediente]],Tabla34[#All],3,0)</f>
        <v>2.4009999999999998</v>
      </c>
      <c r="H108" s="14">
        <f>+Tabla110345345445545647945586877869510811712713622823724627233260269297315316348494493495501248[[#This Row],[Costo]]*Tabla110345345445545647945586877869510811712713622823724627233260269297315316348494493495501248[[#This Row],[Columna2]]</f>
        <v>4.8019999999999996</v>
      </c>
      <c r="I108" s="40"/>
      <c r="J108" s="40"/>
      <c r="K108" s="40"/>
    </row>
    <row r="109" spans="2:13" x14ac:dyDescent="0.3">
      <c r="B109" s="10" t="s">
        <v>1242</v>
      </c>
      <c r="C109" s="11" t="s">
        <v>67</v>
      </c>
      <c r="D109" s="12">
        <v>30</v>
      </c>
      <c r="E109" s="12">
        <v>0</v>
      </c>
      <c r="F109" s="12">
        <v>30</v>
      </c>
      <c r="G109" s="13">
        <f>+VLOOKUP(Tabla110345345445545647945586877869510811712713622823724627233260269297315316348494493495501248[[#This Row],[Ingrediente]],Tabla34[#All],3,0)</f>
        <v>21.997626329999999</v>
      </c>
      <c r="H109" s="14">
        <f>+Tabla110345345445545647945586877869510811712713622823724627233260269297315316348494493495501248[[#This Row],[Costo]]*Tabla110345345445545647945586877869510811712713622823724627233260269297315316348494493495501248[[#This Row],[Columna2]]</f>
        <v>659.92878989999997</v>
      </c>
      <c r="I109" s="50"/>
      <c r="J109" s="40"/>
      <c r="K109" s="40"/>
    </row>
    <row r="110" spans="2:13" x14ac:dyDescent="0.3">
      <c r="B110" s="10" t="s">
        <v>837</v>
      </c>
      <c r="C110" s="11" t="s">
        <v>847</v>
      </c>
      <c r="D110" s="12">
        <v>14</v>
      </c>
      <c r="E110" s="12">
        <v>0</v>
      </c>
      <c r="F110" s="12">
        <v>14</v>
      </c>
      <c r="G110" s="13">
        <f>+VLOOKUP(Tabla110345345445545647945586877869510811712713622823724627233260269297315316348494493495501248[[#This Row],[Ingrediente]],Tabla34[#All],3,0)</f>
        <v>514.28</v>
      </c>
      <c r="H110" s="14">
        <f>+Tabla110345345445545647945586877869510811712713622823724627233260269297315316348494493495501248[[#This Row],[Costo]]*Tabla110345345445545647945586877869510811712713622823724627233260269297315316348494493495501248[[#This Row],[Columna2]]</f>
        <v>7199.92</v>
      </c>
      <c r="I110" s="50"/>
      <c r="J110" s="40"/>
      <c r="K110" s="40"/>
    </row>
    <row r="111" spans="2:13" x14ac:dyDescent="0.3">
      <c r="B111" s="10" t="s">
        <v>119</v>
      </c>
      <c r="C111" s="11" t="s">
        <v>67</v>
      </c>
      <c r="D111" s="12">
        <v>150</v>
      </c>
      <c r="E111" s="12">
        <v>0</v>
      </c>
      <c r="F111" s="12">
        <v>150</v>
      </c>
      <c r="G111" s="13">
        <f>+VLOOKUP(Tabla110345345445545647945586877869510811712713622823724627233260269297315316348494493495501248[[#This Row],[Ingrediente]],Tabla34[#All],3,0)</f>
        <v>5.8053971600000001</v>
      </c>
      <c r="H111" s="14">
        <f>+Tabla110345345445545647945586877869510811712713622823724627233260269297315316348494493495501248[[#This Row],[Costo]]*Tabla110345345445545647945586877869510811712713622823724627233260269297315316348494493495501248[[#This Row],[Columna2]]</f>
        <v>870.809574</v>
      </c>
      <c r="I111" s="4"/>
      <c r="J111" s="40"/>
      <c r="K111" s="40"/>
    </row>
    <row r="112" spans="2:13" x14ac:dyDescent="0.3">
      <c r="B112" s="16"/>
      <c r="C112" s="17"/>
      <c r="D112" s="17"/>
      <c r="E112" s="17"/>
      <c r="F112" s="17"/>
      <c r="G112" s="18"/>
      <c r="H112" s="18">
        <f>SUBTOTAL(109,Tabla110345345445545647945586877869510811712713622823724627233260269297315316348494493495501248[Total costo])</f>
        <v>14600.31390694</v>
      </c>
      <c r="I112" s="4"/>
      <c r="J112" s="40"/>
      <c r="K112" s="40"/>
    </row>
    <row r="113" spans="2:13" x14ac:dyDescent="0.3">
      <c r="I113" s="4"/>
      <c r="J113" s="50"/>
      <c r="K113" s="50"/>
    </row>
    <row r="115" spans="2:13" x14ac:dyDescent="0.3">
      <c r="B115" s="19" t="s">
        <v>850</v>
      </c>
      <c r="C115" s="2"/>
      <c r="D115" s="2"/>
      <c r="E115" s="3"/>
      <c r="F115" s="3"/>
      <c r="G115" s="3"/>
      <c r="H115" s="3"/>
    </row>
    <row r="116" spans="2:13" ht="15.6" x14ac:dyDescent="0.3">
      <c r="B116" s="5" t="s">
        <v>1</v>
      </c>
      <c r="C116" s="6" t="s">
        <v>2</v>
      </c>
      <c r="D116" s="6" t="s">
        <v>3</v>
      </c>
      <c r="E116" s="6" t="s">
        <v>920</v>
      </c>
      <c r="F116" s="6" t="s">
        <v>319</v>
      </c>
      <c r="G116" s="7" t="s">
        <v>4</v>
      </c>
      <c r="H116" s="7" t="s">
        <v>5</v>
      </c>
      <c r="I116" s="4"/>
      <c r="J116" s="399" t="s">
        <v>0</v>
      </c>
      <c r="K116" s="399"/>
      <c r="M116" s="377" t="s">
        <v>1394</v>
      </c>
    </row>
    <row r="117" spans="2:13" x14ac:dyDescent="0.3">
      <c r="B117" s="10" t="s">
        <v>683</v>
      </c>
      <c r="C117" s="11" t="s">
        <v>67</v>
      </c>
      <c r="D117" s="12">
        <v>100</v>
      </c>
      <c r="E117" s="12">
        <v>20</v>
      </c>
      <c r="F117" s="12">
        <v>125</v>
      </c>
      <c r="G117" s="13">
        <f>+VLOOKUP(Tabla110345345445545647945586877869510811712713622823724627233260269297315316348494493495501248446[[#This Row],[Ingrediente]],Tabla34[#All],3,0)</f>
        <v>8.5</v>
      </c>
      <c r="H117" s="14">
        <f>+Tabla110345345445545647945586877869510811712713622823724627233260269297315316348494493495501248446[[#This Row],[Costo]]*Tabla110345345445545647945586877869510811712713622823724627233260269297315316348494493495501248446[[#This Row],[Columna2]]</f>
        <v>1062.5</v>
      </c>
      <c r="I117" s="40"/>
      <c r="J117" s="8" t="s">
        <v>6</v>
      </c>
      <c r="K117" s="9">
        <f>SUM(Tabla110345345445545647945586877869510811712713622823724627233260269297315316348494493495501248446[Total costo])</f>
        <v>11206.785628959999</v>
      </c>
      <c r="M117" s="346"/>
    </row>
    <row r="118" spans="2:13" x14ac:dyDescent="0.3">
      <c r="B118" s="10" t="s">
        <v>187</v>
      </c>
      <c r="C118" s="11" t="s">
        <v>67</v>
      </c>
      <c r="D118" s="12">
        <v>30</v>
      </c>
      <c r="E118" s="12">
        <v>20</v>
      </c>
      <c r="F118" s="12">
        <v>37.5</v>
      </c>
      <c r="G118" s="13">
        <f>+VLOOKUP(Tabla110345345445545647945586877869510811712713622823724627233260269297315316348494493495501248446[[#This Row],[Ingrediente]],Tabla34[#All],3,0)</f>
        <v>4.7</v>
      </c>
      <c r="H118" s="14">
        <f>+Tabla110345345445545647945586877869510811712713622823724627233260269297315316348494493495501248446[[#This Row],[Costo]]*Tabla110345345445545647945586877869510811712713622823724627233260269297315316348494493495501248446[[#This Row],[Columna2]]</f>
        <v>176.25</v>
      </c>
      <c r="I118" s="40"/>
      <c r="J118" s="8" t="s">
        <v>12</v>
      </c>
      <c r="K118" s="15">
        <f>+K117*5%</f>
        <v>560.33928144799995</v>
      </c>
      <c r="M118" s="346"/>
    </row>
    <row r="119" spans="2:13" x14ac:dyDescent="0.3">
      <c r="B119" s="10" t="s">
        <v>730</v>
      </c>
      <c r="C119" s="11" t="s">
        <v>67</v>
      </c>
      <c r="D119" s="12">
        <v>6</v>
      </c>
      <c r="E119" s="12">
        <v>40</v>
      </c>
      <c r="F119" s="12">
        <v>10</v>
      </c>
      <c r="G119" s="13">
        <f>+VLOOKUP(Tabla110345345445545647945586877869510811712713622823724627233260269297315316348494493495501248446[[#This Row],[Ingrediente]],Tabla34[#All],3,0)</f>
        <v>12</v>
      </c>
      <c r="H119" s="14">
        <f>+Tabla110345345445545647945586877869510811712713622823724627233260269297315316348494493495501248446[[#This Row],[Costo]]*Tabla110345345445545647945586877869510811712713622823724627233260269297315316348494493495501248446[[#This Row],[Columna2]]</f>
        <v>120</v>
      </c>
      <c r="I119" s="40"/>
      <c r="J119" s="8" t="s">
        <v>13</v>
      </c>
      <c r="K119" s="15">
        <f>+K117+K118</f>
        <v>11767.124910407998</v>
      </c>
      <c r="M119" s="346"/>
    </row>
    <row r="120" spans="2:13" x14ac:dyDescent="0.3">
      <c r="B120" s="10" t="s">
        <v>835</v>
      </c>
      <c r="C120" s="11" t="s">
        <v>67</v>
      </c>
      <c r="D120" s="12">
        <v>60</v>
      </c>
      <c r="E120" s="12">
        <v>78</v>
      </c>
      <c r="F120" s="12">
        <v>272.72699999999998</v>
      </c>
      <c r="G120" s="13">
        <f>+VLOOKUP(Tabla110345345445545647945586877869510811712713622823724627233260269297315316348494493495501248446[[#This Row],[Ingrediente]],Tabla34[#All],3,0)</f>
        <v>4.5</v>
      </c>
      <c r="H120" s="14">
        <f>+Tabla110345345445545647945586877869510811712713622823724627233260269297315316348494493495501248446[[#This Row],[Costo]]*Tabla110345345445545647945586877869510811712713622823724627233260269297315316348494493495501248446[[#This Row],[Columna2]]</f>
        <v>1227.2714999999998</v>
      </c>
      <c r="I120" s="40"/>
      <c r="J120" s="20" t="s">
        <v>14</v>
      </c>
      <c r="K120" s="21">
        <v>52000</v>
      </c>
      <c r="M120" s="346"/>
    </row>
    <row r="121" spans="2:13" x14ac:dyDescent="0.3">
      <c r="B121" s="10" t="s">
        <v>840</v>
      </c>
      <c r="C121" s="11" t="s">
        <v>67</v>
      </c>
      <c r="D121" s="12">
        <v>1</v>
      </c>
      <c r="E121" s="12">
        <v>0</v>
      </c>
      <c r="F121" s="12">
        <v>1</v>
      </c>
      <c r="G121" s="13">
        <f>+VLOOKUP(Tabla110345345445545647945586877869510811712713622823724627233260269297315316348494493495501248446[[#This Row],[Ingrediente]],Tabla34[#All],3,0)</f>
        <v>57.218061669999997</v>
      </c>
      <c r="H121" s="14">
        <f>+Tabla110345345445545647945586877869510811712713622823724627233260269297315316348494493495501248446[[#This Row],[Costo]]*Tabla110345345445545647945586877869510811712713622823724627233260269297315316348494493495501248446[[#This Row],[Columna2]]</f>
        <v>57.218061669999997</v>
      </c>
      <c r="I121" s="40"/>
      <c r="J121" s="8" t="s">
        <v>15</v>
      </c>
      <c r="K121" s="15">
        <f>+K120/1.08*0.08</f>
        <v>3851.8518518518517</v>
      </c>
    </row>
    <row r="122" spans="2:13" x14ac:dyDescent="0.3">
      <c r="B122" s="10" t="s">
        <v>56</v>
      </c>
      <c r="C122" s="11" t="s">
        <v>67</v>
      </c>
      <c r="D122" s="12">
        <v>80</v>
      </c>
      <c r="E122" s="12">
        <v>30</v>
      </c>
      <c r="F122" s="12">
        <v>114.286</v>
      </c>
      <c r="G122" s="13">
        <f>+VLOOKUP(Tabla110345345445545647945586877869510811712713622823724627233260269297315316348494493495501248446[[#This Row],[Ingrediente]],Tabla34[#All],3,0)</f>
        <v>3.5</v>
      </c>
      <c r="H122" s="14">
        <f>+Tabla110345345445545647945586877869510811712713622823724627233260269297315316348494493495501248446[[#This Row],[Costo]]*Tabla110345345445545647945586877869510811712713622823724627233260269297315316348494493495501248446[[#This Row],[Columna2]]</f>
        <v>400.00099999999998</v>
      </c>
      <c r="I122" s="40"/>
      <c r="J122" s="8" t="s">
        <v>16</v>
      </c>
      <c r="K122" s="15">
        <f>+K120-K121</f>
        <v>48148.148148148146</v>
      </c>
      <c r="M122" s="377" t="s">
        <v>1377</v>
      </c>
    </row>
    <row r="123" spans="2:13" x14ac:dyDescent="0.3">
      <c r="B123" s="10" t="s">
        <v>624</v>
      </c>
      <c r="C123" s="11" t="s">
        <v>67</v>
      </c>
      <c r="D123" s="12">
        <v>40</v>
      </c>
      <c r="E123" s="12">
        <v>0</v>
      </c>
      <c r="F123" s="12">
        <v>40</v>
      </c>
      <c r="G123" s="13">
        <f>+VLOOKUP(Tabla110345345445545647945586877869510811712713622823724627233260269297315316348494493495501248446[[#This Row],[Ingrediente]],Tabla34[#All],3,0)</f>
        <v>32.29</v>
      </c>
      <c r="H123" s="14">
        <f>+Tabla110345345445545647945586877869510811712713622823724627233260269297315316348494493495501248446[[#This Row],[Costo]]*Tabla110345345445545647945586877869510811712713622823724627233260269297315316348494493495501248446[[#This Row],[Columna2]]</f>
        <v>1291.5999999999999</v>
      </c>
      <c r="I123" s="40"/>
      <c r="J123" s="8" t="s">
        <v>17</v>
      </c>
      <c r="K123" s="41">
        <f>+K119/K122</f>
        <v>0.24439413275462765</v>
      </c>
      <c r="M123" s="346"/>
    </row>
    <row r="124" spans="2:13" x14ac:dyDescent="0.3">
      <c r="B124" s="10" t="s">
        <v>89</v>
      </c>
      <c r="C124" s="11" t="s">
        <v>67</v>
      </c>
      <c r="D124" s="12">
        <v>2</v>
      </c>
      <c r="E124" s="12">
        <v>0</v>
      </c>
      <c r="F124" s="12">
        <v>2</v>
      </c>
      <c r="G124" s="13">
        <f>+VLOOKUP(Tabla110345345445545647945586877869510811712713622823724627233260269297315316348494493495501248446[[#This Row],[Ingrediente]],Tabla34[#All],3,0)</f>
        <v>2.4009999999999998</v>
      </c>
      <c r="H124" s="14">
        <f>+Tabla110345345445545647945586877869510811712713622823724627233260269297315316348494493495501248446[[#This Row],[Costo]]*Tabla110345345445545647945586877869510811712713622823724627233260269297315316348494493495501248446[[#This Row],[Columna2]]</f>
        <v>4.8019999999999996</v>
      </c>
      <c r="I124" s="40"/>
      <c r="J124" s="8" t="s">
        <v>18</v>
      </c>
      <c r="K124" s="42">
        <f>+K122-K119</f>
        <v>36381.023237740148</v>
      </c>
      <c r="M124" s="346"/>
    </row>
    <row r="125" spans="2:13" x14ac:dyDescent="0.3">
      <c r="B125" s="10" t="s">
        <v>119</v>
      </c>
      <c r="C125" s="11" t="s">
        <v>67</v>
      </c>
      <c r="D125" s="12">
        <v>150</v>
      </c>
      <c r="E125" s="12">
        <v>0</v>
      </c>
      <c r="F125" s="12">
        <v>150</v>
      </c>
      <c r="G125" s="13">
        <f>+VLOOKUP(Tabla110345345445545647945586877869510811712713622823724627233260269297315316348494493495501248446[[#This Row],[Ingrediente]],Tabla34[#All],3,0)</f>
        <v>5.8053971600000001</v>
      </c>
      <c r="H125" s="14">
        <f>+Tabla110345345445545647945586877869510811712713622823724627233260269297315316348494493495501248446[[#This Row],[Costo]]*Tabla110345345445545647945586877869510811712713622823724627233260269297315316348494493495501248446[[#This Row],[Columna2]]</f>
        <v>870.809574</v>
      </c>
      <c r="I125" s="40"/>
      <c r="J125" s="8" t="s">
        <v>19</v>
      </c>
      <c r="K125" s="43">
        <f>+K124/K119</f>
        <v>3.0917512574002854</v>
      </c>
      <c r="M125" s="346"/>
    </row>
    <row r="126" spans="2:13" x14ac:dyDescent="0.3">
      <c r="B126" s="10" t="s">
        <v>127</v>
      </c>
      <c r="C126" s="11" t="s">
        <v>67</v>
      </c>
      <c r="D126" s="12">
        <v>10</v>
      </c>
      <c r="E126" s="12">
        <v>0</v>
      </c>
      <c r="F126" s="12">
        <v>10</v>
      </c>
      <c r="G126" s="13">
        <f>+VLOOKUP(Tabla110345345445545647945586877869510811712713622823724627233260269297315316348494493495501248446[[#This Row],[Ingrediente]],Tabla34[#All],3,0)</f>
        <v>15.69091749</v>
      </c>
      <c r="H126" s="14">
        <f>+Tabla110345345445545647945586877869510811712713622823724627233260269297315316348494493495501248446[[#This Row],[Costo]]*Tabla110345345445545647945586877869510811712713622823724627233260269297315316348494493495501248446[[#This Row],[Columna2]]</f>
        <v>156.90917490000001</v>
      </c>
      <c r="I126" s="40"/>
      <c r="J126" s="40"/>
      <c r="K126" s="40"/>
      <c r="M126" s="346"/>
    </row>
    <row r="127" spans="2:13" x14ac:dyDescent="0.3">
      <c r="B127" s="10" t="s">
        <v>132</v>
      </c>
      <c r="C127" s="11" t="s">
        <v>67</v>
      </c>
      <c r="D127" s="12">
        <v>30</v>
      </c>
      <c r="E127" s="12">
        <v>0</v>
      </c>
      <c r="F127" s="12">
        <v>30</v>
      </c>
      <c r="G127" s="13">
        <f>+VLOOKUP(Tabla110345345445545647945586877869510811712713622823724627233260269297315316348494493495501248446[[#This Row],[Ingrediente]],Tabla34[#All],3,0)</f>
        <v>9.1207600099999997</v>
      </c>
      <c r="H127" s="14">
        <f>+Tabla110345345445545647945586877869510811712713622823724627233260269297315316348494493495501248446[[#This Row],[Costo]]*Tabla110345345445545647945586877869510811712713622823724627233260269297315316348494493495501248446[[#This Row],[Columna2]]</f>
        <v>273.62280029999999</v>
      </c>
      <c r="I127" s="40"/>
      <c r="J127" s="40"/>
      <c r="K127" s="40"/>
    </row>
    <row r="128" spans="2:13" x14ac:dyDescent="0.3">
      <c r="B128" s="10" t="s">
        <v>37</v>
      </c>
      <c r="C128" s="11" t="s">
        <v>67</v>
      </c>
      <c r="D128" s="12">
        <v>3</v>
      </c>
      <c r="E128" s="12">
        <v>0</v>
      </c>
      <c r="F128" s="12">
        <v>3</v>
      </c>
      <c r="G128" s="13">
        <f>+VLOOKUP(Tabla110345345445545647945586877869510811712713622823724627233260269297315316348494493495501248446[[#This Row],[Ingrediente]],Tabla34[#All],3,0)</f>
        <v>14.25783539</v>
      </c>
      <c r="H128" s="14">
        <f>+Tabla110345345445545647945586877869510811712713622823724627233260269297315316348494493495501248446[[#This Row],[Costo]]*Tabla110345345445545647945586877869510811712713622823724627233260269297315316348494493495501248446[[#This Row],[Columna2]]</f>
        <v>42.773506170000005</v>
      </c>
      <c r="I128" s="40"/>
      <c r="J128" s="40"/>
      <c r="K128" s="40"/>
    </row>
    <row r="129" spans="2:11" x14ac:dyDescent="0.3">
      <c r="B129" s="10" t="s">
        <v>1242</v>
      </c>
      <c r="C129" s="11" t="s">
        <v>67</v>
      </c>
      <c r="D129" s="12">
        <v>30</v>
      </c>
      <c r="E129" s="12">
        <v>0</v>
      </c>
      <c r="F129" s="12">
        <v>30</v>
      </c>
      <c r="G129" s="13">
        <f>+VLOOKUP(Tabla110345345445545647945586877869510811712713622823724627233260269297315316348494493495501248446[[#This Row],[Ingrediente]],Tabla34[#All],3,0)</f>
        <v>21.997626329999999</v>
      </c>
      <c r="H129" s="14">
        <f>+Tabla110345345445545647945586877869510811712713622823724627233260269297315316348494493495501248446[[#This Row],[Costo]]*Tabla110345345445545647945586877869510811712713622823724627233260269297315316348494493495501248446[[#This Row],[Columna2]]</f>
        <v>659.92878989999997</v>
      </c>
      <c r="I129" s="40"/>
      <c r="J129" s="40"/>
      <c r="K129" s="40"/>
    </row>
    <row r="130" spans="2:11" x14ac:dyDescent="0.3">
      <c r="B130" s="10" t="s">
        <v>340</v>
      </c>
      <c r="C130" s="11" t="s">
        <v>847</v>
      </c>
      <c r="D130" s="12">
        <v>1</v>
      </c>
      <c r="E130" s="12">
        <v>0</v>
      </c>
      <c r="F130" s="12">
        <v>1</v>
      </c>
      <c r="G130" s="13">
        <f>+VLOOKUP(Tabla110345345445545647945586877869510811712713622823724627233260269297315316348494493495501248446[[#This Row],[Ingrediente]],Tabla34[#All],3,0)</f>
        <v>3877.2222220200001</v>
      </c>
      <c r="H130" s="14">
        <f>+Tabla110345345445545647945586877869510811712713622823724627233260269297315316348494493495501248446[[#This Row],[Costo]]*Tabla110345345445545647945586877869510811712713622823724627233260269297315316348494493495501248446[[#This Row],[Columna2]]</f>
        <v>3877.2222220200001</v>
      </c>
      <c r="I130" s="50"/>
      <c r="J130" s="40"/>
      <c r="K130" s="40"/>
    </row>
    <row r="131" spans="2:11" x14ac:dyDescent="0.3">
      <c r="B131" s="10" t="s">
        <v>229</v>
      </c>
      <c r="C131" s="11" t="s">
        <v>67</v>
      </c>
      <c r="D131" s="12">
        <v>30</v>
      </c>
      <c r="E131" s="12">
        <v>0</v>
      </c>
      <c r="F131" s="12">
        <v>30</v>
      </c>
      <c r="G131" s="13">
        <f>+VLOOKUP(Tabla110345345445545647945586877869510811712713622823724627233260269297315316348494493495501248446[[#This Row],[Ingrediente]],Tabla34[#All],3,0)</f>
        <v>24.714500000000001</v>
      </c>
      <c r="H131" s="14">
        <f>+Tabla110345345445545647945586877869510811712713622823724627233260269297315316348494493495501248446[[#This Row],[Costo]]*Tabla110345345445545647945586877869510811712713622823724627233260269297315316348494493495501248446[[#This Row],[Columna2]]</f>
        <v>741.43500000000006</v>
      </c>
      <c r="I131" s="50"/>
      <c r="J131" s="40"/>
      <c r="K131" s="40"/>
    </row>
    <row r="132" spans="2:11" x14ac:dyDescent="0.3">
      <c r="B132" s="10" t="s">
        <v>708</v>
      </c>
      <c r="C132" s="11" t="s">
        <v>67</v>
      </c>
      <c r="D132" s="12">
        <v>20</v>
      </c>
      <c r="E132" s="12">
        <v>10</v>
      </c>
      <c r="F132" s="12">
        <v>22.222000000000001</v>
      </c>
      <c r="G132" s="13">
        <f>+VLOOKUP(Tabla110345345445545647945586877869510811712713622823724627233260269297315316348494493495501248446[[#This Row],[Ingrediente]],Tabla34[#All],3,0)</f>
        <v>11</v>
      </c>
      <c r="H132" s="14">
        <f>+Tabla110345345445545647945586877869510811712713622823724627233260269297315316348494493495501248446[[#This Row],[Costo]]*Tabla110345345445545647945586877869510811712713622823724627233260269297315316348494493495501248446[[#This Row],[Columna2]]</f>
        <v>244.44200000000001</v>
      </c>
      <c r="I132" s="4"/>
      <c r="J132" s="40"/>
      <c r="K132" s="40"/>
    </row>
    <row r="133" spans="2:11" x14ac:dyDescent="0.3">
      <c r="B133" s="16"/>
      <c r="C133" s="17"/>
      <c r="D133" s="17"/>
      <c r="E133" s="17"/>
      <c r="F133" s="17"/>
      <c r="G133" s="18"/>
      <c r="H133" s="18">
        <f>SUBTOTAL(109,Tabla110345345445545647945586877869510811712713622823724627233260269297315316348494493495501248446[Total costo])</f>
        <v>11206.785628959999</v>
      </c>
      <c r="I133" s="4"/>
      <c r="J133" s="40"/>
      <c r="K133" s="40"/>
    </row>
    <row r="134" spans="2:11" x14ac:dyDescent="0.3">
      <c r="I134" s="4"/>
      <c r="J134" s="50"/>
      <c r="K134" s="50"/>
    </row>
  </sheetData>
  <mergeCells count="6">
    <mergeCell ref="J116:K116"/>
    <mergeCell ref="J6:K6"/>
    <mergeCell ref="J31:K31"/>
    <mergeCell ref="J52:K52"/>
    <mergeCell ref="J71:K71"/>
    <mergeCell ref="J95:K95"/>
  </mergeCells>
  <phoneticPr fontId="16" type="noConversion"/>
  <conditionalFormatting sqref="I156">
    <cfRule type="cellIs" dxfId="2501" priority="5" operator="lessThan">
      <formula>0.3</formula>
    </cfRule>
    <cfRule type="cellIs" dxfId="2500" priority="6" operator="greaterThan">
      <formula>0.3</formula>
    </cfRule>
  </conditionalFormatting>
  <conditionalFormatting sqref="K13">
    <cfRule type="cellIs" dxfId="2499" priority="21" operator="lessThan">
      <formula>0.3</formula>
    </cfRule>
    <cfRule type="cellIs" dxfId="2498" priority="22" operator="greaterThan">
      <formula>0.3</formula>
    </cfRule>
  </conditionalFormatting>
  <conditionalFormatting sqref="K38">
    <cfRule type="cellIs" dxfId="2497" priority="19" operator="lessThan">
      <formula>0.3</formula>
    </cfRule>
    <cfRule type="cellIs" dxfId="2496" priority="20" operator="greaterThan">
      <formula>0.3</formula>
    </cfRule>
  </conditionalFormatting>
  <conditionalFormatting sqref="K59">
    <cfRule type="cellIs" dxfId="2495" priority="17" operator="lessThan">
      <formula>0.3</formula>
    </cfRule>
    <cfRule type="cellIs" dxfId="2494" priority="18" operator="greaterThan">
      <formula>0.3</formula>
    </cfRule>
  </conditionalFormatting>
  <conditionalFormatting sqref="K78">
    <cfRule type="cellIs" dxfId="2493" priority="15" operator="lessThan">
      <formula>0.3</formula>
    </cfRule>
    <cfRule type="cellIs" dxfId="2492" priority="16" operator="greaterThan">
      <formula>0.3</formula>
    </cfRule>
  </conditionalFormatting>
  <conditionalFormatting sqref="K102">
    <cfRule type="cellIs" dxfId="2491" priority="3" operator="lessThan">
      <formula>0.3</formula>
    </cfRule>
    <cfRule type="cellIs" dxfId="2490" priority="4" operator="greaterThan">
      <formula>0.3</formula>
    </cfRule>
  </conditionalFormatting>
  <conditionalFormatting sqref="K123">
    <cfRule type="cellIs" dxfId="2489" priority="1" operator="lessThan">
      <formula>0.3</formula>
    </cfRule>
    <cfRule type="cellIs" dxfId="2488" priority="2" operator="greaterThan">
      <formula>0.3</formula>
    </cfRule>
  </conditionalFormatting>
  <pageMargins left="0.7" right="0.7" top="0.75" bottom="0.75" header="0.3" footer="0.3"/>
  <drawing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1CB4-2352-49C7-8E05-A574B30F748C}">
  <dimension ref="B6:M340"/>
  <sheetViews>
    <sheetView showGridLines="0" workbookViewId="0">
      <selection activeCell="N70" sqref="N70"/>
    </sheetView>
  </sheetViews>
  <sheetFormatPr baseColWidth="10" defaultRowHeight="14.4" x14ac:dyDescent="0.3"/>
  <cols>
    <col min="1" max="1" width="4" customWidth="1"/>
    <col min="2" max="2" width="52.5546875" bestFit="1" customWidth="1"/>
    <col min="3" max="6" width="7.77734375" customWidth="1"/>
    <col min="7" max="8" width="10.77734375" customWidth="1"/>
    <col min="9" max="9" width="3.77734375" customWidth="1"/>
    <col min="10" max="10" width="27.21875" bestFit="1" customWidth="1"/>
  </cols>
  <sheetData>
    <row r="6" spans="2:13" x14ac:dyDescent="0.3">
      <c r="G6" s="4"/>
      <c r="H6" s="4"/>
      <c r="I6" s="31"/>
    </row>
    <row r="7" spans="2:13" ht="15.6" x14ac:dyDescent="0.3">
      <c r="B7" s="1" t="s">
        <v>872</v>
      </c>
      <c r="C7" s="2"/>
      <c r="D7" s="2"/>
      <c r="E7" s="3"/>
      <c r="F7" s="3"/>
      <c r="G7" s="3"/>
      <c r="H7" s="3"/>
      <c r="I7" s="4"/>
      <c r="J7" s="399" t="s">
        <v>0</v>
      </c>
      <c r="K7" s="399"/>
      <c r="M7" s="377" t="s">
        <v>1394</v>
      </c>
    </row>
    <row r="8" spans="2:13" x14ac:dyDescent="0.3">
      <c r="B8" s="5" t="s">
        <v>1</v>
      </c>
      <c r="C8" s="6" t="s">
        <v>2</v>
      </c>
      <c r="D8" s="6" t="s">
        <v>3</v>
      </c>
      <c r="E8" s="6" t="s">
        <v>920</v>
      </c>
      <c r="F8" s="6" t="s">
        <v>319</v>
      </c>
      <c r="G8" s="7" t="s">
        <v>4</v>
      </c>
      <c r="H8" s="7" t="s">
        <v>5</v>
      </c>
      <c r="I8" s="4"/>
      <c r="J8" s="8" t="s">
        <v>6</v>
      </c>
      <c r="K8" s="9">
        <f>SUM(Tabla110345345445545647936465969788796109118128[Total costo])</f>
        <v>9354.7101196000003</v>
      </c>
      <c r="M8" s="346" t="s">
        <v>1663</v>
      </c>
    </row>
    <row r="9" spans="2:13" x14ac:dyDescent="0.3">
      <c r="B9" s="10" t="s">
        <v>749</v>
      </c>
      <c r="C9" s="11" t="s">
        <v>67</v>
      </c>
      <c r="D9" s="12">
        <v>5</v>
      </c>
      <c r="E9" s="12">
        <v>0</v>
      </c>
      <c r="F9" s="12">
        <v>5</v>
      </c>
      <c r="G9" s="13">
        <f>+VLOOKUP(Tabla110345345445545647936465969788796109118128[[#This Row],[Ingrediente]],Tabla34[#All],3,0)</f>
        <v>7.7007000000000003</v>
      </c>
      <c r="H9" s="14">
        <f>+Tabla110345345445545647936465969788796109118128[[#This Row],[Costo]]*Tabla110345345445545647936465969788796109118128[[#This Row],[Columna2]]</f>
        <v>38.503500000000003</v>
      </c>
      <c r="I9" s="4"/>
      <c r="J9" s="8" t="s">
        <v>12</v>
      </c>
      <c r="K9" s="15">
        <f>+K8*10%</f>
        <v>935.47101196000006</v>
      </c>
      <c r="M9" s="346" t="s">
        <v>1664</v>
      </c>
    </row>
    <row r="10" spans="2:13" x14ac:dyDescent="0.3">
      <c r="B10" s="10" t="s">
        <v>711</v>
      </c>
      <c r="C10" s="11" t="s">
        <v>67</v>
      </c>
      <c r="D10" s="12">
        <v>29.9999988</v>
      </c>
      <c r="E10" s="12">
        <v>10</v>
      </c>
      <c r="F10" s="12">
        <v>33.333331999999999</v>
      </c>
      <c r="G10" s="13">
        <f>+VLOOKUP(Tabla110345345445545647936465969788796109118128[[#This Row],[Ingrediente]],Tabla34[#All],3,0)</f>
        <v>12.5</v>
      </c>
      <c r="H10" s="14">
        <f>+Tabla110345345445545647936465969788796109118128[[#This Row],[Costo]]*Tabla110345345445545647936465969788796109118128[[#This Row],[Columna2]]</f>
        <v>416.66665</v>
      </c>
      <c r="I10" s="4"/>
      <c r="J10" s="8" t="s">
        <v>13</v>
      </c>
      <c r="K10" s="15">
        <f>+K8+K9</f>
        <v>10290.181131560001</v>
      </c>
      <c r="M10" s="346" t="s">
        <v>1665</v>
      </c>
    </row>
    <row r="11" spans="2:13" x14ac:dyDescent="0.3">
      <c r="B11" s="24" t="s">
        <v>1068</v>
      </c>
      <c r="C11" s="11" t="s">
        <v>67</v>
      </c>
      <c r="D11" s="12">
        <v>90</v>
      </c>
      <c r="E11" s="12">
        <v>0</v>
      </c>
      <c r="F11" s="12">
        <v>90</v>
      </c>
      <c r="G11" s="13">
        <f>+VLOOKUP(Tabla110345345445545647936465969788796109118128[[#This Row],[Ingrediente]],Tabla34[#All],3,0)</f>
        <v>8.2561999999999998</v>
      </c>
      <c r="H11" s="14">
        <f>+Tabla110345345445545647936465969788796109118128[[#This Row],[Costo]]*Tabla110345345445545647936465969788796109118128[[#This Row],[Columna2]]</f>
        <v>743.05799999999999</v>
      </c>
      <c r="I11" s="4"/>
      <c r="J11" s="20" t="s">
        <v>14</v>
      </c>
      <c r="K11" s="21">
        <v>32000</v>
      </c>
    </row>
    <row r="12" spans="2:13" x14ac:dyDescent="0.3">
      <c r="B12" s="10" t="s">
        <v>923</v>
      </c>
      <c r="C12" s="11" t="s">
        <v>67</v>
      </c>
      <c r="D12" s="12">
        <v>15</v>
      </c>
      <c r="E12" s="12">
        <v>40</v>
      </c>
      <c r="F12" s="12">
        <v>25</v>
      </c>
      <c r="G12" s="13">
        <f>+VLOOKUP(Tabla110345345445545647936465969788796109118128[[#This Row],[Ingrediente]],Tabla34[#All],3,0)</f>
        <v>25</v>
      </c>
      <c r="H12" s="14">
        <f>+Tabla110345345445545647936465969788796109118128[[#This Row],[Costo]]*Tabla110345345445545647936465969788796109118128[[#This Row],[Columna2]]</f>
        <v>625</v>
      </c>
      <c r="I12" s="27"/>
      <c r="J12" s="8" t="s">
        <v>15</v>
      </c>
      <c r="K12" s="15">
        <f>+K11/1.08*0.08</f>
        <v>2370.3703703703704</v>
      </c>
      <c r="M12" s="377" t="s">
        <v>1377</v>
      </c>
    </row>
    <row r="13" spans="2:13" x14ac:dyDescent="0.3">
      <c r="B13" s="10" t="s">
        <v>334</v>
      </c>
      <c r="C13" s="11" t="s">
        <v>847</v>
      </c>
      <c r="D13" s="12">
        <v>2</v>
      </c>
      <c r="E13" s="12">
        <v>0</v>
      </c>
      <c r="F13" s="12">
        <v>2</v>
      </c>
      <c r="G13" s="13">
        <f>+VLOOKUP(Tabla110345345445545647936465969788796109118128[[#This Row],[Ingrediente]],Tabla34[#All],3,0)</f>
        <v>3626.8235500000001</v>
      </c>
      <c r="H13" s="14">
        <f>+Tabla110345345445545647936465969788796109118128[[#This Row],[Costo]]*Tabla110345345445545647936465969788796109118128[[#This Row],[Columna2]]</f>
        <v>7253.6471000000001</v>
      </c>
      <c r="J13" s="8" t="s">
        <v>16</v>
      </c>
      <c r="K13" s="15">
        <f>+K11-K12</f>
        <v>29629.629629629628</v>
      </c>
      <c r="M13" s="346" t="s">
        <v>1666</v>
      </c>
    </row>
    <row r="14" spans="2:13" x14ac:dyDescent="0.3">
      <c r="B14" s="10" t="s">
        <v>157</v>
      </c>
      <c r="C14" s="11" t="s">
        <v>67</v>
      </c>
      <c r="D14" s="12">
        <v>10</v>
      </c>
      <c r="E14" s="12">
        <v>0</v>
      </c>
      <c r="F14" s="12">
        <v>10</v>
      </c>
      <c r="G14" s="13">
        <f>+VLOOKUP(Tabla110345345445545647936465969788796109118128[[#This Row],[Ingrediente]],Tabla34[#All],3,0)</f>
        <v>13.409262439999999</v>
      </c>
      <c r="H14" s="14">
        <f>+Tabla110345345445545647936465969788796109118128[[#This Row],[Costo]]*Tabla110345345445545647936465969788796109118128[[#This Row],[Columna2]]</f>
        <v>134.09262439999998</v>
      </c>
      <c r="J14" s="8" t="s">
        <v>17</v>
      </c>
      <c r="K14" s="22">
        <f>+K10/K13</f>
        <v>0.34729361319015006</v>
      </c>
      <c r="M14" s="346" t="s">
        <v>1667</v>
      </c>
    </row>
    <row r="15" spans="2:13" x14ac:dyDescent="0.3">
      <c r="B15" s="10" t="s">
        <v>1243</v>
      </c>
      <c r="C15" s="11" t="s">
        <v>67</v>
      </c>
      <c r="D15" s="12">
        <v>10</v>
      </c>
      <c r="E15" s="12">
        <v>0</v>
      </c>
      <c r="F15" s="12">
        <v>10</v>
      </c>
      <c r="G15" s="13">
        <f>+VLOOKUP(Tabla110345345445545647936465969788796109118128[[#This Row],[Ingrediente]],Tabla34[#All],3,0)</f>
        <v>14.37422452</v>
      </c>
      <c r="H15" s="14">
        <f>+Tabla110345345445545647936465969788796109118128[[#This Row],[Costo]]*Tabla110345345445545647936465969788796109118128[[#This Row],[Columna2]]</f>
        <v>143.74224520000001</v>
      </c>
      <c r="I15" s="4"/>
      <c r="J15" s="8" t="s">
        <v>18</v>
      </c>
      <c r="K15" s="23">
        <f>+K13-K10</f>
        <v>19339.448498069629</v>
      </c>
    </row>
    <row r="16" spans="2:13" x14ac:dyDescent="0.3">
      <c r="B16" s="10" t="s">
        <v>848</v>
      </c>
      <c r="C16" s="11" t="s">
        <v>67</v>
      </c>
      <c r="D16" s="12">
        <v>10</v>
      </c>
      <c r="E16" s="12">
        <v>0</v>
      </c>
      <c r="F16" s="12">
        <v>10</v>
      </c>
      <c r="G16" s="13"/>
      <c r="H16" s="14">
        <f>+Tabla110345345445545647936465969788796109118128[[#This Row],[Costo]]*Tabla110345345445545647936465969788796109118128[[#This Row],[Columna2]]</f>
        <v>0</v>
      </c>
      <c r="I16" s="4"/>
      <c r="J16" s="8" t="s">
        <v>19</v>
      </c>
      <c r="K16" s="25">
        <f>+K15/K10</f>
        <v>1.8794079764792004</v>
      </c>
    </row>
    <row r="17" spans="2:13" x14ac:dyDescent="0.3">
      <c r="B17" s="16"/>
      <c r="C17" s="17"/>
      <c r="D17" s="17"/>
      <c r="E17" s="17"/>
      <c r="F17" s="17"/>
      <c r="G17" s="18"/>
      <c r="H17" s="18">
        <f>SUBTOTAL(109,Tabla110345345445545647936465969788796109118128[Total costo])</f>
        <v>9354.7101196000003</v>
      </c>
      <c r="I17" s="4"/>
      <c r="J17" s="4"/>
      <c r="K17" s="26"/>
    </row>
    <row r="18" spans="2:13" x14ac:dyDescent="0.3">
      <c r="G18" s="4"/>
      <c r="H18" s="27"/>
      <c r="I18" s="27"/>
    </row>
    <row r="19" spans="2:13" ht="15.6" x14ac:dyDescent="0.3">
      <c r="B19" s="1" t="s">
        <v>82</v>
      </c>
      <c r="C19" s="2"/>
      <c r="D19" s="2"/>
      <c r="E19" s="3"/>
      <c r="F19" s="3"/>
      <c r="G19" s="3"/>
      <c r="H19" s="3"/>
      <c r="I19" s="4"/>
      <c r="J19" s="399" t="s">
        <v>0</v>
      </c>
      <c r="K19" s="399"/>
      <c r="M19" s="377" t="s">
        <v>1394</v>
      </c>
    </row>
    <row r="20" spans="2:13" x14ac:dyDescent="0.3">
      <c r="B20" s="5" t="s">
        <v>1</v>
      </c>
      <c r="C20" s="6" t="s">
        <v>2</v>
      </c>
      <c r="D20" s="6" t="s">
        <v>3</v>
      </c>
      <c r="E20" s="6" t="s">
        <v>920</v>
      </c>
      <c r="F20" s="6" t="s">
        <v>319</v>
      </c>
      <c r="G20" s="7" t="s">
        <v>4</v>
      </c>
      <c r="H20" s="7" t="s">
        <v>5</v>
      </c>
      <c r="I20" s="4"/>
      <c r="J20" s="8" t="s">
        <v>6</v>
      </c>
      <c r="K20" s="9">
        <f>SUM(Tabla11034534544554564793637476070798897110119129[Total costo])</f>
        <v>2684.80377572</v>
      </c>
      <c r="M20" s="346" t="s">
        <v>1668</v>
      </c>
    </row>
    <row r="21" spans="2:13" x14ac:dyDescent="0.3">
      <c r="B21" s="10" t="s">
        <v>648</v>
      </c>
      <c r="C21" s="11" t="s">
        <v>67</v>
      </c>
      <c r="D21" s="12">
        <v>100</v>
      </c>
      <c r="E21" s="12">
        <v>0</v>
      </c>
      <c r="F21" s="12">
        <v>100</v>
      </c>
      <c r="G21" s="13">
        <f>+VLOOKUP(Tabla11034534544554564793637476070798897110119129[[#This Row],[Ingrediente]],Tabla34[#All],3,0)</f>
        <v>10.890823879999999</v>
      </c>
      <c r="H21" s="14">
        <f>+Tabla11034534544554564793637476070798897110119129[[#This Row],[Costo]]*Tabla11034534544554564793637476070798897110119129[[#This Row],[Columna2]]</f>
        <v>1089.0823879999998</v>
      </c>
      <c r="I21" s="4"/>
      <c r="J21" s="8" t="s">
        <v>12</v>
      </c>
      <c r="K21" s="15">
        <f>+K20*10%</f>
        <v>268.48037757200001</v>
      </c>
    </row>
    <row r="22" spans="2:13" x14ac:dyDescent="0.3">
      <c r="B22" s="10" t="s">
        <v>749</v>
      </c>
      <c r="C22" s="11" t="s">
        <v>67</v>
      </c>
      <c r="D22" s="12">
        <v>5</v>
      </c>
      <c r="E22" s="12">
        <v>0</v>
      </c>
      <c r="F22" s="12">
        <v>5</v>
      </c>
      <c r="G22" s="13">
        <f>+VLOOKUP(Tabla11034534544554564793637476070798897110119129[[#This Row],[Ingrediente]],Tabla34[#All],3,0)</f>
        <v>7.7007000000000003</v>
      </c>
      <c r="H22" s="14">
        <f>+Tabla11034534544554564793637476070798897110119129[[#This Row],[Costo]]*Tabla11034534544554564793637476070798897110119129[[#This Row],[Columna2]]</f>
        <v>38.503500000000003</v>
      </c>
      <c r="I22" s="4"/>
      <c r="J22" s="8" t="s">
        <v>13</v>
      </c>
      <c r="K22" s="15">
        <f>+K20+K21</f>
        <v>2953.2841532920002</v>
      </c>
      <c r="M22" s="377" t="s">
        <v>1377</v>
      </c>
    </row>
    <row r="23" spans="2:13" x14ac:dyDescent="0.3">
      <c r="B23" s="10" t="s">
        <v>725</v>
      </c>
      <c r="C23" s="11" t="s">
        <v>67</v>
      </c>
      <c r="D23" s="12">
        <v>49.999999000000003</v>
      </c>
      <c r="E23" s="12">
        <v>30</v>
      </c>
      <c r="F23" s="12">
        <v>71.428569999999993</v>
      </c>
      <c r="G23" s="13">
        <f>+VLOOKUP(Tabla11034534544554564793637476070798897110119129[[#This Row],[Ingrediente]],Tabla34[#All],3,0)</f>
        <v>2.5</v>
      </c>
      <c r="H23" s="14">
        <f>+Tabla11034534544554564793637476070798897110119129[[#This Row],[Costo]]*Tabla11034534544554564793637476070798897110119129[[#This Row],[Columna2]]</f>
        <v>178.57142499999998</v>
      </c>
      <c r="I23" s="4"/>
      <c r="J23" s="20" t="s">
        <v>14</v>
      </c>
      <c r="K23" s="21">
        <v>26000</v>
      </c>
      <c r="M23" s="346" t="s">
        <v>1669</v>
      </c>
    </row>
    <row r="24" spans="2:13" x14ac:dyDescent="0.3">
      <c r="B24" s="10" t="s">
        <v>711</v>
      </c>
      <c r="C24" s="11" t="s">
        <v>67</v>
      </c>
      <c r="D24" s="12">
        <v>14.9999994</v>
      </c>
      <c r="E24" s="12">
        <v>10</v>
      </c>
      <c r="F24" s="12">
        <v>16.666665999999999</v>
      </c>
      <c r="G24" s="13">
        <f>+VLOOKUP(Tabla11034534544554564793637476070798897110119129[[#This Row],[Ingrediente]],Tabla34[#All],3,0)</f>
        <v>12.5</v>
      </c>
      <c r="H24" s="14">
        <f>+Tabla11034534544554564793637476070798897110119129[[#This Row],[Costo]]*Tabla11034534544554564793637476070798897110119129[[#This Row],[Columna2]]</f>
        <v>208.333325</v>
      </c>
      <c r="I24" s="4"/>
      <c r="J24" s="8" t="s">
        <v>15</v>
      </c>
      <c r="K24" s="15">
        <f>+K23/1.08*0.08</f>
        <v>1925.9259259259259</v>
      </c>
      <c r="M24" s="346" t="s">
        <v>1670</v>
      </c>
    </row>
    <row r="25" spans="2:13" x14ac:dyDescent="0.3">
      <c r="B25" s="10" t="s">
        <v>923</v>
      </c>
      <c r="C25" s="11" t="s">
        <v>67</v>
      </c>
      <c r="D25" s="12">
        <v>1.99999992</v>
      </c>
      <c r="E25" s="12">
        <v>33</v>
      </c>
      <c r="F25" s="12">
        <v>2.9850745000000001</v>
      </c>
      <c r="G25" s="13">
        <f>+VLOOKUP(Tabla11034534544554564793637476070798897110119129[[#This Row],[Ingrediente]],Tabla34[#All],3,0)</f>
        <v>25</v>
      </c>
      <c r="H25" s="14">
        <f>+Tabla11034534544554564793637476070798897110119129[[#This Row],[Costo]]*Tabla11034534544554564793637476070798897110119129[[#This Row],[Columna2]]</f>
        <v>74.626862500000001</v>
      </c>
      <c r="I25" s="4"/>
      <c r="J25" s="8" t="s">
        <v>16</v>
      </c>
      <c r="K25" s="15">
        <f>+K23-K24</f>
        <v>24074.074074074073</v>
      </c>
      <c r="M25" s="346" t="s">
        <v>1671</v>
      </c>
    </row>
    <row r="26" spans="2:13" x14ac:dyDescent="0.3">
      <c r="B26" s="24" t="s">
        <v>813</v>
      </c>
      <c r="C26" s="11" t="s">
        <v>847</v>
      </c>
      <c r="D26" s="12">
        <v>3</v>
      </c>
      <c r="E26" s="12">
        <v>0</v>
      </c>
      <c r="F26" s="12">
        <v>3</v>
      </c>
      <c r="G26" s="13">
        <f>+VLOOKUP(Tabla11034534544554564793637476070798897110119129[[#This Row],[Ingrediente]],Tabla34[#All],3,0)</f>
        <v>57.928456439999998</v>
      </c>
      <c r="H26" s="14">
        <f>+Tabla11034534544554564793637476070798897110119129[[#This Row],[Costo]]*Tabla11034534544554564793637476070798897110119129[[#This Row],[Columna2]]</f>
        <v>173.78536932</v>
      </c>
      <c r="I26" s="27"/>
      <c r="J26" s="8" t="s">
        <v>17</v>
      </c>
      <c r="K26" s="22">
        <f>+K22/K25</f>
        <v>0.12267488021366771</v>
      </c>
      <c r="M26" s="346" t="s">
        <v>1672</v>
      </c>
    </row>
    <row r="27" spans="2:13" x14ac:dyDescent="0.3">
      <c r="B27" s="10" t="s">
        <v>159</v>
      </c>
      <c r="C27" s="11" t="s">
        <v>67</v>
      </c>
      <c r="D27" s="12">
        <v>40</v>
      </c>
      <c r="E27" s="12">
        <v>0</v>
      </c>
      <c r="F27" s="12">
        <v>40</v>
      </c>
      <c r="G27" s="13">
        <f>+VLOOKUP(Tabla11034534544554564793637476070798897110119129[[#This Row],[Ingrediente]],Tabla34[#All],3,0)</f>
        <v>10.416297739999999</v>
      </c>
      <c r="H27" s="14">
        <f>+Tabla11034534544554564793637476070798897110119129[[#This Row],[Costo]]*Tabla11034534544554564793637476070798897110119129[[#This Row],[Columna2]]</f>
        <v>416.65190959999995</v>
      </c>
      <c r="J27" s="8" t="s">
        <v>18</v>
      </c>
      <c r="K27" s="23">
        <f>+K25-K22</f>
        <v>21120.789920782074</v>
      </c>
      <c r="M27" s="346"/>
    </row>
    <row r="28" spans="2:13" x14ac:dyDescent="0.3">
      <c r="B28" s="10" t="s">
        <v>335</v>
      </c>
      <c r="C28" s="11" t="s">
        <v>67</v>
      </c>
      <c r="D28" s="12">
        <v>30</v>
      </c>
      <c r="E28" s="12">
        <v>0</v>
      </c>
      <c r="F28" s="12">
        <v>30</v>
      </c>
      <c r="G28" s="13">
        <f>+VLOOKUP(Tabla11034534544554564793637476070798897110119129[[#This Row],[Ingrediente]],Tabla34[#All],3,0)</f>
        <v>16.841633210000001</v>
      </c>
      <c r="H28" s="14">
        <f>+Tabla11034534544554564793637476070798897110119129[[#This Row],[Costo]]*Tabla11034534544554564793637476070798897110119129[[#This Row],[Columna2]]</f>
        <v>505.24899630000004</v>
      </c>
      <c r="J28" s="8" t="s">
        <v>19</v>
      </c>
      <c r="K28" s="25">
        <f>+K27/K22</f>
        <v>7.1516280941808166</v>
      </c>
      <c r="M28" s="346"/>
    </row>
    <row r="29" spans="2:13" x14ac:dyDescent="0.3">
      <c r="B29" s="16"/>
      <c r="C29" s="17"/>
      <c r="D29" s="17"/>
      <c r="E29" s="17"/>
      <c r="F29" s="17"/>
      <c r="G29" s="18"/>
      <c r="H29" s="18">
        <f>SUBTOTAL(109,Tabla11034534544554564793637476070798897110119129[Total costo])</f>
        <v>2684.80377572</v>
      </c>
      <c r="I29" s="4"/>
      <c r="J29" s="27"/>
      <c r="K29" s="27"/>
      <c r="M29" s="346"/>
    </row>
    <row r="30" spans="2:13" x14ac:dyDescent="0.3">
      <c r="G30" s="4"/>
    </row>
    <row r="31" spans="2:13" ht="15.6" x14ac:dyDescent="0.3">
      <c r="B31" s="1" t="s">
        <v>83</v>
      </c>
      <c r="C31" s="2"/>
      <c r="D31" s="2"/>
      <c r="E31" s="3"/>
      <c r="F31" s="3"/>
      <c r="G31" s="3"/>
      <c r="H31" s="3"/>
      <c r="I31" s="4"/>
      <c r="J31" s="399" t="s">
        <v>0</v>
      </c>
      <c r="K31" s="399"/>
      <c r="M31" s="377" t="s">
        <v>1394</v>
      </c>
    </row>
    <row r="32" spans="2:13" x14ac:dyDescent="0.3">
      <c r="B32" s="5" t="s">
        <v>1</v>
      </c>
      <c r="C32" s="6" t="s">
        <v>2</v>
      </c>
      <c r="D32" s="6" t="s">
        <v>3</v>
      </c>
      <c r="E32" s="6" t="s">
        <v>920</v>
      </c>
      <c r="F32" s="6" t="s">
        <v>319</v>
      </c>
      <c r="G32" s="7" t="s">
        <v>4</v>
      </c>
      <c r="H32" s="7" t="s">
        <v>5</v>
      </c>
      <c r="I32" s="4"/>
      <c r="J32" s="8" t="s">
        <v>6</v>
      </c>
      <c r="K32" s="9">
        <f>SUM(Tabla11034534544554564793639496272819099112121131[Total costo])</f>
        <v>6152.1241745099996</v>
      </c>
      <c r="M32" s="346" t="s">
        <v>1673</v>
      </c>
    </row>
    <row r="33" spans="2:13" x14ac:dyDescent="0.3">
      <c r="B33" s="10" t="s">
        <v>1068</v>
      </c>
      <c r="C33" s="11" t="s">
        <v>67</v>
      </c>
      <c r="D33" s="12">
        <v>90</v>
      </c>
      <c r="E33" s="12">
        <v>0</v>
      </c>
      <c r="F33" s="12">
        <v>90</v>
      </c>
      <c r="G33" s="13">
        <f>+VLOOKUP(Tabla11034534544554564793639496272819099112121131[[#This Row],[Ingrediente]],Tabla34[#All],3,0)</f>
        <v>8.2561999999999998</v>
      </c>
      <c r="H33" s="14">
        <f>+Tabla11034534544554564793639496272819099112121131[[#This Row],[Costo]]*Tabla11034534544554564793639496272819099112121131[[#This Row],[Columna2]]</f>
        <v>743.05799999999999</v>
      </c>
      <c r="I33" s="4"/>
      <c r="J33" s="8" t="s">
        <v>12</v>
      </c>
      <c r="K33" s="15">
        <f>+K32*10%</f>
        <v>615.21241745099996</v>
      </c>
    </row>
    <row r="34" spans="2:13" x14ac:dyDescent="0.3">
      <c r="B34" s="10" t="s">
        <v>923</v>
      </c>
      <c r="C34" s="11" t="s">
        <v>67</v>
      </c>
      <c r="D34" s="12">
        <v>3</v>
      </c>
      <c r="E34" s="12">
        <v>40</v>
      </c>
      <c r="F34" s="12">
        <v>5</v>
      </c>
      <c r="G34" s="13">
        <f>+VLOOKUP(Tabla11034534544554564793639496272819099112121131[[#This Row],[Ingrediente]],Tabla34[#All],3,0)</f>
        <v>25</v>
      </c>
      <c r="H34" s="14">
        <f>+Tabla11034534544554564793639496272819099112121131[[#This Row],[Costo]]*Tabla11034534544554564793639496272819099112121131[[#This Row],[Columna2]]</f>
        <v>125</v>
      </c>
      <c r="I34" s="4"/>
      <c r="J34" s="8" t="s">
        <v>13</v>
      </c>
      <c r="K34" s="15">
        <f>+K32+K33</f>
        <v>6767.3365919609996</v>
      </c>
      <c r="M34" s="377" t="s">
        <v>1377</v>
      </c>
    </row>
    <row r="35" spans="2:13" x14ac:dyDescent="0.3">
      <c r="B35" s="10" t="s">
        <v>150</v>
      </c>
      <c r="C35" s="11" t="s">
        <v>847</v>
      </c>
      <c r="D35" s="12">
        <v>1</v>
      </c>
      <c r="E35" s="12">
        <v>0</v>
      </c>
      <c r="F35" s="12">
        <v>1</v>
      </c>
      <c r="G35" s="13">
        <f>+VLOOKUP(Tabla11034534544554564793639496272819099112121131[[#This Row],[Ingrediente]],Tabla34[#All],3,0)</f>
        <v>1367.79290229</v>
      </c>
      <c r="H35" s="14">
        <f>+Tabla11034534544554564793639496272819099112121131[[#This Row],[Costo]]*Tabla11034534544554564793639496272819099112121131[[#This Row],[Columna2]]</f>
        <v>1367.79290229</v>
      </c>
      <c r="I35" s="4"/>
      <c r="J35" s="20" t="s">
        <v>14</v>
      </c>
      <c r="K35" s="21">
        <v>29000</v>
      </c>
      <c r="M35" s="346" t="s">
        <v>1674</v>
      </c>
    </row>
    <row r="36" spans="2:13" x14ac:dyDescent="0.3">
      <c r="B36" s="24" t="s">
        <v>158</v>
      </c>
      <c r="C36" s="11" t="s">
        <v>847</v>
      </c>
      <c r="D36" s="12">
        <v>1</v>
      </c>
      <c r="E36" s="12">
        <v>0</v>
      </c>
      <c r="F36" s="12">
        <v>1</v>
      </c>
      <c r="G36" s="13">
        <f>+VLOOKUP(Tabla11034534544554564793639496272819099112121131[[#This Row],[Ingrediente]],Tabla34[#All],3,0)</f>
        <v>1853.5411051599999</v>
      </c>
      <c r="H36" s="14">
        <f>+Tabla11034534544554564793639496272819099112121131[[#This Row],[Costo]]*Tabla11034534544554564793639496272819099112121131[[#This Row],[Columna2]]</f>
        <v>1853.5411051599999</v>
      </c>
      <c r="I36" s="4"/>
      <c r="J36" s="8" t="s">
        <v>15</v>
      </c>
      <c r="K36" s="15">
        <f>+K35/1.08*0.08</f>
        <v>2148.1481481481483</v>
      </c>
      <c r="M36" s="346" t="s">
        <v>1675</v>
      </c>
    </row>
    <row r="37" spans="2:13" x14ac:dyDescent="0.3">
      <c r="B37" s="10" t="s">
        <v>151</v>
      </c>
      <c r="C37" s="11" t="s">
        <v>847</v>
      </c>
      <c r="D37" s="12">
        <v>1</v>
      </c>
      <c r="E37" s="12">
        <v>0</v>
      </c>
      <c r="F37" s="12">
        <v>1</v>
      </c>
      <c r="G37" s="13">
        <f>+VLOOKUP(Tabla11034534544554564793639496272819099112121131[[#This Row],[Ingrediente]],Tabla34[#All],3,0)</f>
        <v>1041.0608032600001</v>
      </c>
      <c r="H37" s="14">
        <f>+Tabla11034534544554564793639496272819099112121131[[#This Row],[Costo]]*Tabla11034534544554564793639496272819099112121131[[#This Row],[Columna2]]</f>
        <v>1041.0608032600001</v>
      </c>
      <c r="I37" s="4"/>
      <c r="J37" s="8" t="s">
        <v>16</v>
      </c>
      <c r="K37" s="15">
        <f>+K35-K36</f>
        <v>26851.85185185185</v>
      </c>
      <c r="M37" s="346" t="s">
        <v>1676</v>
      </c>
    </row>
    <row r="38" spans="2:13" x14ac:dyDescent="0.3">
      <c r="B38" s="10" t="s">
        <v>830</v>
      </c>
      <c r="C38" s="11" t="s">
        <v>67</v>
      </c>
      <c r="D38" s="12">
        <v>20</v>
      </c>
      <c r="E38" s="12">
        <v>0</v>
      </c>
      <c r="F38" s="12">
        <v>20</v>
      </c>
      <c r="G38" s="13">
        <f>+VLOOKUP(Tabla11034534544554564793639496272819099112121131[[#This Row],[Ingrediente]],Tabla34[#All],3,0)</f>
        <v>31.5345288</v>
      </c>
      <c r="H38" s="14">
        <f>+Tabla11034534544554564793639496272819099112121131[[#This Row],[Costo]]*Tabla11034534544554564793639496272819099112121131[[#This Row],[Columna2]]</f>
        <v>630.69057599999996</v>
      </c>
      <c r="I38" s="4"/>
      <c r="J38" s="8" t="s">
        <v>17</v>
      </c>
      <c r="K38" s="22">
        <f>+K34/K37</f>
        <v>0.25202494894199584</v>
      </c>
    </row>
    <row r="39" spans="2:13" x14ac:dyDescent="0.3">
      <c r="B39" s="10" t="s">
        <v>337</v>
      </c>
      <c r="C39" s="11" t="s">
        <v>67</v>
      </c>
      <c r="D39" s="12">
        <v>20</v>
      </c>
      <c r="E39" s="12">
        <v>0</v>
      </c>
      <c r="F39" s="12">
        <v>20</v>
      </c>
      <c r="G39" s="13">
        <f>+VLOOKUP(Tabla11034534544554564793639496272819099112121131[[#This Row],[Ingrediente]],Tabla34[#All],3,0)</f>
        <v>5.1748148699999996</v>
      </c>
      <c r="H39" s="14">
        <f>+Tabla11034534544554564793639496272819099112121131[[#This Row],[Costo]]*Tabla11034534544554564793639496272819099112121131[[#This Row],[Columna2]]</f>
        <v>103.49629739999999</v>
      </c>
      <c r="I39" s="4"/>
      <c r="J39" s="8" t="s">
        <v>18</v>
      </c>
      <c r="K39" s="23">
        <f>+K37-K34</f>
        <v>20084.51525989085</v>
      </c>
    </row>
    <row r="40" spans="2:13" x14ac:dyDescent="0.3">
      <c r="B40" s="10" t="s">
        <v>1243</v>
      </c>
      <c r="C40" s="11" t="s">
        <v>67</v>
      </c>
      <c r="D40" s="12">
        <v>20</v>
      </c>
      <c r="E40" s="12">
        <v>0</v>
      </c>
      <c r="F40" s="12">
        <v>20</v>
      </c>
      <c r="G40" s="13">
        <f>+VLOOKUP(Tabla11034534544554564793639496272819099112121131[[#This Row],[Ingrediente]],Tabla34[#All],3,0)</f>
        <v>14.37422452</v>
      </c>
      <c r="H40" s="14">
        <f>+Tabla11034534544554564793639496272819099112121131[[#This Row],[Costo]]*Tabla11034534544554564793639496272819099112121131[[#This Row],[Columna2]]</f>
        <v>287.48449040000003</v>
      </c>
      <c r="I40" s="4"/>
      <c r="J40" s="8" t="s">
        <v>19</v>
      </c>
      <c r="K40" s="25">
        <f>+K39/K34</f>
        <v>2.9678611351694086</v>
      </c>
    </row>
    <row r="41" spans="2:13" x14ac:dyDescent="0.3">
      <c r="B41" s="24" t="s">
        <v>848</v>
      </c>
      <c r="C41" s="11" t="s">
        <v>67</v>
      </c>
      <c r="D41" s="12">
        <v>15</v>
      </c>
      <c r="E41" s="12">
        <v>0</v>
      </c>
      <c r="F41" s="12">
        <v>15</v>
      </c>
      <c r="G41" s="13"/>
      <c r="H41" s="14">
        <f>+Tabla11034534544554564793639496272819099112121131[[#This Row],[Costo]]*Tabla11034534544554564793639496272819099112121131[[#This Row],[Columna2]]</f>
        <v>0</v>
      </c>
      <c r="I41" s="4"/>
      <c r="J41" s="4"/>
      <c r="K41" s="31"/>
    </row>
    <row r="42" spans="2:13" x14ac:dyDescent="0.3">
      <c r="B42" s="16"/>
      <c r="C42" s="17"/>
      <c r="D42" s="17"/>
      <c r="E42" s="17"/>
      <c r="F42" s="17"/>
      <c r="G42" s="18"/>
      <c r="H42" s="18">
        <f>SUBTOTAL(109,Tabla11034534544554564793639496272819099112121131[Total costo])</f>
        <v>6152.1241745099996</v>
      </c>
      <c r="J42" s="27"/>
      <c r="K42" s="27"/>
    </row>
    <row r="43" spans="2:13" x14ac:dyDescent="0.3">
      <c r="G43" s="4"/>
    </row>
    <row r="44" spans="2:13" ht="15.6" x14ac:dyDescent="0.3">
      <c r="B44" s="1" t="s">
        <v>84</v>
      </c>
      <c r="C44" s="2"/>
      <c r="D44" s="2"/>
      <c r="E44" s="3"/>
      <c r="F44" s="3"/>
      <c r="G44" s="3"/>
      <c r="H44" s="3"/>
      <c r="I44" s="4"/>
      <c r="J44" s="399" t="s">
        <v>0</v>
      </c>
      <c r="K44" s="399"/>
      <c r="M44" s="377" t="s">
        <v>1394</v>
      </c>
    </row>
    <row r="45" spans="2:13" x14ac:dyDescent="0.3">
      <c r="B45" s="5" t="s">
        <v>1</v>
      </c>
      <c r="C45" s="6" t="s">
        <v>2</v>
      </c>
      <c r="D45" s="6" t="s">
        <v>3</v>
      </c>
      <c r="E45" s="6" t="s">
        <v>920</v>
      </c>
      <c r="F45" s="6" t="s">
        <v>319</v>
      </c>
      <c r="G45" s="7" t="s">
        <v>4</v>
      </c>
      <c r="H45" s="7" t="s">
        <v>5</v>
      </c>
      <c r="I45" s="4"/>
      <c r="J45" s="8" t="s">
        <v>6</v>
      </c>
      <c r="K45" s="9">
        <f>SUM(Tabla110345345445545647936405063738291100113122132[Total costo])</f>
        <v>5126.8579033999995</v>
      </c>
      <c r="M45" s="346" t="s">
        <v>1678</v>
      </c>
    </row>
    <row r="46" spans="2:13" x14ac:dyDescent="0.3">
      <c r="B46" s="10" t="s">
        <v>1068</v>
      </c>
      <c r="C46" s="11" t="s">
        <v>67</v>
      </c>
      <c r="D46" s="12">
        <v>35</v>
      </c>
      <c r="E46" s="12">
        <v>0</v>
      </c>
      <c r="F46" s="12">
        <v>35</v>
      </c>
      <c r="G46" s="13">
        <f>+VLOOKUP(Tabla110345345445545647936405063738291100113122132[[#This Row],[Ingrediente]],Tabla34[#All],3,0)</f>
        <v>8.2561999999999998</v>
      </c>
      <c r="H46" s="14">
        <f>+Tabla110345345445545647936405063738291100113122132[[#This Row],[Costo]]*Tabla110345345445545647936405063738291100113122132[[#This Row],[Columna2]]</f>
        <v>288.96699999999998</v>
      </c>
      <c r="I46" s="4"/>
      <c r="J46" s="8" t="s">
        <v>12</v>
      </c>
      <c r="K46" s="15">
        <f>+K45*10%</f>
        <v>512.68579033999993</v>
      </c>
      <c r="M46" s="346" t="s">
        <v>1677</v>
      </c>
    </row>
    <row r="47" spans="2:13" x14ac:dyDescent="0.3">
      <c r="B47" s="10" t="s">
        <v>923</v>
      </c>
      <c r="C47" s="11" t="s">
        <v>67</v>
      </c>
      <c r="D47" s="12">
        <v>3</v>
      </c>
      <c r="E47" s="12">
        <v>40</v>
      </c>
      <c r="F47" s="12">
        <v>5</v>
      </c>
      <c r="G47" s="13">
        <f>+VLOOKUP(Tabla110345345445545647936405063738291100113122132[[#This Row],[Ingrediente]],Tabla34[#All],3,0)</f>
        <v>25</v>
      </c>
      <c r="H47" s="14">
        <f>+Tabla110345345445545647936405063738291100113122132[[#This Row],[Costo]]*Tabla110345345445545647936405063738291100113122132[[#This Row],[Columna2]]</f>
        <v>125</v>
      </c>
      <c r="I47" s="4"/>
      <c r="J47" s="8" t="s">
        <v>13</v>
      </c>
      <c r="K47" s="15">
        <f>+K45+K46</f>
        <v>5639.5436937399991</v>
      </c>
    </row>
    <row r="48" spans="2:13" x14ac:dyDescent="0.3">
      <c r="B48" s="10" t="s">
        <v>641</v>
      </c>
      <c r="C48" s="11" t="s">
        <v>67</v>
      </c>
      <c r="D48" s="12">
        <v>30</v>
      </c>
      <c r="E48" s="12">
        <v>0</v>
      </c>
      <c r="F48" s="12">
        <v>30</v>
      </c>
      <c r="G48" s="13">
        <f>+VLOOKUP(Tabla110345345445545647936405063738291100113122132[[#This Row],[Ingrediente]],Tabla34[#All],3,0)</f>
        <v>8.9</v>
      </c>
      <c r="H48" s="14">
        <f>+Tabla110345345445545647936405063738291100113122132[[#This Row],[Costo]]*Tabla110345345445545647936405063738291100113122132[[#This Row],[Columna2]]</f>
        <v>267</v>
      </c>
      <c r="I48" s="4"/>
      <c r="J48" s="20" t="s">
        <v>14</v>
      </c>
      <c r="K48" s="21">
        <v>26000</v>
      </c>
      <c r="M48" s="377" t="s">
        <v>1377</v>
      </c>
    </row>
    <row r="49" spans="2:13" x14ac:dyDescent="0.3">
      <c r="B49" s="10" t="s">
        <v>822</v>
      </c>
      <c r="C49" s="11" t="s">
        <v>67</v>
      </c>
      <c r="D49" s="12">
        <v>50</v>
      </c>
      <c r="E49" s="12">
        <v>0</v>
      </c>
      <c r="F49" s="12">
        <v>50</v>
      </c>
      <c r="G49" s="13">
        <f>+VLOOKUP(Tabla110345345445545647936405063738291100113122132[[#This Row],[Ingrediente]],Tabla34[#All],3,0)</f>
        <v>5.0634950099999996</v>
      </c>
      <c r="H49" s="14">
        <f>+Tabla110345345445545647936405063738291100113122132[[#This Row],[Costo]]*Tabla110345345445545647936405063738291100113122132[[#This Row],[Columna2]]</f>
        <v>253.17475049999999</v>
      </c>
      <c r="I49" s="4"/>
      <c r="J49" s="8" t="s">
        <v>15</v>
      </c>
      <c r="K49" s="15">
        <f>+K48/1.08*0.08</f>
        <v>1925.9259259259259</v>
      </c>
      <c r="M49" s="346" t="s">
        <v>1679</v>
      </c>
    </row>
    <row r="50" spans="2:13" x14ac:dyDescent="0.3">
      <c r="B50" s="10" t="s">
        <v>152</v>
      </c>
      <c r="C50" s="11" t="s">
        <v>67</v>
      </c>
      <c r="D50" s="12">
        <v>90</v>
      </c>
      <c r="E50" s="12">
        <v>0</v>
      </c>
      <c r="F50" s="12">
        <v>90</v>
      </c>
      <c r="G50" s="13">
        <f>+VLOOKUP(Tabla110345345445545647936405063738291100113122132[[#This Row],[Ingrediente]],Tabla34[#All],3,0)</f>
        <v>20.646680409999998</v>
      </c>
      <c r="H50" s="14">
        <f>+Tabla110345345445545647936405063738291100113122132[[#This Row],[Costo]]*Tabla110345345445545647936405063738291100113122132[[#This Row],[Columna2]]</f>
        <v>1858.2012368999999</v>
      </c>
      <c r="I50" s="4"/>
      <c r="J50" s="8" t="s">
        <v>16</v>
      </c>
      <c r="K50" s="15">
        <f>+K48-K49</f>
        <v>24074.074074074073</v>
      </c>
      <c r="M50" s="346" t="s">
        <v>1680</v>
      </c>
    </row>
    <row r="51" spans="2:13" x14ac:dyDescent="0.3">
      <c r="B51" s="10" t="s">
        <v>160</v>
      </c>
      <c r="C51" s="11" t="s">
        <v>67</v>
      </c>
      <c r="D51" s="12">
        <v>80</v>
      </c>
      <c r="E51" s="12">
        <v>0</v>
      </c>
      <c r="F51" s="12">
        <v>80</v>
      </c>
      <c r="G51" s="13">
        <f>+VLOOKUP(Tabla110345345445545647936405063738291100113122132[[#This Row],[Ingrediente]],Tabla34[#All],3,0)</f>
        <v>29.18143645</v>
      </c>
      <c r="H51" s="14">
        <f>+Tabla110345345445545647936405063738291100113122132[[#This Row],[Costo]]*Tabla110345345445545647936405063738291100113122132[[#This Row],[Columna2]]</f>
        <v>2334.5149160000001</v>
      </c>
      <c r="I51" s="4"/>
      <c r="J51" s="8" t="s">
        <v>17</v>
      </c>
      <c r="K51" s="22">
        <f>+K47/K50</f>
        <v>0.23425796881689229</v>
      </c>
    </row>
    <row r="52" spans="2:13" x14ac:dyDescent="0.3">
      <c r="B52" s="16"/>
      <c r="C52" s="17"/>
      <c r="D52" s="17"/>
      <c r="E52" s="17"/>
      <c r="F52" s="17"/>
      <c r="G52" s="18"/>
      <c r="H52" s="18">
        <f>SUBTOTAL(109,Tabla110345345445545647936405063738291100113122132[Total costo])</f>
        <v>5126.8579033999995</v>
      </c>
      <c r="I52" s="4"/>
      <c r="J52" s="8" t="s">
        <v>18</v>
      </c>
      <c r="K52" s="23">
        <f>+K50-K47</f>
        <v>18434.530380334072</v>
      </c>
    </row>
    <row r="53" spans="2:13" x14ac:dyDescent="0.3">
      <c r="I53" s="4"/>
      <c r="J53" s="8" t="s">
        <v>19</v>
      </c>
      <c r="K53" s="25">
        <f>+K52/K47</f>
        <v>3.2687982186921882</v>
      </c>
    </row>
    <row r="54" spans="2:13" x14ac:dyDescent="0.3">
      <c r="G54" s="4"/>
      <c r="H54" s="4"/>
      <c r="I54" s="26"/>
    </row>
    <row r="55" spans="2:13" x14ac:dyDescent="0.3">
      <c r="G55" s="4"/>
      <c r="H55" s="4"/>
      <c r="I55" s="26"/>
    </row>
    <row r="56" spans="2:13" x14ac:dyDescent="0.3">
      <c r="G56" s="4"/>
      <c r="H56" s="4"/>
      <c r="I56" s="26"/>
    </row>
    <row r="57" spans="2:13" ht="15.6" x14ac:dyDescent="0.3">
      <c r="B57" s="1" t="s">
        <v>874</v>
      </c>
      <c r="C57" s="2"/>
      <c r="D57" s="2"/>
      <c r="E57" s="3"/>
      <c r="F57" s="3"/>
      <c r="G57" s="3"/>
      <c r="H57" s="3"/>
      <c r="I57" s="27"/>
      <c r="J57" s="399" t="s">
        <v>0</v>
      </c>
      <c r="K57" s="399"/>
      <c r="M57" s="377" t="s">
        <v>1394</v>
      </c>
    </row>
    <row r="58" spans="2:13" x14ac:dyDescent="0.3">
      <c r="B58" s="5" t="s">
        <v>1</v>
      </c>
      <c r="C58" s="6" t="s">
        <v>2</v>
      </c>
      <c r="D58" s="6" t="s">
        <v>3</v>
      </c>
      <c r="E58" s="6" t="s">
        <v>920</v>
      </c>
      <c r="F58" s="6" t="s">
        <v>319</v>
      </c>
      <c r="G58" s="7" t="s">
        <v>4</v>
      </c>
      <c r="H58" s="7" t="s">
        <v>5</v>
      </c>
      <c r="J58" s="8" t="s">
        <v>6</v>
      </c>
      <c r="K58" s="9">
        <f>SUM(Tabla110345345445545647936425164748392101114123133[Total costo])</f>
        <v>3352.0447005999999</v>
      </c>
      <c r="M58" s="346" t="s">
        <v>1681</v>
      </c>
    </row>
    <row r="59" spans="2:13" x14ac:dyDescent="0.3">
      <c r="B59" s="10" t="s">
        <v>648</v>
      </c>
      <c r="C59" s="11" t="s">
        <v>67</v>
      </c>
      <c r="D59" s="12">
        <v>50</v>
      </c>
      <c r="E59" s="12">
        <v>0</v>
      </c>
      <c r="F59" s="12">
        <v>50</v>
      </c>
      <c r="G59" s="13">
        <f>+VLOOKUP(Tabla110345345445545647936425164748392101114123133[[#This Row],[Ingrediente]],Tabla34[#All],3,0)</f>
        <v>10.890823879999999</v>
      </c>
      <c r="H59" s="14">
        <f>+Tabla110345345445545647936425164748392101114123133[[#This Row],[Costo]]*Tabla110345345445545647936425164748392101114123133[[#This Row],[Columna2]]</f>
        <v>544.5411939999999</v>
      </c>
      <c r="I59" s="4"/>
      <c r="J59" s="8" t="s">
        <v>12</v>
      </c>
      <c r="K59" s="15">
        <f>+K58*10%</f>
        <v>335.20447006000001</v>
      </c>
      <c r="M59" s="346" t="s">
        <v>1682</v>
      </c>
    </row>
    <row r="60" spans="2:13" x14ac:dyDescent="0.3">
      <c r="B60" s="10" t="s">
        <v>749</v>
      </c>
      <c r="C60" s="11" t="s">
        <v>67</v>
      </c>
      <c r="D60" s="12">
        <v>3</v>
      </c>
      <c r="E60" s="12">
        <v>0</v>
      </c>
      <c r="F60" s="12">
        <v>3</v>
      </c>
      <c r="G60" s="13">
        <f>+VLOOKUP(Tabla110345345445545647936425164748392101114123133[[#This Row],[Ingrediente]],Tabla34[#All],3,0)</f>
        <v>7.7007000000000003</v>
      </c>
      <c r="H60" s="14">
        <f>+Tabla110345345445545647936425164748392101114123133[[#This Row],[Costo]]*Tabla110345345445545647936425164748392101114123133[[#This Row],[Columna2]]</f>
        <v>23.1021</v>
      </c>
      <c r="I60" s="4"/>
      <c r="J60" s="8" t="s">
        <v>13</v>
      </c>
      <c r="K60" s="15">
        <f>+K58+K59</f>
        <v>3687.2491706599999</v>
      </c>
    </row>
    <row r="61" spans="2:13" x14ac:dyDescent="0.3">
      <c r="B61" s="10" t="s">
        <v>711</v>
      </c>
      <c r="C61" s="11" t="s">
        <v>67</v>
      </c>
      <c r="D61" s="12">
        <v>29.9999988</v>
      </c>
      <c r="E61" s="12">
        <v>10</v>
      </c>
      <c r="F61" s="12">
        <v>33.333331999999999</v>
      </c>
      <c r="G61" s="13">
        <f>+VLOOKUP(Tabla110345345445545647936425164748392101114123133[[#This Row],[Ingrediente]],Tabla34[#All],3,0)</f>
        <v>12.5</v>
      </c>
      <c r="H61" s="14">
        <f>+Tabla110345345445545647936425164748392101114123133[[#This Row],[Costo]]*Tabla110345345445545647936425164748392101114123133[[#This Row],[Columna2]]</f>
        <v>416.66665</v>
      </c>
      <c r="I61" s="4"/>
      <c r="J61" s="20" t="s">
        <v>14</v>
      </c>
      <c r="K61" s="21">
        <v>26000</v>
      </c>
      <c r="M61" s="377" t="s">
        <v>1377</v>
      </c>
    </row>
    <row r="62" spans="2:13" x14ac:dyDescent="0.3">
      <c r="B62" s="10" t="s">
        <v>923</v>
      </c>
      <c r="C62" s="11" t="s">
        <v>67</v>
      </c>
      <c r="D62" s="12">
        <v>3</v>
      </c>
      <c r="E62" s="12">
        <v>40</v>
      </c>
      <c r="F62" s="12">
        <v>5</v>
      </c>
      <c r="G62" s="13">
        <f>+VLOOKUP(Tabla110345345445545647936425164748392101114123133[[#This Row],[Ingrediente]],Tabla34[#All],3,0)</f>
        <v>25</v>
      </c>
      <c r="H62" s="14">
        <f>+Tabla110345345445545647936425164748392101114123133[[#This Row],[Costo]]*Tabla110345345445545647936425164748392101114123133[[#This Row],[Columna2]]</f>
        <v>125</v>
      </c>
      <c r="I62" s="4"/>
      <c r="J62" s="8" t="s">
        <v>15</v>
      </c>
      <c r="K62" s="15">
        <f>+K61/1.08*0.08</f>
        <v>1925.9259259259259</v>
      </c>
      <c r="M62" s="346"/>
    </row>
    <row r="63" spans="2:13" x14ac:dyDescent="0.3">
      <c r="B63" s="10" t="s">
        <v>685</v>
      </c>
      <c r="C63" s="11" t="s">
        <v>67</v>
      </c>
      <c r="D63" s="12">
        <v>100</v>
      </c>
      <c r="E63" s="12">
        <v>0</v>
      </c>
      <c r="F63" s="12">
        <v>100</v>
      </c>
      <c r="G63" s="13">
        <f>+VLOOKUP(Tabla110345345445545647936425164748392101114123133[[#This Row],[Ingrediente]],Tabla34[#All],3,0)</f>
        <v>16.472813330000001</v>
      </c>
      <c r="H63" s="14">
        <f>+Tabla110345345445545647936425164748392101114123133[[#This Row],[Costo]]*Tabla110345345445545647936425164748392101114123133[[#This Row],[Columna2]]</f>
        <v>1647.2813330000001</v>
      </c>
      <c r="I63" s="4"/>
      <c r="J63" s="8" t="s">
        <v>16</v>
      </c>
      <c r="K63" s="15">
        <f>+K61-K62</f>
        <v>24074.074074074073</v>
      </c>
      <c r="M63" s="346"/>
    </row>
    <row r="64" spans="2:13" x14ac:dyDescent="0.3">
      <c r="B64" s="10" t="s">
        <v>157</v>
      </c>
      <c r="C64" s="11" t="s">
        <v>67</v>
      </c>
      <c r="D64" s="12">
        <v>10</v>
      </c>
      <c r="E64" s="12">
        <v>0</v>
      </c>
      <c r="F64" s="12">
        <v>10</v>
      </c>
      <c r="G64" s="13">
        <f>+VLOOKUP(Tabla110345345445545647936425164748392101114123133[[#This Row],[Ingrediente]],Tabla34[#All],3,0)</f>
        <v>13.409262439999999</v>
      </c>
      <c r="H64" s="14">
        <f>+Tabla110345345445545647936425164748392101114123133[[#This Row],[Costo]]*Tabla110345345445545647936425164748392101114123133[[#This Row],[Columna2]]</f>
        <v>134.09262439999998</v>
      </c>
      <c r="I64" s="4"/>
      <c r="J64" s="8" t="s">
        <v>17</v>
      </c>
      <c r="K64" s="22">
        <f>+K60/K63</f>
        <v>0.15316265785818461</v>
      </c>
      <c r="M64" s="346"/>
    </row>
    <row r="65" spans="2:13" x14ac:dyDescent="0.3">
      <c r="B65" s="10" t="s">
        <v>1243</v>
      </c>
      <c r="C65" s="11" t="s">
        <v>67</v>
      </c>
      <c r="D65" s="12">
        <v>10</v>
      </c>
      <c r="E65" s="12">
        <v>0</v>
      </c>
      <c r="F65" s="12">
        <v>10</v>
      </c>
      <c r="G65" s="13">
        <f>+VLOOKUP(Tabla110345345445545647936425164748392101114123133[[#This Row],[Ingrediente]],Tabla34[#All],3,0)</f>
        <v>14.37422452</v>
      </c>
      <c r="H65" s="14">
        <f>+Tabla110345345445545647936425164748392101114123133[[#This Row],[Costo]]*Tabla110345345445545647936425164748392101114123133[[#This Row],[Columna2]]</f>
        <v>143.74224520000001</v>
      </c>
      <c r="I65" s="4"/>
      <c r="J65" s="8" t="s">
        <v>18</v>
      </c>
      <c r="K65" s="23">
        <f>+K63-K60</f>
        <v>20386.824903414072</v>
      </c>
      <c r="M65" s="346"/>
    </row>
    <row r="66" spans="2:13" x14ac:dyDescent="0.3">
      <c r="B66" s="10" t="s">
        <v>163</v>
      </c>
      <c r="C66" s="11" t="s">
        <v>67</v>
      </c>
      <c r="D66" s="12">
        <v>20</v>
      </c>
      <c r="E66" s="12">
        <v>0</v>
      </c>
      <c r="F66" s="12">
        <v>20</v>
      </c>
      <c r="G66" s="13">
        <f>+VLOOKUP(Tabla110345345445545647936425164748392101114123133[[#This Row],[Ingrediente]],Tabla34[#All],3,0)</f>
        <v>15.880927700000001</v>
      </c>
      <c r="H66" s="14">
        <f>+Tabla110345345445545647936425164748392101114123133[[#This Row],[Costo]]*Tabla110345345445545647936425164748392101114123133[[#This Row],[Columna2]]</f>
        <v>317.61855400000002</v>
      </c>
      <c r="I66" s="4"/>
      <c r="J66" s="8" t="s">
        <v>19</v>
      </c>
      <c r="K66" s="25">
        <f>+K65/K60</f>
        <v>5.5290065736905243</v>
      </c>
      <c r="M66" s="346"/>
    </row>
    <row r="67" spans="2:13" x14ac:dyDescent="0.3">
      <c r="B67" s="16"/>
      <c r="C67" s="17"/>
      <c r="D67" s="17"/>
      <c r="E67" s="17"/>
      <c r="F67" s="17"/>
      <c r="G67" s="18"/>
      <c r="H67" s="18">
        <f>SUBTOTAL(109,Tabla110345345445545647936425164748392101114123133[Total costo])</f>
        <v>3352.0447005999999</v>
      </c>
      <c r="I67" s="4"/>
      <c r="J67" s="4"/>
      <c r="K67" s="26"/>
      <c r="M67" s="346"/>
    </row>
    <row r="68" spans="2:13" x14ac:dyDescent="0.3">
      <c r="G68" s="27"/>
      <c r="M68" s="346"/>
    </row>
    <row r="69" spans="2:13" x14ac:dyDescent="0.3">
      <c r="M69" s="346"/>
    </row>
    <row r="70" spans="2:13" ht="15.6" x14ac:dyDescent="0.3">
      <c r="B70" s="1" t="s">
        <v>1094</v>
      </c>
      <c r="C70" s="2"/>
      <c r="D70" s="2"/>
      <c r="E70" s="3"/>
      <c r="F70" s="3"/>
      <c r="G70" s="3"/>
      <c r="H70" s="3"/>
      <c r="I70" s="40"/>
      <c r="J70" s="399" t="s">
        <v>0</v>
      </c>
      <c r="K70" s="399"/>
      <c r="M70" s="377" t="s">
        <v>1394</v>
      </c>
    </row>
    <row r="71" spans="2:13" x14ac:dyDescent="0.3">
      <c r="B71" s="16" t="s">
        <v>857</v>
      </c>
      <c r="C71" s="17" t="s">
        <v>895</v>
      </c>
      <c r="D71" s="17" t="s">
        <v>892</v>
      </c>
      <c r="E71" s="17" t="s">
        <v>893</v>
      </c>
      <c r="F71" s="17" t="s">
        <v>894</v>
      </c>
      <c r="G71" s="76" t="s">
        <v>4</v>
      </c>
      <c r="H71" s="76" t="s">
        <v>5</v>
      </c>
      <c r="I71" s="40"/>
      <c r="J71" s="8" t="s">
        <v>6</v>
      </c>
      <c r="K71" s="9">
        <f>SUM(Tabla1103453454455456479455868778695108117127136228237246272332602692973153163484944934995275283742432[Total costo])</f>
        <v>5634.8343134900006</v>
      </c>
      <c r="M71" s="346"/>
    </row>
    <row r="72" spans="2:13" x14ac:dyDescent="0.3">
      <c r="B72" s="10" t="s">
        <v>898</v>
      </c>
      <c r="C72" s="11" t="s">
        <v>67</v>
      </c>
      <c r="D72" s="12">
        <v>90</v>
      </c>
      <c r="E72" s="12">
        <v>0</v>
      </c>
      <c r="F72" s="12">
        <v>90</v>
      </c>
      <c r="G72" s="13">
        <f>+VLOOKUP(Tabla1103453454455456479455868778695108117127136228237246272332602692973153163484944934995275283742432[[#This Row],[ArtÃ­culo]],Tabla34[#All],3,0)</f>
        <v>22.421210869999999</v>
      </c>
      <c r="H72" s="14">
        <f>+Tabla1103453454455456479455868778695108117127136228237246272332602692973153163484944934995275283742432[[#This Row],[Costo]]*Tabla1103453454455456479455868778695108117127136228237246272332602692973153163484944934995275283742432[[#This Row],[Unidades]]</f>
        <v>2017.9089782999999</v>
      </c>
      <c r="I72" s="40"/>
      <c r="J72" s="8" t="s">
        <v>533</v>
      </c>
      <c r="K72" s="15">
        <f>+K71*5%</f>
        <v>281.74171567450003</v>
      </c>
      <c r="M72" s="346"/>
    </row>
    <row r="73" spans="2:13" x14ac:dyDescent="0.3">
      <c r="B73" s="10" t="s">
        <v>1083</v>
      </c>
      <c r="C73" s="11" t="s">
        <v>847</v>
      </c>
      <c r="D73" s="12">
        <v>1</v>
      </c>
      <c r="E73" s="12">
        <v>0</v>
      </c>
      <c r="F73" s="12">
        <v>1</v>
      </c>
      <c r="G73" s="13">
        <f>+VLOOKUP(Tabla1103453454455456479455868778695108117127136228237246272332602692973153163484944934995275283742432[[#This Row],[ArtÃ­culo]],Tabla34[#All],3,0)</f>
        <v>2581.9174509899999</v>
      </c>
      <c r="H73" s="14">
        <f>+Tabla1103453454455456479455868778695108117127136228237246272332602692973153163484944934995275283742432[[#This Row],[Costo]]*Tabla1103453454455456479455868778695108117127136228237246272332602692973153163484944934995275283742432[[#This Row],[Unidades]]</f>
        <v>2581.9174509899999</v>
      </c>
      <c r="I73" s="40"/>
      <c r="J73" s="8" t="s">
        <v>13</v>
      </c>
      <c r="K73" s="15">
        <f>+K71+K72</f>
        <v>5916.5760291645001</v>
      </c>
      <c r="M73" s="346"/>
    </row>
    <row r="74" spans="2:13" x14ac:dyDescent="0.3">
      <c r="B74" s="10" t="s">
        <v>711</v>
      </c>
      <c r="C74" s="11" t="s">
        <v>67</v>
      </c>
      <c r="D74" s="12">
        <v>29.9999988</v>
      </c>
      <c r="E74" s="12">
        <v>10</v>
      </c>
      <c r="F74" s="12">
        <v>33.333331999999999</v>
      </c>
      <c r="G74" s="13">
        <f>+VLOOKUP(Tabla1103453454455456479455868778695108117127136228237246272332602692973153163484944934995275283742432[[#This Row],[ArtÃ­culo]],Tabla34[#All],3,0)</f>
        <v>12.5</v>
      </c>
      <c r="H74" s="14">
        <f>+Tabla1103453454455456479455868778695108117127136228237246272332602692973153163484944934995275283742432[[#This Row],[Costo]]*Tabla1103453454455456479455868778695108117127136228237246272332602692973153163484944934995275283742432[[#This Row],[Unidades]]</f>
        <v>416.66665</v>
      </c>
      <c r="I74" s="40"/>
      <c r="J74" s="20" t="s">
        <v>14</v>
      </c>
      <c r="K74" s="21">
        <v>24000</v>
      </c>
      <c r="M74" s="346"/>
    </row>
    <row r="75" spans="2:13" x14ac:dyDescent="0.3">
      <c r="B75" s="10" t="s">
        <v>897</v>
      </c>
      <c r="C75" s="11" t="s">
        <v>67</v>
      </c>
      <c r="D75" s="12">
        <v>15</v>
      </c>
      <c r="E75" s="12">
        <v>0</v>
      </c>
      <c r="F75" s="12">
        <v>15</v>
      </c>
      <c r="G75" s="13">
        <f>+VLOOKUP(Tabla1103453454455456479455868778695108117127136228237246272332602692973153163484944934995275283742432[[#This Row],[ArtÃ­culo]],Tabla34[#All],3,0)</f>
        <v>21.931591279999999</v>
      </c>
      <c r="H75" s="14">
        <f>+Tabla1103453454455456479455868778695108117127136228237246272332602692973153163484944934995275283742432[[#This Row],[Costo]]*Tabla1103453454455456479455868778695108117127136228237246272332602692973153163484944934995275283742432[[#This Row],[Unidades]]</f>
        <v>328.97386919999997</v>
      </c>
      <c r="I75" s="40"/>
      <c r="J75" s="8" t="s">
        <v>15</v>
      </c>
      <c r="K75" s="15">
        <f>+K74/1.08*0.08</f>
        <v>1777.7777777777776</v>
      </c>
    </row>
    <row r="76" spans="2:13" x14ac:dyDescent="0.3">
      <c r="B76" s="10" t="s">
        <v>734</v>
      </c>
      <c r="C76" s="11" t="s">
        <v>67</v>
      </c>
      <c r="D76" s="12">
        <v>4</v>
      </c>
      <c r="E76" s="12">
        <v>0</v>
      </c>
      <c r="F76" s="12">
        <v>4</v>
      </c>
      <c r="G76" s="13">
        <f>+VLOOKUP(Tabla1103453454455456479455868778695108117127136228237246272332602692973153163484944934995275283742432[[#This Row],[ArtÃ­culo]],Tabla34[#All],3,0)</f>
        <v>60</v>
      </c>
      <c r="H76" s="14">
        <f>+Tabla1103453454455456479455868778695108117127136228237246272332602692973153163484944934995275283742432[[#This Row],[Costo]]*Tabla1103453454455456479455868778695108117127136228237246272332602692973153163484944934995275283742432[[#This Row],[Unidades]]</f>
        <v>240</v>
      </c>
      <c r="I76" s="40"/>
      <c r="J76" s="8" t="s">
        <v>16</v>
      </c>
      <c r="K76" s="15">
        <f>+K74-K75</f>
        <v>22222.222222222223</v>
      </c>
      <c r="M76" s="377" t="s">
        <v>1377</v>
      </c>
    </row>
    <row r="77" spans="2:13" x14ac:dyDescent="0.3">
      <c r="B77" s="10" t="s">
        <v>923</v>
      </c>
      <c r="C77" s="11" t="s">
        <v>67</v>
      </c>
      <c r="D77" s="12">
        <v>0.99999996000000002</v>
      </c>
      <c r="E77" s="12">
        <v>40</v>
      </c>
      <c r="F77" s="12">
        <v>1.6666666000000001</v>
      </c>
      <c r="G77" s="13">
        <f>+VLOOKUP(Tabla1103453454455456479455868778695108117127136228237246272332602692973153163484944934995275283742432[[#This Row],[ArtÃ­culo]],Tabla34[#All],3,0)</f>
        <v>25</v>
      </c>
      <c r="H77" s="14">
        <f>+Tabla1103453454455456479455868778695108117127136228237246272332602692973153163484944934995275283742432[[#This Row],[Costo]]*Tabla1103453454455456479455868778695108117127136228237246272332602692973153163484944934995275283742432[[#This Row],[Unidades]]</f>
        <v>41.666665000000002</v>
      </c>
      <c r="I77" s="40"/>
      <c r="J77" s="8" t="s">
        <v>17</v>
      </c>
      <c r="K77" s="41">
        <f>+K73/K76</f>
        <v>0.26624592131240249</v>
      </c>
      <c r="M77" s="346"/>
    </row>
    <row r="78" spans="2:13" x14ac:dyDescent="0.3">
      <c r="B78" s="10" t="s">
        <v>749</v>
      </c>
      <c r="C78" s="11" t="s">
        <v>67</v>
      </c>
      <c r="D78" s="12">
        <v>1</v>
      </c>
      <c r="E78" s="12">
        <v>0</v>
      </c>
      <c r="F78" s="12">
        <v>1</v>
      </c>
      <c r="G78" s="13">
        <f>+VLOOKUP(Tabla1103453454455456479455868778695108117127136228237246272332602692973153163484944934995275283742432[[#This Row],[ArtÃ­culo]],Tabla34[#All],3,0)</f>
        <v>7.7007000000000003</v>
      </c>
      <c r="H78" s="14">
        <f>+Tabla1103453454455456479455868778695108117127136228237246272332602692973153163484944934995275283742432[[#This Row],[Costo]]*Tabla1103453454455456479455868778695108117127136228237246272332602692973153163484944934995275283742432[[#This Row],[Unidades]]</f>
        <v>7.7007000000000003</v>
      </c>
      <c r="I78" s="40"/>
      <c r="J78" s="8" t="s">
        <v>18</v>
      </c>
      <c r="K78" s="42">
        <f>+K76-K73</f>
        <v>16305.646193057722</v>
      </c>
      <c r="M78" s="346"/>
    </row>
    <row r="79" spans="2:13" x14ac:dyDescent="0.3">
      <c r="B79" s="16"/>
      <c r="C79" s="17"/>
      <c r="D79" s="17"/>
      <c r="E79" s="17"/>
      <c r="F79" s="17"/>
      <c r="G79" s="18"/>
      <c r="H79" s="18">
        <f>SUBTOTAL(109,Tabla1103453454455456479455868778695108117127136228237246272332602692973153163484944934995275283742432[Total costo])</f>
        <v>5634.8343134900006</v>
      </c>
      <c r="I79" s="40"/>
      <c r="J79" s="8" t="s">
        <v>19</v>
      </c>
      <c r="K79" s="43">
        <f>+K78/K73</f>
        <v>2.75592608168686</v>
      </c>
      <c r="M79" s="346"/>
    </row>
    <row r="80" spans="2:13" x14ac:dyDescent="0.3">
      <c r="M80" s="346"/>
    </row>
    <row r="82" spans="2:13" ht="15.6" x14ac:dyDescent="0.3">
      <c r="B82" s="1" t="s">
        <v>1116</v>
      </c>
      <c r="C82" s="2"/>
      <c r="D82" s="2"/>
      <c r="E82" s="3"/>
      <c r="F82" s="3"/>
      <c r="G82" s="3"/>
      <c r="H82" s="3"/>
      <c r="I82" s="40"/>
      <c r="J82" s="399" t="s">
        <v>0</v>
      </c>
      <c r="K82" s="399"/>
      <c r="M82" s="377" t="s">
        <v>1394</v>
      </c>
    </row>
    <row r="83" spans="2:13" x14ac:dyDescent="0.3">
      <c r="B83" s="16" t="s">
        <v>857</v>
      </c>
      <c r="C83" s="17" t="s">
        <v>895</v>
      </c>
      <c r="D83" s="17" t="s">
        <v>892</v>
      </c>
      <c r="E83" s="17" t="s">
        <v>893</v>
      </c>
      <c r="F83" s="17" t="s">
        <v>894</v>
      </c>
      <c r="G83" s="76" t="s">
        <v>4</v>
      </c>
      <c r="H83" s="76" t="s">
        <v>5</v>
      </c>
      <c r="I83" s="40"/>
      <c r="J83" s="8" t="s">
        <v>6</v>
      </c>
      <c r="K83" s="9">
        <f>SUM(Tabla110345345445545647945586877869510811712713622823724627233260269297315316348494493499527528374243226[Total costo])</f>
        <v>120569.126345535</v>
      </c>
      <c r="M83" s="346"/>
    </row>
    <row r="84" spans="2:13" x14ac:dyDescent="0.3">
      <c r="B84" s="10" t="s">
        <v>312</v>
      </c>
      <c r="C84" s="11" t="s">
        <v>67</v>
      </c>
      <c r="D84" s="12">
        <v>390</v>
      </c>
      <c r="E84" s="12">
        <v>0</v>
      </c>
      <c r="F84" s="12">
        <v>390</v>
      </c>
      <c r="G84" s="13">
        <f>+VLOOKUP(Tabla110345345445545647945586877869510811712713622823724627233260269297315316348494493499527528374243226[[#This Row],[ArtÃ­culo]],Tabla34[#All],3,0)</f>
        <v>4.2671999999999999</v>
      </c>
      <c r="H84" s="14">
        <f>+Tabla110345345445545647945586877869510811712713622823724627233260269297315316348494493499527528374243226[[#This Row],[Costo]]*Tabla110345345445545647945586877869510811712713622823724627233260269297315316348494493499527528374243226[[#This Row],[Unidades]]</f>
        <v>1664.2079999999999</v>
      </c>
      <c r="I84" s="40"/>
      <c r="J84" s="8" t="s">
        <v>533</v>
      </c>
      <c r="K84" s="15">
        <f>+K83*5%</f>
        <v>6028.4563172767503</v>
      </c>
      <c r="M84" s="346"/>
    </row>
    <row r="85" spans="2:13" x14ac:dyDescent="0.3">
      <c r="B85" s="10" t="s">
        <v>85</v>
      </c>
      <c r="C85" s="11" t="s">
        <v>67</v>
      </c>
      <c r="D85" s="12">
        <v>390</v>
      </c>
      <c r="E85" s="12">
        <v>0</v>
      </c>
      <c r="F85" s="12">
        <v>390</v>
      </c>
      <c r="G85" s="13">
        <f>+VLOOKUP(Tabla110345345445545647945586877869510811712713622823724627233260269297315316348494493499527528374243226[[#This Row],[ArtÃ­culo]],Tabla34[#All],3,0)</f>
        <v>4.8816666700000004</v>
      </c>
      <c r="H85" s="14">
        <f>+Tabla110345345445545647945586877869510811712713622823724627233260269297315316348494493499527528374243226[[#This Row],[Costo]]*Tabla110345345445545647945586877869510811712713622823724627233260269297315316348494493499527528374243226[[#This Row],[Unidades]]</f>
        <v>1903.8500013000003</v>
      </c>
      <c r="I85" s="40"/>
      <c r="J85" s="8" t="s">
        <v>13</v>
      </c>
      <c r="K85" s="15">
        <f>+K83+K84</f>
        <v>126597.58266281175</v>
      </c>
      <c r="M85" s="346"/>
    </row>
    <row r="86" spans="2:13" x14ac:dyDescent="0.3">
      <c r="B86" s="10" t="s">
        <v>1194</v>
      </c>
      <c r="C86" s="11" t="s">
        <v>847</v>
      </c>
      <c r="D86" s="12">
        <v>12</v>
      </c>
      <c r="E86" s="12">
        <v>0</v>
      </c>
      <c r="F86" s="12">
        <v>12</v>
      </c>
      <c r="G86" s="13">
        <f>+VLOOKUP(Tabla110345345445545647945586877869510811712713622823724627233260269297315316348494493499527528374243226[[#This Row],[ArtÃ­culo]],Tabla34[#All],3,0)</f>
        <v>726.66666667000004</v>
      </c>
      <c r="H86" s="14">
        <f>+Tabla110345345445545647945586877869510811712713622823724627233260269297315316348494493499527528374243226[[#This Row],[Costo]]*Tabla110345345445545647945586877869510811712713622823724627233260269297315316348494493499527528374243226[[#This Row],[Unidades]]</f>
        <v>8720.0000000399996</v>
      </c>
      <c r="I86" s="40"/>
      <c r="J86" s="20" t="s">
        <v>14</v>
      </c>
      <c r="K86" s="21"/>
      <c r="M86" s="346"/>
    </row>
    <row r="87" spans="2:13" x14ac:dyDescent="0.3">
      <c r="B87" s="10" t="s">
        <v>819</v>
      </c>
      <c r="C87" s="11" t="s">
        <v>67</v>
      </c>
      <c r="D87" s="12">
        <v>70</v>
      </c>
      <c r="E87" s="12">
        <v>0</v>
      </c>
      <c r="F87" s="12">
        <v>70</v>
      </c>
      <c r="G87" s="13">
        <f>+VLOOKUP(Tabla110345345445545647945586877869510811712713622823724627233260269297315316348494493499527528374243226[[#This Row],[ArtÃ­culo]],Tabla34[#All],3,0)</f>
        <v>21.363943110000001</v>
      </c>
      <c r="H87" s="14">
        <f>+Tabla110345345445545647945586877869510811712713622823724627233260269297315316348494493499527528374243226[[#This Row],[Costo]]*Tabla110345345445545647945586877869510811712713622823724627233260269297315316348494493499527528374243226[[#This Row],[Unidades]]</f>
        <v>1495.4760177000001</v>
      </c>
      <c r="I87" s="40"/>
      <c r="J87" s="8" t="s">
        <v>15</v>
      </c>
      <c r="K87" s="15">
        <f>+K86/1.08*0.08</f>
        <v>0</v>
      </c>
    </row>
    <row r="88" spans="2:13" x14ac:dyDescent="0.3">
      <c r="B88" s="10" t="s">
        <v>648</v>
      </c>
      <c r="C88" s="11" t="s">
        <v>67</v>
      </c>
      <c r="D88" s="12">
        <v>200</v>
      </c>
      <c r="E88" s="12">
        <v>0</v>
      </c>
      <c r="F88" s="12">
        <v>200</v>
      </c>
      <c r="G88" s="13">
        <f>+VLOOKUP(Tabla110345345445545647945586877869510811712713622823724627233260269297315316348494493499527528374243226[[#This Row],[ArtÃ­culo]],Tabla34[#All],3,0)</f>
        <v>10.890823879999999</v>
      </c>
      <c r="H88" s="14">
        <f>+Tabla110345345445545647945586877869510811712713622823724627233260269297315316348494493499527528374243226[[#This Row],[Costo]]*Tabla110345345445545647945586877869510811712713622823724627233260269297315316348494493499527528374243226[[#This Row],[Unidades]]</f>
        <v>2178.1647759999996</v>
      </c>
      <c r="I88" s="40"/>
      <c r="J88" s="8" t="s">
        <v>16</v>
      </c>
      <c r="K88" s="15">
        <f>+K86-K87</f>
        <v>0</v>
      </c>
      <c r="M88" s="377" t="s">
        <v>1377</v>
      </c>
    </row>
    <row r="89" spans="2:13" x14ac:dyDescent="0.3">
      <c r="B89" s="10" t="s">
        <v>335</v>
      </c>
      <c r="C89" s="11" t="s">
        <v>67</v>
      </c>
      <c r="D89" s="12">
        <v>300</v>
      </c>
      <c r="E89" s="12">
        <v>0</v>
      </c>
      <c r="F89" s="12">
        <v>300</v>
      </c>
      <c r="G89" s="13">
        <f>+VLOOKUP(Tabla110345345445545647945586877869510811712713622823724627233260269297315316348494493499527528374243226[[#This Row],[ArtÃ­culo]],Tabla34[#All],3,0)</f>
        <v>16.841633210000001</v>
      </c>
      <c r="H89" s="14">
        <f>+Tabla110345345445545647945586877869510811712713622823724627233260269297315316348494493499527528374243226[[#This Row],[Costo]]*Tabla110345345445545647945586877869510811712713622823724627233260269297315316348494493499527528374243226[[#This Row],[Unidades]]</f>
        <v>5052.489963</v>
      </c>
      <c r="I89" s="40"/>
      <c r="J89" s="8" t="s">
        <v>17</v>
      </c>
      <c r="K89" s="41" t="e">
        <f>+K85/K88</f>
        <v>#DIV/0!</v>
      </c>
      <c r="M89" s="346"/>
    </row>
    <row r="90" spans="2:13" x14ac:dyDescent="0.3">
      <c r="B90" s="10" t="s">
        <v>194</v>
      </c>
      <c r="C90" s="11" t="s">
        <v>67</v>
      </c>
      <c r="D90" s="12">
        <v>10</v>
      </c>
      <c r="E90" s="12">
        <v>0</v>
      </c>
      <c r="F90" s="12">
        <v>10</v>
      </c>
      <c r="G90" s="13">
        <f>+VLOOKUP(Tabla110345345445545647945586877869510811712713622823724627233260269297315316348494493499527528374243226[[#This Row],[ArtÃ­culo]],Tabla34[#All],3,0)</f>
        <v>27.466702179999999</v>
      </c>
      <c r="H90" s="14">
        <f>+Tabla110345345445545647945586877869510811712713622823724627233260269297315316348494493499527528374243226[[#This Row],[Costo]]*Tabla110345345445545647945586877869510811712713622823724627233260269297315316348494493499527528374243226[[#This Row],[Unidades]]</f>
        <v>274.66702179999999</v>
      </c>
      <c r="I90" s="40"/>
      <c r="J90" s="8" t="s">
        <v>18</v>
      </c>
      <c r="K90" s="42">
        <f>+K88-K85</f>
        <v>-126597.58266281175</v>
      </c>
      <c r="M90" s="346"/>
    </row>
    <row r="91" spans="2:13" x14ac:dyDescent="0.3">
      <c r="B91" s="10" t="s">
        <v>827</v>
      </c>
      <c r="C91" s="11" t="s">
        <v>67</v>
      </c>
      <c r="D91" s="12">
        <v>10</v>
      </c>
      <c r="E91" s="12">
        <v>0</v>
      </c>
      <c r="F91" s="12">
        <v>10</v>
      </c>
      <c r="G91" s="13">
        <f>+VLOOKUP(Tabla110345345445545647945586877869510811712713622823724627233260269297315316348494493499527528374243226[[#This Row],[ArtÃ­culo]],Tabla34[#All],3,0)</f>
        <v>511</v>
      </c>
      <c r="H91" s="14">
        <f>+Tabla110345345445545647945586877869510811712713622823724627233260269297315316348494493499527528374243226[[#This Row],[Costo]]*Tabla110345345445545647945586877869510811712713622823724627233260269297315316348494493499527528374243226[[#This Row],[Unidades]]</f>
        <v>5110</v>
      </c>
      <c r="I91" s="40"/>
      <c r="J91" s="8" t="s">
        <v>19</v>
      </c>
      <c r="K91" s="43">
        <f>+K90/K85</f>
        <v>-1</v>
      </c>
      <c r="M91" s="346"/>
    </row>
    <row r="92" spans="2:13" x14ac:dyDescent="0.3">
      <c r="B92" s="10" t="s">
        <v>1111</v>
      </c>
      <c r="C92" s="11" t="s">
        <v>847</v>
      </c>
      <c r="D92" s="12">
        <v>1</v>
      </c>
      <c r="E92" s="12">
        <v>0</v>
      </c>
      <c r="F92" s="12">
        <v>1</v>
      </c>
      <c r="G92" s="13">
        <f>+VLOOKUP(Tabla110345345445545647945586877869510811712713622823724627233260269297315316348494493499527528374243226[[#This Row],[ArtÃ­culo]],Tabla34[#All],3,0)</f>
        <v>0</v>
      </c>
      <c r="H92" s="14">
        <f>+Tabla110345345445545647945586877869510811712713622823724627233260269297315316348494493499527528374243226[[#This Row],[Costo]]*Tabla110345345445545647945586877869510811712713622823724627233260269297315316348494493499527528374243226[[#This Row],[Unidades]]</f>
        <v>0</v>
      </c>
      <c r="M92" s="346"/>
    </row>
    <row r="93" spans="2:13" x14ac:dyDescent="0.3">
      <c r="B93" s="10" t="s">
        <v>923</v>
      </c>
      <c r="C93" s="11" t="s">
        <v>67</v>
      </c>
      <c r="D93" s="12">
        <v>2</v>
      </c>
      <c r="E93" s="12">
        <v>0</v>
      </c>
      <c r="F93" s="12">
        <v>2</v>
      </c>
      <c r="G93" s="13">
        <f>+VLOOKUP(Tabla110345345445545647945586877869510811712713622823724627233260269297315316348494493499527528374243226[[#This Row],[ArtÃ­culo]],Tabla34[#All],3,0)</f>
        <v>25</v>
      </c>
      <c r="H93" s="14">
        <f>+Tabla110345345445545647945586877869510811712713622823724627233260269297315316348494493499527528374243226[[#This Row],[Costo]]*Tabla110345345445545647945586877869510811712713622823724627233260269297315316348494493499527528374243226[[#This Row],[Unidades]]</f>
        <v>50</v>
      </c>
    </row>
    <row r="94" spans="2:13" x14ac:dyDescent="0.3">
      <c r="B94" s="10" t="s">
        <v>207</v>
      </c>
      <c r="C94" s="11" t="s">
        <v>67</v>
      </c>
      <c r="D94" s="12">
        <v>400</v>
      </c>
      <c r="E94" s="12">
        <v>0</v>
      </c>
      <c r="F94" s="12">
        <v>400</v>
      </c>
      <c r="G94" s="13">
        <f>+VLOOKUP(Tabla110345345445545647945586877869510811712713622823724627233260269297315316348494493499527528374243226[[#This Row],[ArtÃ­culo]],Tabla34[#All],3,0)</f>
        <v>12.17853483</v>
      </c>
      <c r="H94" s="14">
        <f>+Tabla110345345445545647945586877869510811712713622823724627233260269297315316348494493499527528374243226[[#This Row],[Costo]]*Tabla110345345445545647945586877869510811712713622823724627233260269297315316348494493499527528374243226[[#This Row],[Unidades]]</f>
        <v>4871.4139320000004</v>
      </c>
    </row>
    <row r="95" spans="2:13" x14ac:dyDescent="0.3">
      <c r="B95" s="10" t="s">
        <v>724</v>
      </c>
      <c r="C95" s="11" t="s">
        <v>67</v>
      </c>
      <c r="D95" s="12">
        <v>400</v>
      </c>
      <c r="E95" s="12">
        <v>0</v>
      </c>
      <c r="F95" s="12">
        <v>400</v>
      </c>
      <c r="G95" s="13">
        <f>+VLOOKUP(Tabla110345345445545647945586877869510811712713622823724627233260269297315316348494493499527528374243226[[#This Row],[ArtÃ­culo]],Tabla34[#All],3,0)</f>
        <v>17.88</v>
      </c>
      <c r="H95" s="14">
        <f>+Tabla110345345445545647945586877869510811712713622823724627233260269297315316348494493499527528374243226[[#This Row],[Costo]]*Tabla110345345445545647945586877869510811712713622823724627233260269297315316348494493499527528374243226[[#This Row],[Unidades]]</f>
        <v>7152</v>
      </c>
    </row>
    <row r="96" spans="2:13" x14ac:dyDescent="0.3">
      <c r="B96" s="10" t="s">
        <v>1113</v>
      </c>
      <c r="C96" s="11" t="s">
        <v>67</v>
      </c>
      <c r="D96" s="12">
        <v>120</v>
      </c>
      <c r="E96" s="12">
        <v>0</v>
      </c>
      <c r="F96" s="12">
        <v>120</v>
      </c>
      <c r="G96" s="13">
        <f>+VLOOKUP(Tabla110345345445545647945586877869510811712713622823724627233260269297315316348494493499527528374243226[[#This Row],[ArtÃ­culo]],Tabla34[#All],3,0)</f>
        <v>9.9206088000000001</v>
      </c>
      <c r="H96" s="14">
        <f>+Tabla110345345445545647945586877869510811712713622823724627233260269297315316348494493499527528374243226[[#This Row],[Costo]]*Tabla110345345445545647945586877869510811712713622823724627233260269297315316348494493499527528374243226[[#This Row],[Unidades]]</f>
        <v>1190.473056</v>
      </c>
      <c r="I96" s="40"/>
    </row>
    <row r="97" spans="2:11" x14ac:dyDescent="0.3">
      <c r="B97" s="10" t="s">
        <v>106</v>
      </c>
      <c r="C97" s="11" t="s">
        <v>67</v>
      </c>
      <c r="D97" s="12">
        <v>400</v>
      </c>
      <c r="E97" s="12">
        <v>0</v>
      </c>
      <c r="F97" s="12">
        <v>400</v>
      </c>
      <c r="G97" s="13">
        <f>+VLOOKUP(Tabla110345345445545647945586877869510811712713622823724627233260269297315316348494493499527528374243226[[#This Row],[ArtÃ­culo]],Tabla34[#All],3,0)</f>
        <v>19.804166670000001</v>
      </c>
      <c r="H97" s="14">
        <f>+Tabla110345345445545647945586877869510811712713622823724627233260269297315316348494493499527528374243226[[#This Row],[Costo]]*Tabla110345345445545647945586877869510811712713622823724627233260269297315316348494493499527528374243226[[#This Row],[Unidades]]</f>
        <v>7921.6666679999998</v>
      </c>
      <c r="I97" s="40"/>
    </row>
    <row r="98" spans="2:11" x14ac:dyDescent="0.3">
      <c r="B98" s="10" t="s">
        <v>644</v>
      </c>
      <c r="C98" s="11" t="s">
        <v>605</v>
      </c>
      <c r="D98" s="12">
        <v>1.5</v>
      </c>
      <c r="E98" s="12">
        <v>0</v>
      </c>
      <c r="F98" s="12">
        <v>1.5</v>
      </c>
      <c r="G98" s="13">
        <f>+VLOOKUP(Tabla110345345445545647945586877869510811712713622823724627233260269297315316348494493499527528374243226[[#This Row],[ArtÃ­culo]],Tabla34[#All],3,0)</f>
        <v>2082.9166666699998</v>
      </c>
      <c r="H98" s="14">
        <f>+Tabla110345345445545647945586877869510811712713622823724627233260269297315316348494493499527528374243226[[#This Row],[Costo]]*Tabla110345345445545647945586877869510811712713622823724627233260269297315316348494493499527528374243226[[#This Row],[Unidades]]</f>
        <v>3124.3750000049995</v>
      </c>
      <c r="I98" s="40"/>
    </row>
    <row r="99" spans="2:11" x14ac:dyDescent="0.3">
      <c r="B99" s="10" t="s">
        <v>989</v>
      </c>
      <c r="C99" s="11" t="s">
        <v>67</v>
      </c>
      <c r="D99" s="12">
        <v>1</v>
      </c>
      <c r="E99" s="12">
        <v>0</v>
      </c>
      <c r="F99" s="12">
        <v>1</v>
      </c>
      <c r="G99" s="13">
        <f>+VLOOKUP(Tabla110345345445545647945586877869510811712713622823724627233260269297315316348494493499527528374243226[[#This Row],[ArtÃ­culo]],Tabla34[#All],3,0)</f>
        <v>100</v>
      </c>
      <c r="H99" s="14">
        <f>+Tabla110345345445545647945586877869510811712713622823724627233260269297315316348494493499527528374243226[[#This Row],[Costo]]*Tabla110345345445545647945586877869510811712713622823724627233260269297315316348494493499527528374243226[[#This Row],[Unidades]]</f>
        <v>100</v>
      </c>
      <c r="I99" s="40"/>
    </row>
    <row r="100" spans="2:11" x14ac:dyDescent="0.3">
      <c r="B100" s="10" t="s">
        <v>783</v>
      </c>
      <c r="C100" s="11" t="s">
        <v>67</v>
      </c>
      <c r="D100" s="12">
        <v>1</v>
      </c>
      <c r="E100" s="12">
        <v>0</v>
      </c>
      <c r="F100" s="12">
        <v>1</v>
      </c>
      <c r="G100" s="13">
        <f>+VLOOKUP(Tabla110345345445545647945586877869510811712713622823724627233260269297315316348494493499527528374243226[[#This Row],[ArtÃ­culo]],Tabla34[#All],3,0)</f>
        <v>57.990152889999997</v>
      </c>
      <c r="H100" s="14">
        <f>+Tabla110345345445545647945586877869510811712713622823724627233260269297315316348494493499527528374243226[[#This Row],[Costo]]*Tabla110345345445545647945586877869510811712713622823724627233260269297315316348494493499527528374243226[[#This Row],[Unidades]]</f>
        <v>57.990152889999997</v>
      </c>
      <c r="I100" s="40"/>
    </row>
    <row r="101" spans="2:11" x14ac:dyDescent="0.3">
      <c r="B101" s="10" t="s">
        <v>99</v>
      </c>
      <c r="C101" s="11" t="s">
        <v>67</v>
      </c>
      <c r="D101" s="12">
        <v>800</v>
      </c>
      <c r="E101" s="12">
        <v>0</v>
      </c>
      <c r="F101" s="12">
        <v>800</v>
      </c>
      <c r="G101" s="13">
        <f>+VLOOKUP(Tabla110345345445545647945586877869510811712713622823724627233260269297315316348494493499527528374243226[[#This Row],[ArtÃ­culo]],Tabla34[#All],3,0)</f>
        <v>49.977947020000002</v>
      </c>
      <c r="H101" s="14">
        <f>+Tabla110345345445545647945586877869510811712713622823724627233260269297315316348494493499527528374243226[[#This Row],[Costo]]*Tabla110345345445545647945586877869510811712713622823724627233260269297315316348494493499527528374243226[[#This Row],[Unidades]]</f>
        <v>39982.357616000001</v>
      </c>
      <c r="I101" s="40"/>
    </row>
    <row r="102" spans="2:11" x14ac:dyDescent="0.3">
      <c r="B102" s="10" t="s">
        <v>631</v>
      </c>
      <c r="C102" s="11" t="s">
        <v>67</v>
      </c>
      <c r="D102" s="12">
        <v>800</v>
      </c>
      <c r="E102" s="12">
        <v>0</v>
      </c>
      <c r="F102" s="12">
        <v>800</v>
      </c>
      <c r="G102" s="13">
        <f>+VLOOKUP(Tabla110345345445545647945586877869510811712713622823724627233260269297315316348494493499527528374243226[[#This Row],[ArtÃ­culo]],Tabla34[#All],3,0)</f>
        <v>34.714285709999999</v>
      </c>
      <c r="H102" s="14">
        <f>+Tabla110345345445545647945586877869510811712713622823724627233260269297315316348494493499527528374243226[[#This Row],[Costo]]*Tabla110345345445545647945586877869510811712713622823724627233260269297315316348494493499527528374243226[[#This Row],[Unidades]]</f>
        <v>27771.428567999999</v>
      </c>
      <c r="I102" s="40"/>
    </row>
    <row r="103" spans="2:11" x14ac:dyDescent="0.3">
      <c r="B103" s="10" t="s">
        <v>207</v>
      </c>
      <c r="C103" s="11" t="s">
        <v>67</v>
      </c>
      <c r="D103" s="12">
        <v>160</v>
      </c>
      <c r="E103" s="12">
        <v>0</v>
      </c>
      <c r="F103" s="12">
        <v>160</v>
      </c>
      <c r="G103" s="13">
        <f>+VLOOKUP(Tabla110345345445545647945586877869510811712713622823724627233260269297315316348494493499527528374243226[[#This Row],[ArtÃ­culo]],Tabla34[#All],3,0)</f>
        <v>12.17853483</v>
      </c>
      <c r="H103" s="14">
        <f>+Tabla110345345445545647945586877869510811712713622823724627233260269297315316348494493499527528374243226[[#This Row],[Costo]]*Tabla110345345445545647945586877869510811712713622823724627233260269297315316348494493499527528374243226[[#This Row],[Unidades]]</f>
        <v>1948.5655728000002</v>
      </c>
      <c r="I103" s="40"/>
    </row>
    <row r="104" spans="2:11" x14ac:dyDescent="0.3">
      <c r="B104" s="16"/>
      <c r="C104" s="17"/>
      <c r="D104" s="17"/>
      <c r="E104" s="17"/>
      <c r="F104" s="17"/>
      <c r="G104" s="18"/>
      <c r="H104" s="18">
        <f>SUBTOTAL(109,Tabla110345345445545647945586877869510811712713622823724627233260269297315316348494493499527528374243226[Total costo])</f>
        <v>120569.126345535</v>
      </c>
      <c r="I104" s="40"/>
    </row>
    <row r="105" spans="2:11" x14ac:dyDescent="0.3">
      <c r="B105" s="32"/>
      <c r="C105" s="33"/>
      <c r="D105" s="33"/>
      <c r="E105" s="33"/>
      <c r="F105" s="33"/>
      <c r="G105" s="34"/>
      <c r="H105" s="34"/>
      <c r="I105" s="40"/>
    </row>
    <row r="106" spans="2:11" x14ac:dyDescent="0.3">
      <c r="B106" s="1" t="s">
        <v>1115</v>
      </c>
      <c r="C106" s="2"/>
      <c r="D106" s="2"/>
      <c r="E106" s="3"/>
      <c r="F106" s="3"/>
      <c r="G106" s="3"/>
      <c r="H106" s="3"/>
      <c r="J106" s="399" t="s">
        <v>0</v>
      </c>
      <c r="K106" s="399"/>
    </row>
    <row r="107" spans="2:11" x14ac:dyDescent="0.3">
      <c r="B107" s="16" t="s">
        <v>857</v>
      </c>
      <c r="C107" s="17" t="s">
        <v>895</v>
      </c>
      <c r="D107" s="17" t="s">
        <v>892</v>
      </c>
      <c r="E107" s="17" t="s">
        <v>893</v>
      </c>
      <c r="F107" s="17" t="s">
        <v>894</v>
      </c>
      <c r="G107" s="76" t="s">
        <v>4</v>
      </c>
      <c r="H107" s="76" t="s">
        <v>5</v>
      </c>
      <c r="J107" s="8" t="s">
        <v>6</v>
      </c>
      <c r="K107" s="9" t="e">
        <f>SUM(Tabla11034534544554564794558687786951081171271362282372462723326026929731531634849449349952752837424322628[Total costo])</f>
        <v>#N/A</v>
      </c>
    </row>
    <row r="108" spans="2:11" x14ac:dyDescent="0.3">
      <c r="B108" s="10" t="s">
        <v>312</v>
      </c>
      <c r="C108" s="11" t="s">
        <v>67</v>
      </c>
      <c r="D108" s="12">
        <v>50</v>
      </c>
      <c r="E108" s="12">
        <v>0</v>
      </c>
      <c r="F108" s="12">
        <v>50</v>
      </c>
      <c r="G108" s="13">
        <f>+VLOOKUP(Tabla11034534544554564794558687786951081171271362282372462723326026929731531634849449349952752837424322628[[#This Row],[ArtÃ­culo]],Tabla34[#All],3,0)</f>
        <v>4.2671999999999999</v>
      </c>
      <c r="H108" s="14">
        <f>+Tabla11034534544554564794558687786951081171271362282372462723326026929731531634849449349952752837424322628[[#This Row],[Costo]]*Tabla11034534544554564794558687786951081171271362282372462723326026929731531634849449349952752837424322628[[#This Row],[Unidades]]</f>
        <v>213.35999999999999</v>
      </c>
      <c r="I108" s="40"/>
      <c r="J108" s="8" t="s">
        <v>533</v>
      </c>
      <c r="K108" s="15" t="e">
        <f>+K107*5%</f>
        <v>#N/A</v>
      </c>
    </row>
    <row r="109" spans="2:11" x14ac:dyDescent="0.3">
      <c r="B109" s="10" t="s">
        <v>85</v>
      </c>
      <c r="C109" s="11" t="s">
        <v>67</v>
      </c>
      <c r="D109" s="12">
        <v>50</v>
      </c>
      <c r="E109" s="12">
        <v>0</v>
      </c>
      <c r="F109" s="12">
        <v>50</v>
      </c>
      <c r="G109" s="13">
        <f>+VLOOKUP(Tabla11034534544554564794558687786951081171271362282372462723326026929731531634849449349952752837424322628[[#This Row],[ArtÃ­culo]],Tabla34[#All],3,0)</f>
        <v>4.8816666700000004</v>
      </c>
      <c r="H109" s="14">
        <f>+Tabla11034534544554564794558687786951081171271362282372462723326026929731531634849449349952752837424322628[[#This Row],[Costo]]*Tabla11034534544554564794558687786951081171271362282372462723326026929731531634849449349952752837424322628[[#This Row],[Unidades]]</f>
        <v>244.08333350000001</v>
      </c>
      <c r="I109" s="40"/>
      <c r="J109" s="8" t="s">
        <v>13</v>
      </c>
      <c r="K109" s="15" t="e">
        <f>+K107+K108</f>
        <v>#N/A</v>
      </c>
    </row>
    <row r="110" spans="2:11" x14ac:dyDescent="0.3">
      <c r="B110" s="10" t="s">
        <v>280</v>
      </c>
      <c r="C110" s="11" t="s">
        <v>847</v>
      </c>
      <c r="D110" s="12">
        <v>2</v>
      </c>
      <c r="E110" s="12">
        <v>0</v>
      </c>
      <c r="F110" s="12">
        <v>2</v>
      </c>
      <c r="G110" s="13" t="e">
        <f>+VLOOKUP(Tabla11034534544554564794558687786951081171271362282372462723326026929731531634849449349952752837424322628[[#This Row],[ArtÃ­culo]],Tabla34[#All],3,0)</f>
        <v>#N/A</v>
      </c>
      <c r="H110" s="14" t="e">
        <f>+Tabla11034534544554564794558687786951081171271362282372462723326026929731531634849449349952752837424322628[[#This Row],[Costo]]*Tabla11034534544554564794558687786951081171271362282372462723326026929731531634849449349952752837424322628[[#This Row],[Unidades]]</f>
        <v>#N/A</v>
      </c>
      <c r="I110" s="40"/>
      <c r="J110" s="20" t="s">
        <v>14</v>
      </c>
      <c r="K110" s="21"/>
    </row>
    <row r="111" spans="2:11" x14ac:dyDescent="0.3">
      <c r="B111" s="10" t="s">
        <v>819</v>
      </c>
      <c r="C111" s="11" t="s">
        <v>67</v>
      </c>
      <c r="D111" s="12">
        <v>10</v>
      </c>
      <c r="E111" s="12">
        <v>0</v>
      </c>
      <c r="F111" s="12">
        <v>10</v>
      </c>
      <c r="G111" s="13">
        <f>+VLOOKUP(Tabla11034534544554564794558687786951081171271362282372462723326026929731531634849449349952752837424322628[[#This Row],[ArtÃ­culo]],Tabla34[#All],3,0)</f>
        <v>21.363943110000001</v>
      </c>
      <c r="H111" s="14">
        <f>+Tabla11034534544554564794558687786951081171271362282372462723326026929731531634849449349952752837424322628[[#This Row],[Costo]]*Tabla11034534544554564794558687786951081171271362282372462723326026929731531634849449349952752837424322628[[#This Row],[Unidades]]</f>
        <v>213.63943110000002</v>
      </c>
      <c r="I111" s="40"/>
      <c r="J111" s="8" t="s">
        <v>15</v>
      </c>
      <c r="K111" s="15">
        <f>+K110/1.08*0.08</f>
        <v>0</v>
      </c>
    </row>
    <row r="112" spans="2:11" x14ac:dyDescent="0.3">
      <c r="B112" s="10" t="s">
        <v>648</v>
      </c>
      <c r="C112" s="11" t="s">
        <v>67</v>
      </c>
      <c r="D112" s="12">
        <v>30</v>
      </c>
      <c r="E112" s="12">
        <v>0</v>
      </c>
      <c r="F112" s="12">
        <v>30</v>
      </c>
      <c r="G112" s="13">
        <f>+VLOOKUP(Tabla11034534544554564794558687786951081171271362282372462723326026929731531634849449349952752837424322628[[#This Row],[ArtÃ­culo]],Tabla34[#All],3,0)</f>
        <v>10.890823879999999</v>
      </c>
      <c r="H112" s="14">
        <f>+Tabla11034534544554564794558687786951081171271362282372462723326026929731531634849449349952752837424322628[[#This Row],[Costo]]*Tabla11034534544554564794558687786951081171271362282372462723326026929731531634849449349952752837424322628[[#This Row],[Unidades]]</f>
        <v>326.72471639999998</v>
      </c>
      <c r="I112" s="40"/>
      <c r="J112" s="8" t="s">
        <v>16</v>
      </c>
      <c r="K112" s="15">
        <f>+K110-K111</f>
        <v>0</v>
      </c>
    </row>
    <row r="113" spans="2:13" x14ac:dyDescent="0.3">
      <c r="B113" s="10" t="s">
        <v>335</v>
      </c>
      <c r="C113" s="11" t="s">
        <v>67</v>
      </c>
      <c r="D113" s="12">
        <v>40</v>
      </c>
      <c r="E113" s="12">
        <v>0</v>
      </c>
      <c r="F113" s="12">
        <v>40</v>
      </c>
      <c r="G113" s="13">
        <f>+VLOOKUP(Tabla11034534544554564794558687786951081171271362282372462723326026929731531634849449349952752837424322628[[#This Row],[ArtÃ­culo]],Tabla34[#All],3,0)</f>
        <v>16.841633210000001</v>
      </c>
      <c r="H113" s="14">
        <f>+Tabla11034534544554564794558687786951081171271362282372462723326026929731531634849449349952752837424322628[[#This Row],[Costo]]*Tabla11034534544554564794558687786951081171271362282372462723326026929731531634849449349952752837424322628[[#This Row],[Unidades]]</f>
        <v>673.66532840000002</v>
      </c>
      <c r="I113" s="40"/>
      <c r="J113" s="8" t="s">
        <v>17</v>
      </c>
      <c r="K113" s="41" t="e">
        <f>+K109/K112</f>
        <v>#N/A</v>
      </c>
    </row>
    <row r="114" spans="2:13" x14ac:dyDescent="0.3">
      <c r="B114" s="10" t="s">
        <v>194</v>
      </c>
      <c r="C114" s="11" t="s">
        <v>67</v>
      </c>
      <c r="D114" s="12">
        <v>2</v>
      </c>
      <c r="E114" s="12">
        <v>0</v>
      </c>
      <c r="F114" s="12">
        <v>2</v>
      </c>
      <c r="G114" s="13">
        <f>+VLOOKUP(Tabla11034534544554564794558687786951081171271362282372462723326026929731531634849449349952752837424322628[[#This Row],[ArtÃ­culo]],Tabla34[#All],3,0)</f>
        <v>27.466702179999999</v>
      </c>
      <c r="H114" s="14">
        <f>+Tabla11034534544554564794558687786951081171271362282372462723326026929731531634849449349952752837424322628[[#This Row],[Costo]]*Tabla11034534544554564794558687786951081171271362282372462723326026929731531634849449349952752837424322628[[#This Row],[Unidades]]</f>
        <v>54.933404359999997</v>
      </c>
      <c r="I114" s="40"/>
      <c r="J114" s="8" t="s">
        <v>18</v>
      </c>
      <c r="K114" s="42" t="e">
        <f>+K112-K109</f>
        <v>#N/A</v>
      </c>
    </row>
    <row r="115" spans="2:13" x14ac:dyDescent="0.3">
      <c r="B115" s="10" t="s">
        <v>827</v>
      </c>
      <c r="C115" s="11" t="s">
        <v>67</v>
      </c>
      <c r="D115" s="12">
        <v>3</v>
      </c>
      <c r="E115" s="12">
        <v>0</v>
      </c>
      <c r="F115" s="12">
        <v>3</v>
      </c>
      <c r="G115" s="13">
        <f>+VLOOKUP(Tabla11034534544554564794558687786951081171271362282372462723326026929731531634849449349952752837424322628[[#This Row],[ArtÃ­culo]],Tabla34[#All],3,0)</f>
        <v>511</v>
      </c>
      <c r="H115" s="14">
        <f>+Tabla11034534544554564794558687786951081171271362282372462723326026929731531634849449349952752837424322628[[#This Row],[Costo]]*Tabla11034534544554564794558687786951081171271362282372462723326026929731531634849449349952752837424322628[[#This Row],[Unidades]]</f>
        <v>1533</v>
      </c>
      <c r="I115" s="40"/>
      <c r="J115" s="8" t="s">
        <v>19</v>
      </c>
      <c r="K115" s="43" t="e">
        <f>+K114/K109</f>
        <v>#N/A</v>
      </c>
    </row>
    <row r="116" spans="2:13" x14ac:dyDescent="0.3">
      <c r="B116" s="10" t="s">
        <v>1111</v>
      </c>
      <c r="C116" s="11" t="s">
        <v>847</v>
      </c>
      <c r="D116" s="12">
        <v>1</v>
      </c>
      <c r="E116" s="12">
        <v>0</v>
      </c>
      <c r="F116" s="12">
        <v>1</v>
      </c>
      <c r="G116" s="13">
        <f>+VLOOKUP(Tabla11034534544554564794558687786951081171271362282372462723326026929731531634849449349952752837424322628[[#This Row],[ArtÃ­culo]],Tabla34[#All],3,0)</f>
        <v>0</v>
      </c>
      <c r="H116" s="14">
        <f>+Tabla11034534544554564794558687786951081171271362282372462723326026929731531634849449349952752837424322628[[#This Row],[Costo]]*Tabla11034534544554564794558687786951081171271362282372462723326026929731531634849449349952752837424322628[[#This Row],[Unidades]]</f>
        <v>0</v>
      </c>
      <c r="I116" s="40"/>
    </row>
    <row r="117" spans="2:13" s="28" customFormat="1" x14ac:dyDescent="0.3">
      <c r="B117" s="10" t="s">
        <v>923</v>
      </c>
      <c r="C117" s="11" t="s">
        <v>67</v>
      </c>
      <c r="D117" s="12">
        <v>1</v>
      </c>
      <c r="E117" s="12">
        <v>0</v>
      </c>
      <c r="F117" s="12">
        <v>1</v>
      </c>
      <c r="G117" s="13">
        <f>+VLOOKUP(Tabla11034534544554564794558687786951081171271362282372462723326026929731531634849449349952752837424322628[[#This Row],[ArtÃ­culo]],Tabla34[#All],3,0)</f>
        <v>25</v>
      </c>
      <c r="H117" s="14">
        <f>+Tabla11034534544554564794558687786951081171271362282372462723326026929731531634849449349952752837424322628[[#This Row],[Costo]]*Tabla11034534544554564794558687786951081171271362282372462723326026929731531634849449349952752837424322628[[#This Row],[Unidades]]</f>
        <v>25</v>
      </c>
      <c r="I117" s="40"/>
      <c r="J117"/>
      <c r="K117"/>
      <c r="M117"/>
    </row>
    <row r="118" spans="2:13" x14ac:dyDescent="0.3">
      <c r="B118" s="10" t="s">
        <v>207</v>
      </c>
      <c r="C118" s="11" t="s">
        <v>67</v>
      </c>
      <c r="D118" s="12">
        <v>50</v>
      </c>
      <c r="E118" s="12">
        <v>0</v>
      </c>
      <c r="F118" s="12">
        <v>50</v>
      </c>
      <c r="G118" s="13">
        <f>+VLOOKUP(Tabla11034534544554564794558687786951081171271362282372462723326026929731531634849449349952752837424322628[[#This Row],[ArtÃ­culo]],Tabla34[#All],3,0)</f>
        <v>12.17853483</v>
      </c>
      <c r="H118" s="14">
        <f>+Tabla11034534544554564794558687786951081171271362282372462723326026929731531634849449349952752837424322628[[#This Row],[Costo]]*Tabla11034534544554564794558687786951081171271362282372462723326026929731531634849449349952752837424322628[[#This Row],[Unidades]]</f>
        <v>608.92674150000005</v>
      </c>
    </row>
    <row r="119" spans="2:13" x14ac:dyDescent="0.3">
      <c r="B119" s="10" t="s">
        <v>724</v>
      </c>
      <c r="C119" s="11" t="s">
        <v>67</v>
      </c>
      <c r="D119" s="12">
        <v>50</v>
      </c>
      <c r="E119" s="12">
        <v>0</v>
      </c>
      <c r="F119" s="12">
        <v>50</v>
      </c>
      <c r="G119" s="13">
        <f>+VLOOKUP(Tabla11034534544554564794558687786951081171271362282372462723326026929731531634849449349952752837424322628[[#This Row],[ArtÃ­culo]],Tabla34[#All],3,0)</f>
        <v>17.88</v>
      </c>
      <c r="H119" s="14">
        <f>+Tabla11034534544554564794558687786951081171271362282372462723326026929731531634849449349952752837424322628[[#This Row],[Costo]]*Tabla11034534544554564794558687786951081171271362282372462723326026929731531634849449349952752837424322628[[#This Row],[Unidades]]</f>
        <v>894</v>
      </c>
      <c r="I119" s="28"/>
      <c r="M119" s="28"/>
    </row>
    <row r="120" spans="2:13" x14ac:dyDescent="0.3">
      <c r="B120" s="10" t="s">
        <v>1113</v>
      </c>
      <c r="C120" s="11" t="s">
        <v>67</v>
      </c>
      <c r="D120" s="12">
        <v>15</v>
      </c>
      <c r="E120" s="12">
        <v>0</v>
      </c>
      <c r="F120" s="12">
        <v>15</v>
      </c>
      <c r="G120" s="13">
        <f>+VLOOKUP(Tabla11034534544554564794558687786951081171271362282372462723326026929731531634849449349952752837424322628[[#This Row],[ArtÃ­culo]],Tabla34[#All],3,0)</f>
        <v>9.9206088000000001</v>
      </c>
      <c r="H120" s="14">
        <f>+Tabla11034534544554564794558687786951081171271362282372462723326026929731531634849449349952752837424322628[[#This Row],[Costo]]*Tabla11034534544554564794558687786951081171271362282372462723326026929731531634849449349952752837424322628[[#This Row],[Unidades]]</f>
        <v>148.80913200000001</v>
      </c>
    </row>
    <row r="121" spans="2:13" x14ac:dyDescent="0.3">
      <c r="B121" s="10" t="s">
        <v>106</v>
      </c>
      <c r="C121" s="11" t="s">
        <v>67</v>
      </c>
      <c r="D121" s="12">
        <v>50</v>
      </c>
      <c r="E121" s="12">
        <v>0</v>
      </c>
      <c r="F121" s="12">
        <v>50</v>
      </c>
      <c r="G121" s="13">
        <f>+VLOOKUP(Tabla11034534544554564794558687786951081171271362282372462723326026929731531634849449349952752837424322628[[#This Row],[ArtÃ­culo]],Tabla34[#All],3,0)</f>
        <v>19.804166670000001</v>
      </c>
      <c r="H121" s="14">
        <f>+Tabla11034534544554564794558687786951081171271362282372462723326026929731531634849449349952752837424322628[[#This Row],[Costo]]*Tabla11034534544554564794558687786951081171271362282372462723326026929731531634849449349952752837424322628[[#This Row],[Unidades]]</f>
        <v>990.20833349999998</v>
      </c>
    </row>
    <row r="122" spans="2:13" x14ac:dyDescent="0.3">
      <c r="B122" s="10" t="s">
        <v>644</v>
      </c>
      <c r="C122" s="11" t="s">
        <v>605</v>
      </c>
      <c r="D122" s="12">
        <v>0.5</v>
      </c>
      <c r="E122" s="12">
        <v>0</v>
      </c>
      <c r="F122" s="12">
        <v>0.5</v>
      </c>
      <c r="G122" s="13">
        <f>+VLOOKUP(Tabla11034534544554564794558687786951081171271362282372462723326026929731531634849449349952752837424322628[[#This Row],[ArtÃ­culo]],Tabla34[#All],3,0)</f>
        <v>2082.9166666699998</v>
      </c>
      <c r="H122" s="14">
        <f>+Tabla11034534544554564794558687786951081171271362282372462723326026929731531634849449349952752837424322628[[#This Row],[Costo]]*Tabla11034534544554564794558687786951081171271362282372462723326026929731531634849449349952752837424322628[[#This Row],[Unidades]]</f>
        <v>1041.4583333349999</v>
      </c>
    </row>
    <row r="123" spans="2:13" x14ac:dyDescent="0.3">
      <c r="B123" s="10" t="s">
        <v>989</v>
      </c>
      <c r="C123" s="11" t="s">
        <v>67</v>
      </c>
      <c r="D123" s="12">
        <v>0.3</v>
      </c>
      <c r="E123" s="12">
        <v>0</v>
      </c>
      <c r="F123" s="12">
        <v>0.3</v>
      </c>
      <c r="G123" s="13">
        <f>+VLOOKUP(Tabla11034534544554564794558687786951081171271362282372462723326026929731531634849449349952752837424322628[[#This Row],[ArtÃ­culo]],Tabla34[#All],3,0)</f>
        <v>100</v>
      </c>
      <c r="H123" s="14">
        <f>+Tabla11034534544554564794558687786951081171271362282372462723326026929731531634849449349952752837424322628[[#This Row],[Costo]]*Tabla11034534544554564794558687786951081171271362282372462723326026929731531634849449349952752837424322628[[#This Row],[Unidades]]</f>
        <v>30</v>
      </c>
      <c r="I123" s="40"/>
    </row>
    <row r="124" spans="2:13" x14ac:dyDescent="0.3">
      <c r="B124" s="10" t="s">
        <v>783</v>
      </c>
      <c r="C124" s="11" t="s">
        <v>67</v>
      </c>
      <c r="D124" s="12">
        <v>0.3</v>
      </c>
      <c r="E124" s="12">
        <v>0</v>
      </c>
      <c r="F124" s="12">
        <v>0.3</v>
      </c>
      <c r="G124" s="13">
        <f>+VLOOKUP(Tabla11034534544554564794558687786951081171271362282372462723326026929731531634849449349952752837424322628[[#This Row],[ArtÃ­culo]],Tabla34[#All],3,0)</f>
        <v>57.990152889999997</v>
      </c>
      <c r="H124" s="14">
        <f>+Tabla11034534544554564794558687786951081171271362282372462723326026929731531634849449349952752837424322628[[#This Row],[Costo]]*Tabla11034534544554564794558687786951081171271362282372462723326026929731531634849449349952752837424322628[[#This Row],[Unidades]]</f>
        <v>17.397045866999999</v>
      </c>
      <c r="I124" s="40"/>
    </row>
    <row r="125" spans="2:13" x14ac:dyDescent="0.3">
      <c r="B125" s="10" t="s">
        <v>99</v>
      </c>
      <c r="C125" s="11" t="s">
        <v>67</v>
      </c>
      <c r="D125" s="12">
        <v>100</v>
      </c>
      <c r="E125" s="12">
        <v>0</v>
      </c>
      <c r="F125" s="12">
        <v>100</v>
      </c>
      <c r="G125" s="13">
        <f>+VLOOKUP(Tabla11034534544554564794558687786951081171271362282372462723326026929731531634849449349952752837424322628[[#This Row],[ArtÃ­culo]],Tabla34[#All],3,0)</f>
        <v>49.977947020000002</v>
      </c>
      <c r="H125" s="14">
        <f>+Tabla11034534544554564794558687786951081171271362282372462723326026929731531634849449349952752837424322628[[#This Row],[Costo]]*Tabla11034534544554564794558687786951081171271362282372462723326026929731531634849449349952752837424322628[[#This Row],[Unidades]]</f>
        <v>4997.7947020000001</v>
      </c>
      <c r="I125" s="40"/>
    </row>
    <row r="126" spans="2:13" x14ac:dyDescent="0.3">
      <c r="B126" s="10" t="s">
        <v>631</v>
      </c>
      <c r="C126" s="11" t="s">
        <v>67</v>
      </c>
      <c r="D126" s="12">
        <v>100</v>
      </c>
      <c r="E126" s="12">
        <v>0</v>
      </c>
      <c r="F126" s="12">
        <v>100</v>
      </c>
      <c r="G126" s="13">
        <f>+VLOOKUP(Tabla11034534544554564794558687786951081171271362282372462723326026929731531634849449349952752837424322628[[#This Row],[ArtÃ­culo]],Tabla34[#All],3,0)</f>
        <v>34.714285709999999</v>
      </c>
      <c r="H126" s="14">
        <f>+Tabla11034534544554564794558687786951081171271362282372462723326026929731531634849449349952752837424322628[[#This Row],[Costo]]*Tabla11034534544554564794558687786951081171271362282372462723326026929731531634849449349952752837424322628[[#This Row],[Unidades]]</f>
        <v>3471.4285709999999</v>
      </c>
      <c r="I126" s="40"/>
    </row>
    <row r="127" spans="2:13" x14ac:dyDescent="0.3">
      <c r="B127" s="10" t="s">
        <v>207</v>
      </c>
      <c r="C127" s="11" t="s">
        <v>67</v>
      </c>
      <c r="D127" s="12">
        <v>20</v>
      </c>
      <c r="E127" s="12">
        <v>0</v>
      </c>
      <c r="F127" s="12">
        <v>20</v>
      </c>
      <c r="G127" s="13">
        <f>+VLOOKUP(Tabla11034534544554564794558687786951081171271362282372462723326026929731531634849449349952752837424322628[[#This Row],[ArtÃ­culo]],Tabla34[#All],3,0)</f>
        <v>12.17853483</v>
      </c>
      <c r="H127" s="14">
        <f>+Tabla11034534544554564794558687786951081171271362282372462723326026929731531634849449349952752837424322628[[#This Row],[Costo]]*Tabla11034534544554564794558687786951081171271362282372462723326026929731531634849449349952752837424322628[[#This Row],[Unidades]]</f>
        <v>243.57069660000002</v>
      </c>
      <c r="I127" s="40"/>
    </row>
    <row r="128" spans="2:13" x14ac:dyDescent="0.3">
      <c r="B128" s="16"/>
      <c r="C128" s="17"/>
      <c r="D128" s="17"/>
      <c r="E128" s="17"/>
      <c r="F128" s="17"/>
      <c r="G128" s="18"/>
      <c r="H128" s="18" t="e">
        <f>SUBTOTAL(109,Tabla11034534544554564794558687786951081171271362282372462723326026929731531634849449349952752837424322628[Total costo])</f>
        <v>#N/A</v>
      </c>
      <c r="I128" s="40"/>
    </row>
    <row r="129" spans="2:11" x14ac:dyDescent="0.3">
      <c r="B129" s="32"/>
      <c r="C129" s="33"/>
      <c r="D129" s="33"/>
      <c r="E129" s="33"/>
      <c r="F129" s="33"/>
      <c r="G129" s="34"/>
      <c r="H129" s="34"/>
      <c r="I129" s="40"/>
    </row>
    <row r="130" spans="2:11" x14ac:dyDescent="0.3">
      <c r="B130" s="1" t="s">
        <v>1114</v>
      </c>
      <c r="C130" s="2"/>
      <c r="D130" s="2"/>
      <c r="E130" s="3"/>
      <c r="F130" s="3"/>
      <c r="G130" s="3"/>
      <c r="H130" s="3"/>
      <c r="I130" s="40"/>
      <c r="J130" s="399" t="s">
        <v>0</v>
      </c>
      <c r="K130" s="399"/>
    </row>
    <row r="131" spans="2:11" x14ac:dyDescent="0.3">
      <c r="B131" s="16" t="s">
        <v>857</v>
      </c>
      <c r="C131" s="17" t="s">
        <v>895</v>
      </c>
      <c r="D131" s="17" t="s">
        <v>892</v>
      </c>
      <c r="E131" s="17" t="s">
        <v>893</v>
      </c>
      <c r="F131" s="17" t="s">
        <v>894</v>
      </c>
      <c r="G131" s="76" t="s">
        <v>4</v>
      </c>
      <c r="H131" s="76" t="s">
        <v>5</v>
      </c>
      <c r="I131" s="40"/>
      <c r="J131" s="8" t="s">
        <v>6</v>
      </c>
      <c r="K131" s="9" t="e">
        <f>SUM(Tabla1103453454455456479455868778695108117127136228237246272332602692973153163484944934995275283742432262829[Total costo])</f>
        <v>#N/A</v>
      </c>
    </row>
    <row r="132" spans="2:11" x14ac:dyDescent="0.3">
      <c r="B132" s="10" t="s">
        <v>312</v>
      </c>
      <c r="C132" s="11" t="s">
        <v>67</v>
      </c>
      <c r="D132" s="12">
        <v>100</v>
      </c>
      <c r="E132" s="12">
        <v>0</v>
      </c>
      <c r="F132" s="12">
        <v>100</v>
      </c>
      <c r="G132" s="13">
        <f>+VLOOKUP(Tabla1103453454455456479455868778695108117127136228237246272332602692973153163484944934995275283742432262829[[#This Row],[ArtÃ­culo]],Tabla34[#All],3,0)</f>
        <v>4.2671999999999999</v>
      </c>
      <c r="H132" s="14">
        <f>+Tabla1103453454455456479455868778695108117127136228237246272332602692973153163484944934995275283742432262829[[#This Row],[Costo]]*Tabla1103453454455456479455868778695108117127136228237246272332602692973153163484944934995275283742432262829[[#This Row],[Unidades]]</f>
        <v>426.71999999999997</v>
      </c>
      <c r="I132" s="40"/>
      <c r="J132" s="8" t="s">
        <v>533</v>
      </c>
      <c r="K132" s="15" t="e">
        <f>+K131*5%</f>
        <v>#N/A</v>
      </c>
    </row>
    <row r="133" spans="2:11" x14ac:dyDescent="0.3">
      <c r="B133" s="10" t="s">
        <v>85</v>
      </c>
      <c r="C133" s="11" t="s">
        <v>67</v>
      </c>
      <c r="D133" s="12">
        <v>100</v>
      </c>
      <c r="E133" s="12">
        <v>0</v>
      </c>
      <c r="F133" s="12">
        <v>100</v>
      </c>
      <c r="G133" s="13">
        <f>+VLOOKUP(Tabla1103453454455456479455868778695108117127136228237246272332602692973153163484944934995275283742432262829[[#This Row],[ArtÃ­culo]],Tabla34[#All],3,0)</f>
        <v>4.8816666700000004</v>
      </c>
      <c r="H133" s="14">
        <f>+Tabla1103453454455456479455868778695108117127136228237246272332602692973153163484944934995275283742432262829[[#This Row],[Costo]]*Tabla1103453454455456479455868778695108117127136228237246272332602692973153163484944934995275283742432262829[[#This Row],[Unidades]]</f>
        <v>488.16666700000002</v>
      </c>
      <c r="J133" s="8" t="s">
        <v>13</v>
      </c>
      <c r="K133" s="15" t="e">
        <f>+K131+K132</f>
        <v>#N/A</v>
      </c>
    </row>
    <row r="134" spans="2:11" x14ac:dyDescent="0.3">
      <c r="B134" s="10" t="s">
        <v>280</v>
      </c>
      <c r="C134" s="11" t="s">
        <v>847</v>
      </c>
      <c r="D134" s="12">
        <v>3</v>
      </c>
      <c r="E134" s="12">
        <v>0</v>
      </c>
      <c r="F134" s="12">
        <v>3</v>
      </c>
      <c r="G134" s="13" t="e">
        <f>+VLOOKUP(Tabla1103453454455456479455868778695108117127136228237246272332602692973153163484944934995275283742432262829[[#This Row],[ArtÃ­culo]],Tabla34[#All],3,0)</f>
        <v>#N/A</v>
      </c>
      <c r="H134" s="14" t="e">
        <f>+Tabla1103453454455456479455868778695108117127136228237246272332602692973153163484944934995275283742432262829[[#This Row],[Costo]]*Tabla1103453454455456479455868778695108117127136228237246272332602692973153163484944934995275283742432262829[[#This Row],[Unidades]]</f>
        <v>#N/A</v>
      </c>
      <c r="J134" s="20" t="s">
        <v>14</v>
      </c>
      <c r="K134" s="21"/>
    </row>
    <row r="135" spans="2:11" x14ac:dyDescent="0.3">
      <c r="B135" s="10" t="s">
        <v>819</v>
      </c>
      <c r="C135" s="11" t="s">
        <v>67</v>
      </c>
      <c r="D135" s="12">
        <v>15</v>
      </c>
      <c r="E135" s="12">
        <v>0</v>
      </c>
      <c r="F135" s="12">
        <v>15</v>
      </c>
      <c r="G135" s="13">
        <f>+VLOOKUP(Tabla1103453454455456479455868778695108117127136228237246272332602692973153163484944934995275283742432262829[[#This Row],[ArtÃ­culo]],Tabla34[#All],3,0)</f>
        <v>21.363943110000001</v>
      </c>
      <c r="H135" s="14">
        <f>+Tabla1103453454455456479455868778695108117127136228237246272332602692973153163484944934995275283742432262829[[#This Row],[Costo]]*Tabla1103453454455456479455868778695108117127136228237246272332602692973153163484944934995275283742432262829[[#This Row],[Unidades]]</f>
        <v>320.45914665000004</v>
      </c>
      <c r="J135" s="8" t="s">
        <v>15</v>
      </c>
      <c r="K135" s="15">
        <f>+K134/1.08*0.08</f>
        <v>0</v>
      </c>
    </row>
    <row r="136" spans="2:11" x14ac:dyDescent="0.3">
      <c r="B136" s="10" t="s">
        <v>648</v>
      </c>
      <c r="C136" s="11" t="s">
        <v>67</v>
      </c>
      <c r="D136" s="12">
        <v>50</v>
      </c>
      <c r="E136" s="12">
        <v>0</v>
      </c>
      <c r="F136" s="12">
        <v>50</v>
      </c>
      <c r="G136" s="13">
        <f>+VLOOKUP(Tabla1103453454455456479455868778695108117127136228237246272332602692973153163484944934995275283742432262829[[#This Row],[ArtÃ­culo]],Tabla34[#All],3,0)</f>
        <v>10.890823879999999</v>
      </c>
      <c r="H136" s="14">
        <f>+Tabla1103453454455456479455868778695108117127136228237246272332602692973153163484944934995275283742432262829[[#This Row],[Costo]]*Tabla1103453454455456479455868778695108117127136228237246272332602692973153163484944934995275283742432262829[[#This Row],[Unidades]]</f>
        <v>544.5411939999999</v>
      </c>
      <c r="J136" s="8" t="s">
        <v>16</v>
      </c>
      <c r="K136" s="15">
        <f>+K134-K135</f>
        <v>0</v>
      </c>
    </row>
    <row r="137" spans="2:11" x14ac:dyDescent="0.3">
      <c r="B137" s="10" t="s">
        <v>335</v>
      </c>
      <c r="C137" s="11" t="s">
        <v>67</v>
      </c>
      <c r="D137" s="12">
        <v>75</v>
      </c>
      <c r="E137" s="12">
        <v>0</v>
      </c>
      <c r="F137" s="12">
        <v>75</v>
      </c>
      <c r="G137" s="13">
        <f>+VLOOKUP(Tabla1103453454455456479455868778695108117127136228237246272332602692973153163484944934995275283742432262829[[#This Row],[ArtÃ­culo]],Tabla34[#All],3,0)</f>
        <v>16.841633210000001</v>
      </c>
      <c r="H137" s="14">
        <f>+Tabla1103453454455456479455868778695108117127136228237246272332602692973153163484944934995275283742432262829[[#This Row],[Costo]]*Tabla1103453454455456479455868778695108117127136228237246272332602692973153163484944934995275283742432262829[[#This Row],[Unidades]]</f>
        <v>1263.12249075</v>
      </c>
      <c r="J137" s="8" t="s">
        <v>17</v>
      </c>
      <c r="K137" s="41" t="e">
        <f>+K133/K136</f>
        <v>#N/A</v>
      </c>
    </row>
    <row r="138" spans="2:11" x14ac:dyDescent="0.3">
      <c r="B138" s="10" t="s">
        <v>194</v>
      </c>
      <c r="C138" s="11" t="s">
        <v>67</v>
      </c>
      <c r="D138" s="12">
        <v>3</v>
      </c>
      <c r="E138" s="12">
        <v>0</v>
      </c>
      <c r="F138" s="12">
        <v>3</v>
      </c>
      <c r="G138" s="13">
        <f>+VLOOKUP(Tabla1103453454455456479455868778695108117127136228237246272332602692973153163484944934995275283742432262829[[#This Row],[ArtÃ­culo]],Tabla34[#All],3,0)</f>
        <v>27.466702179999999</v>
      </c>
      <c r="H138" s="14">
        <f>+Tabla1103453454455456479455868778695108117127136228237246272332602692973153163484944934995275283742432262829[[#This Row],[Costo]]*Tabla1103453454455456479455868778695108117127136228237246272332602692973153163484944934995275283742432262829[[#This Row],[Unidades]]</f>
        <v>82.400106539999996</v>
      </c>
      <c r="J138" s="8" t="s">
        <v>18</v>
      </c>
      <c r="K138" s="42" t="e">
        <f>+K136-K133</f>
        <v>#N/A</v>
      </c>
    </row>
    <row r="139" spans="2:11" x14ac:dyDescent="0.3">
      <c r="B139" s="10" t="s">
        <v>827</v>
      </c>
      <c r="C139" s="11" t="s">
        <v>67</v>
      </c>
      <c r="D139" s="12">
        <v>3</v>
      </c>
      <c r="E139" s="12">
        <v>0</v>
      </c>
      <c r="F139" s="12">
        <v>3</v>
      </c>
      <c r="G139" s="13">
        <f>+VLOOKUP(Tabla1103453454455456479455868778695108117127136228237246272332602692973153163484944934995275283742432262829[[#This Row],[ArtÃ­culo]],Tabla34[#All],3,0)</f>
        <v>511</v>
      </c>
      <c r="H139" s="14">
        <f>+Tabla1103453454455456479455868778695108117127136228237246272332602692973153163484944934995275283742432262829[[#This Row],[Costo]]*Tabla1103453454455456479455868778695108117127136228237246272332602692973153163484944934995275283742432262829[[#This Row],[Unidades]]</f>
        <v>1533</v>
      </c>
      <c r="J139" s="8" t="s">
        <v>19</v>
      </c>
      <c r="K139" s="43" t="e">
        <f>+K138/K133</f>
        <v>#N/A</v>
      </c>
    </row>
    <row r="140" spans="2:11" x14ac:dyDescent="0.3">
      <c r="B140" s="10" t="s">
        <v>1111</v>
      </c>
      <c r="C140" s="11" t="s">
        <v>847</v>
      </c>
      <c r="D140" s="12">
        <v>1</v>
      </c>
      <c r="E140" s="12">
        <v>0</v>
      </c>
      <c r="F140" s="12">
        <v>1</v>
      </c>
      <c r="G140" s="13">
        <f>+VLOOKUP(Tabla1103453454455456479455868778695108117127136228237246272332602692973153163484944934995275283742432262829[[#This Row],[ArtÃ­culo]],Tabla34[#All],3,0)</f>
        <v>0</v>
      </c>
      <c r="H140" s="14">
        <f>+Tabla1103453454455456479455868778695108117127136228237246272332602692973153163484944934995275283742432262829[[#This Row],[Costo]]*Tabla1103453454455456479455868778695108117127136228237246272332602692973153163484944934995275283742432262829[[#This Row],[Unidades]]</f>
        <v>0</v>
      </c>
    </row>
    <row r="141" spans="2:11" x14ac:dyDescent="0.3">
      <c r="B141" s="10" t="s">
        <v>923</v>
      </c>
      <c r="C141" s="11" t="s">
        <v>67</v>
      </c>
      <c r="D141" s="12">
        <v>1</v>
      </c>
      <c r="E141" s="12">
        <v>0</v>
      </c>
      <c r="F141" s="12">
        <v>1</v>
      </c>
      <c r="G141" s="13">
        <f>+VLOOKUP(Tabla1103453454455456479455868778695108117127136228237246272332602692973153163484944934995275283742432262829[[#This Row],[ArtÃ­culo]],Tabla34[#All],3,0)</f>
        <v>25</v>
      </c>
      <c r="H141" s="14">
        <f>+Tabla1103453454455456479455868778695108117127136228237246272332602692973153163484944934995275283742432262829[[#This Row],[Costo]]*Tabla1103453454455456479455868778695108117127136228237246272332602692973153163484944934995275283742432262829[[#This Row],[Unidades]]</f>
        <v>25</v>
      </c>
      <c r="J141" s="28"/>
      <c r="K141" s="28"/>
    </row>
    <row r="142" spans="2:11" x14ac:dyDescent="0.3">
      <c r="B142" s="10" t="s">
        <v>207</v>
      </c>
      <c r="C142" s="11" t="s">
        <v>67</v>
      </c>
      <c r="D142" s="12">
        <v>140</v>
      </c>
      <c r="E142" s="12">
        <v>0</v>
      </c>
      <c r="F142" s="12">
        <v>140</v>
      </c>
      <c r="G142" s="13">
        <f>+VLOOKUP(Tabla1103453454455456479455868778695108117127136228237246272332602692973153163484944934995275283742432262829[[#This Row],[ArtÃ­culo]],Tabla34[#All],3,0)</f>
        <v>12.17853483</v>
      </c>
      <c r="H142" s="14">
        <f>+Tabla1103453454455456479455868778695108117127136228237246272332602692973153163484944934995275283742432262829[[#This Row],[Costo]]*Tabla1103453454455456479455868778695108117127136228237246272332602692973153163484944934995275283742432262829[[#This Row],[Unidades]]</f>
        <v>1704.9948762000001</v>
      </c>
    </row>
    <row r="143" spans="2:11" x14ac:dyDescent="0.3">
      <c r="B143" s="10" t="s">
        <v>724</v>
      </c>
      <c r="C143" s="11" t="s">
        <v>67</v>
      </c>
      <c r="D143" s="12">
        <v>100</v>
      </c>
      <c r="E143" s="12">
        <v>0</v>
      </c>
      <c r="F143" s="12">
        <v>100</v>
      </c>
      <c r="G143" s="13">
        <f>+VLOOKUP(Tabla1103453454455456479455868778695108117127136228237246272332602692973153163484944934995275283742432262829[[#This Row],[ArtÃ­culo]],Tabla34[#All],3,0)</f>
        <v>17.88</v>
      </c>
      <c r="H143" s="14">
        <f>+Tabla1103453454455456479455868778695108117127136228237246272332602692973153163484944934995275283742432262829[[#This Row],[Costo]]*Tabla1103453454455456479455868778695108117127136228237246272332602692973153163484944934995275283742432262829[[#This Row],[Unidades]]</f>
        <v>1788</v>
      </c>
    </row>
    <row r="144" spans="2:11" x14ac:dyDescent="0.3">
      <c r="B144" s="10" t="s">
        <v>1113</v>
      </c>
      <c r="C144" s="11" t="s">
        <v>67</v>
      </c>
      <c r="D144" s="12">
        <v>30</v>
      </c>
      <c r="E144" s="12">
        <v>0</v>
      </c>
      <c r="F144" s="12">
        <v>30</v>
      </c>
      <c r="G144" s="13">
        <f>+VLOOKUP(Tabla1103453454455456479455868778695108117127136228237246272332602692973153163484944934995275283742432262829[[#This Row],[ArtÃ­culo]],Tabla34[#All],3,0)</f>
        <v>9.9206088000000001</v>
      </c>
      <c r="H144" s="14">
        <f>+Tabla1103453454455456479455868778695108117127136228237246272332602692973153163484944934995275283742432262829[[#This Row],[Costo]]*Tabla1103453454455456479455868778695108117127136228237246272332602692973153163484944934995275283742432262829[[#This Row],[Unidades]]</f>
        <v>297.61826400000001</v>
      </c>
    </row>
    <row r="145" spans="2:11" x14ac:dyDescent="0.3">
      <c r="B145" s="10" t="s">
        <v>106</v>
      </c>
      <c r="C145" s="11" t="s">
        <v>67</v>
      </c>
      <c r="D145" s="12">
        <v>100</v>
      </c>
      <c r="E145" s="12">
        <v>0</v>
      </c>
      <c r="F145" s="12">
        <v>100</v>
      </c>
      <c r="G145" s="13">
        <f>+VLOOKUP(Tabla1103453454455456479455868778695108117127136228237246272332602692973153163484944934995275283742432262829[[#This Row],[ArtÃ­culo]],Tabla34[#All],3,0)</f>
        <v>19.804166670000001</v>
      </c>
      <c r="H145" s="14">
        <f>+Tabla1103453454455456479455868778695108117127136228237246272332602692973153163484944934995275283742432262829[[#This Row],[Costo]]*Tabla1103453454455456479455868778695108117127136228237246272332602692973153163484944934995275283742432262829[[#This Row],[Unidades]]</f>
        <v>1980.416667</v>
      </c>
    </row>
    <row r="146" spans="2:11" x14ac:dyDescent="0.3">
      <c r="B146" s="10" t="s">
        <v>644</v>
      </c>
      <c r="C146" s="11" t="s">
        <v>605</v>
      </c>
      <c r="D146" s="12">
        <v>0.5</v>
      </c>
      <c r="E146" s="12">
        <v>0</v>
      </c>
      <c r="F146" s="12">
        <v>0.5</v>
      </c>
      <c r="G146" s="13">
        <f>+VLOOKUP(Tabla1103453454455456479455868778695108117127136228237246272332602692973153163484944934995275283742432262829[[#This Row],[ArtÃ­culo]],Tabla34[#All],3,0)</f>
        <v>2082.9166666699998</v>
      </c>
      <c r="H146" s="14">
        <f>+Tabla1103453454455456479455868778695108117127136228237246272332602692973153163484944934995275283742432262829[[#This Row],[Costo]]*Tabla1103453454455456479455868778695108117127136228237246272332602692973153163484944934995275283742432262829[[#This Row],[Unidades]]</f>
        <v>1041.4583333349999</v>
      </c>
    </row>
    <row r="147" spans="2:11" x14ac:dyDescent="0.3">
      <c r="B147" s="10" t="s">
        <v>989</v>
      </c>
      <c r="C147" s="11" t="s">
        <v>67</v>
      </c>
      <c r="D147" s="12">
        <v>0.5</v>
      </c>
      <c r="E147" s="12">
        <v>0</v>
      </c>
      <c r="F147" s="12">
        <v>0.5</v>
      </c>
      <c r="G147" s="13">
        <f>+VLOOKUP(Tabla1103453454455456479455868778695108117127136228237246272332602692973153163484944934995275283742432262829[[#This Row],[ArtÃ­culo]],Tabla34[#All],3,0)</f>
        <v>100</v>
      </c>
      <c r="H147" s="14">
        <f>+Tabla1103453454455456479455868778695108117127136228237246272332602692973153163484944934995275283742432262829[[#This Row],[Costo]]*Tabla1103453454455456479455868778695108117127136228237246272332602692973153163484944934995275283742432262829[[#This Row],[Unidades]]</f>
        <v>50</v>
      </c>
    </row>
    <row r="148" spans="2:11" x14ac:dyDescent="0.3">
      <c r="B148" s="10" t="s">
        <v>783</v>
      </c>
      <c r="C148" s="11" t="s">
        <v>67</v>
      </c>
      <c r="D148" s="12">
        <v>0.5</v>
      </c>
      <c r="E148" s="12">
        <v>0</v>
      </c>
      <c r="F148" s="12">
        <v>0.5</v>
      </c>
      <c r="G148" s="13">
        <f>+VLOOKUP(Tabla1103453454455456479455868778695108117127136228237246272332602692973153163484944934995275283742432262829[[#This Row],[ArtÃ­culo]],Tabla34[#All],3,0)</f>
        <v>57.990152889999997</v>
      </c>
      <c r="H148" s="14">
        <f>+Tabla1103453454455456479455868778695108117127136228237246272332602692973153163484944934995275283742432262829[[#This Row],[Costo]]*Tabla1103453454455456479455868778695108117127136228237246272332602692973153163484944934995275283742432262829[[#This Row],[Unidades]]</f>
        <v>28.995076444999999</v>
      </c>
    </row>
    <row r="149" spans="2:11" x14ac:dyDescent="0.3">
      <c r="B149" s="10" t="s">
        <v>99</v>
      </c>
      <c r="C149" s="11" t="s">
        <v>67</v>
      </c>
      <c r="D149" s="12">
        <v>200</v>
      </c>
      <c r="E149" s="12">
        <v>0</v>
      </c>
      <c r="F149" s="12">
        <v>200</v>
      </c>
      <c r="G149" s="13">
        <f>+VLOOKUP(Tabla1103453454455456479455868778695108117127136228237246272332602692973153163484944934995275283742432262829[[#This Row],[ArtÃ­culo]],Tabla34[#All],3,0)</f>
        <v>49.977947020000002</v>
      </c>
      <c r="H149" s="14">
        <f>+Tabla1103453454455456479455868778695108117127136228237246272332602692973153163484944934995275283742432262829[[#This Row],[Costo]]*Tabla1103453454455456479455868778695108117127136228237246272332602692973153163484944934995275283742432262829[[#This Row],[Unidades]]</f>
        <v>9995.5894040000003</v>
      </c>
    </row>
    <row r="150" spans="2:11" x14ac:dyDescent="0.3">
      <c r="B150" s="10" t="s">
        <v>631</v>
      </c>
      <c r="C150" s="11" t="s">
        <v>67</v>
      </c>
      <c r="D150" s="12">
        <v>200</v>
      </c>
      <c r="E150" s="12">
        <v>0</v>
      </c>
      <c r="F150" s="12">
        <v>200</v>
      </c>
      <c r="G150" s="13">
        <f>+VLOOKUP(Tabla1103453454455456479455868778695108117127136228237246272332602692973153163484944934995275283742432262829[[#This Row],[ArtÃ­culo]],Tabla34[#All],3,0)</f>
        <v>34.714285709999999</v>
      </c>
      <c r="H150" s="14">
        <f>+Tabla1103453454455456479455868778695108117127136228237246272332602692973153163484944934995275283742432262829[[#This Row],[Costo]]*Tabla1103453454455456479455868778695108117127136228237246272332602692973153163484944934995275283742432262829[[#This Row],[Unidades]]</f>
        <v>6942.8571419999998</v>
      </c>
    </row>
    <row r="151" spans="2:11" x14ac:dyDescent="0.3">
      <c r="B151" s="16"/>
      <c r="C151" s="17"/>
      <c r="D151" s="17"/>
      <c r="E151" s="17"/>
      <c r="F151" s="17"/>
      <c r="G151" s="18"/>
      <c r="H151" s="18" t="e">
        <f>SUBTOTAL(109,Tabla1103453454455456479455868778695108117127136228237246272332602692973153163484944934995275283742432262829[Total costo])</f>
        <v>#N/A</v>
      </c>
    </row>
    <row r="152" spans="2:11" x14ac:dyDescent="0.3">
      <c r="B152" s="32"/>
      <c r="C152" s="33"/>
      <c r="D152" s="33"/>
      <c r="E152" s="33"/>
      <c r="F152" s="33"/>
      <c r="G152" s="34"/>
      <c r="H152" s="34"/>
    </row>
    <row r="153" spans="2:11" x14ac:dyDescent="0.3">
      <c r="B153" s="19" t="s">
        <v>1112</v>
      </c>
      <c r="C153" s="2"/>
      <c r="D153" s="2"/>
      <c r="E153" s="3"/>
      <c r="F153" s="3"/>
      <c r="G153" s="3"/>
      <c r="H153" s="3"/>
      <c r="J153" s="399" t="s">
        <v>0</v>
      </c>
      <c r="K153" s="399"/>
    </row>
    <row r="154" spans="2:11" x14ac:dyDescent="0.3">
      <c r="B154" s="16" t="s">
        <v>857</v>
      </c>
      <c r="C154" s="17" t="s">
        <v>895</v>
      </c>
      <c r="D154" s="17" t="s">
        <v>892</v>
      </c>
      <c r="E154" s="17" t="s">
        <v>893</v>
      </c>
      <c r="F154" s="17" t="s">
        <v>894</v>
      </c>
      <c r="G154" s="76" t="s">
        <v>4</v>
      </c>
      <c r="H154" s="76" t="s">
        <v>5</v>
      </c>
      <c r="J154" s="8" t="s">
        <v>6</v>
      </c>
      <c r="K154" s="9" t="e">
        <f>SUM(Tabla110345345445545647945586877869510811712713622823724627233260269297315316348494493499527528374243226282930[Total costo])</f>
        <v>#N/A</v>
      </c>
    </row>
    <row r="155" spans="2:11" x14ac:dyDescent="0.3">
      <c r="B155" s="10" t="s">
        <v>312</v>
      </c>
      <c r="C155" s="11" t="s">
        <v>67</v>
      </c>
      <c r="D155" s="12">
        <v>195</v>
      </c>
      <c r="E155" s="12">
        <v>0</v>
      </c>
      <c r="F155" s="12">
        <v>195</v>
      </c>
      <c r="G155" s="13">
        <f>+VLOOKUP(Tabla110345345445545647945586877869510811712713622823724627233260269297315316348494493499527528374243226282930[[#This Row],[ArtÃ­culo]],Tabla34[#All],3,0)</f>
        <v>4.2671999999999999</v>
      </c>
      <c r="H155" s="14">
        <f>+Tabla110345345445545647945586877869510811712713622823724627233260269297315316348494493499527528374243226282930[[#This Row],[Costo]]*Tabla110345345445545647945586877869510811712713622823724627233260269297315316348494493499527528374243226282930[[#This Row],[Unidades]]</f>
        <v>832.10399999999993</v>
      </c>
      <c r="J155" s="8" t="s">
        <v>533</v>
      </c>
      <c r="K155" s="15" t="e">
        <f>+K154*5%</f>
        <v>#N/A</v>
      </c>
    </row>
    <row r="156" spans="2:11" x14ac:dyDescent="0.3">
      <c r="B156" s="10" t="s">
        <v>85</v>
      </c>
      <c r="C156" s="11" t="s">
        <v>67</v>
      </c>
      <c r="D156" s="12">
        <v>195</v>
      </c>
      <c r="E156" s="12">
        <v>0</v>
      </c>
      <c r="F156" s="12">
        <v>195</v>
      </c>
      <c r="G156" s="13">
        <f>+VLOOKUP(Tabla110345345445545647945586877869510811712713622823724627233260269297315316348494493499527528374243226282930[[#This Row],[ArtÃ­culo]],Tabla34[#All],3,0)</f>
        <v>4.8816666700000004</v>
      </c>
      <c r="H156" s="14">
        <f>+Tabla110345345445545647945586877869510811712713622823724627233260269297315316348494493499527528374243226282930[[#This Row],[Costo]]*Tabla110345345445545647945586877869510811712713622823724627233260269297315316348494493499527528374243226282930[[#This Row],[Unidades]]</f>
        <v>951.92500065000013</v>
      </c>
      <c r="J156" s="8" t="s">
        <v>13</v>
      </c>
      <c r="K156" s="15" t="e">
        <f>+K154+K155</f>
        <v>#N/A</v>
      </c>
    </row>
    <row r="157" spans="2:11" x14ac:dyDescent="0.3">
      <c r="B157" s="10" t="s">
        <v>280</v>
      </c>
      <c r="C157" s="11" t="s">
        <v>847</v>
      </c>
      <c r="D157" s="12">
        <v>6</v>
      </c>
      <c r="E157" s="12">
        <v>0</v>
      </c>
      <c r="F157" s="12">
        <v>6</v>
      </c>
      <c r="G157" s="13" t="e">
        <f>+VLOOKUP(Tabla110345345445545647945586877869510811712713622823724627233260269297315316348494493499527528374243226282930[[#This Row],[ArtÃ­culo]],Tabla34[#All],3,0)</f>
        <v>#N/A</v>
      </c>
      <c r="H157" s="14" t="e">
        <f>+Tabla110345345445545647945586877869510811712713622823724627233260269297315316348494493499527528374243226282930[[#This Row],[Costo]]*Tabla110345345445545647945586877869510811712713622823724627233260269297315316348494493499527528374243226282930[[#This Row],[Unidades]]</f>
        <v>#N/A</v>
      </c>
      <c r="J157" s="20" t="s">
        <v>14</v>
      </c>
      <c r="K157" s="21"/>
    </row>
    <row r="158" spans="2:11" x14ac:dyDescent="0.3">
      <c r="B158" s="10" t="s">
        <v>819</v>
      </c>
      <c r="C158" s="11" t="s">
        <v>67</v>
      </c>
      <c r="D158" s="12">
        <v>35</v>
      </c>
      <c r="E158" s="12">
        <v>0</v>
      </c>
      <c r="F158" s="12">
        <v>35</v>
      </c>
      <c r="G158" s="13">
        <f>+VLOOKUP(Tabla110345345445545647945586877869510811712713622823724627233260269297315316348494493499527528374243226282930[[#This Row],[ArtÃ­culo]],Tabla34[#All],3,0)</f>
        <v>21.363943110000001</v>
      </c>
      <c r="H158" s="14">
        <f>+Tabla110345345445545647945586877869510811712713622823724627233260269297315316348494493499527528374243226282930[[#This Row],[Costo]]*Tabla110345345445545647945586877869510811712713622823724627233260269297315316348494493499527528374243226282930[[#This Row],[Unidades]]</f>
        <v>747.73800885000003</v>
      </c>
      <c r="J158" s="8" t="s">
        <v>15</v>
      </c>
      <c r="K158" s="15">
        <f>+K157/1.08*0.08</f>
        <v>0</v>
      </c>
    </row>
    <row r="159" spans="2:11" x14ac:dyDescent="0.3">
      <c r="B159" s="10" t="s">
        <v>648</v>
      </c>
      <c r="C159" s="11" t="s">
        <v>67</v>
      </c>
      <c r="D159" s="12">
        <v>100</v>
      </c>
      <c r="E159" s="12">
        <v>0</v>
      </c>
      <c r="F159" s="12">
        <v>100</v>
      </c>
      <c r="G159" s="13">
        <f>+VLOOKUP(Tabla110345345445545647945586877869510811712713622823724627233260269297315316348494493499527528374243226282930[[#This Row],[ArtÃ­culo]],Tabla34[#All],3,0)</f>
        <v>10.890823879999999</v>
      </c>
      <c r="H159" s="14">
        <f>+Tabla110345345445545647945586877869510811712713622823724627233260269297315316348494493499527528374243226282930[[#This Row],[Costo]]*Tabla110345345445545647945586877869510811712713622823724627233260269297315316348494493499527528374243226282930[[#This Row],[Unidades]]</f>
        <v>1089.0823879999998</v>
      </c>
      <c r="J159" s="8" t="s">
        <v>16</v>
      </c>
      <c r="K159" s="15">
        <f>+K157-K158</f>
        <v>0</v>
      </c>
    </row>
    <row r="160" spans="2:11" x14ac:dyDescent="0.3">
      <c r="B160" s="10" t="s">
        <v>194</v>
      </c>
      <c r="C160" s="11" t="s">
        <v>67</v>
      </c>
      <c r="D160" s="12">
        <v>5</v>
      </c>
      <c r="E160" s="12">
        <v>0</v>
      </c>
      <c r="F160" s="12">
        <v>5</v>
      </c>
      <c r="G160" s="13">
        <f>+VLOOKUP(Tabla110345345445545647945586877869510811712713622823724627233260269297315316348494493499527528374243226282930[[#This Row],[ArtÃ­culo]],Tabla34[#All],3,0)</f>
        <v>27.466702179999999</v>
      </c>
      <c r="H160" s="14">
        <f>+Tabla110345345445545647945586877869510811712713622823724627233260269297315316348494493499527528374243226282930[[#This Row],[Costo]]*Tabla110345345445545647945586877869510811712713622823724627233260269297315316348494493499527528374243226282930[[#This Row],[Unidades]]</f>
        <v>137.33351089999999</v>
      </c>
      <c r="J160" s="8" t="s">
        <v>17</v>
      </c>
      <c r="K160" s="41" t="e">
        <f>+K156/K159</f>
        <v>#N/A</v>
      </c>
    </row>
    <row r="161" spans="2:11" x14ac:dyDescent="0.3">
      <c r="B161" s="10" t="s">
        <v>827</v>
      </c>
      <c r="C161" s="11" t="s">
        <v>67</v>
      </c>
      <c r="D161" s="12">
        <v>5</v>
      </c>
      <c r="E161" s="12">
        <v>0</v>
      </c>
      <c r="F161" s="12">
        <v>5</v>
      </c>
      <c r="G161" s="13">
        <f>+VLOOKUP(Tabla110345345445545647945586877869510811712713622823724627233260269297315316348494493499527528374243226282930[[#This Row],[ArtÃ­culo]],Tabla34[#All],3,0)</f>
        <v>511</v>
      </c>
      <c r="H161" s="14">
        <f>+Tabla110345345445545647945586877869510811712713622823724627233260269297315316348494493499527528374243226282930[[#This Row],[Costo]]*Tabla110345345445545647945586877869510811712713622823724627233260269297315316348494493499527528374243226282930[[#This Row],[Unidades]]</f>
        <v>2555</v>
      </c>
      <c r="J161" s="8" t="s">
        <v>18</v>
      </c>
      <c r="K161" s="42" t="e">
        <f>+K159-K156</f>
        <v>#N/A</v>
      </c>
    </row>
    <row r="162" spans="2:11" x14ac:dyDescent="0.3">
      <c r="B162" s="10" t="s">
        <v>1111</v>
      </c>
      <c r="C162" s="11" t="s">
        <v>847</v>
      </c>
      <c r="D162" s="12">
        <v>1</v>
      </c>
      <c r="E162" s="12">
        <v>0</v>
      </c>
      <c r="F162" s="12">
        <v>1</v>
      </c>
      <c r="G162" s="13">
        <f>+VLOOKUP(Tabla110345345445545647945586877869510811712713622823724627233260269297315316348494493499527528374243226282930[[#This Row],[ArtÃ­culo]],Tabla34[#All],3,0)</f>
        <v>0</v>
      </c>
      <c r="H162" s="14">
        <f>+Tabla110345345445545647945586877869510811712713622823724627233260269297315316348494493499527528374243226282930[[#This Row],[Costo]]*Tabla110345345445545647945586877869510811712713622823724627233260269297315316348494493499527528374243226282930[[#This Row],[Unidades]]</f>
        <v>0</v>
      </c>
      <c r="J162" s="8" t="s">
        <v>19</v>
      </c>
      <c r="K162" s="43" t="e">
        <f>+K161/K156</f>
        <v>#N/A</v>
      </c>
    </row>
    <row r="163" spans="2:11" x14ac:dyDescent="0.3">
      <c r="B163" s="10" t="s">
        <v>923</v>
      </c>
      <c r="C163" s="11" t="s">
        <v>67</v>
      </c>
      <c r="D163" s="12">
        <v>1</v>
      </c>
      <c r="E163" s="12">
        <v>0</v>
      </c>
      <c r="F163" s="12">
        <v>1</v>
      </c>
      <c r="G163" s="13">
        <f>+VLOOKUP(Tabla110345345445545647945586877869510811712713622823724627233260269297315316348494493499527528374243226282930[[#This Row],[ArtÃ­culo]],Tabla34[#All],3,0)</f>
        <v>25</v>
      </c>
      <c r="H163" s="14">
        <f>+Tabla110345345445545647945586877869510811712713622823724627233260269297315316348494493499527528374243226282930[[#This Row],[Costo]]*Tabla110345345445545647945586877869510811712713622823724627233260269297315316348494493499527528374243226282930[[#This Row],[Unidades]]</f>
        <v>25</v>
      </c>
    </row>
    <row r="164" spans="2:11" x14ac:dyDescent="0.3">
      <c r="B164" s="10" t="s">
        <v>207</v>
      </c>
      <c r="C164" s="11" t="s">
        <v>67</v>
      </c>
      <c r="D164" s="12">
        <v>280</v>
      </c>
      <c r="E164" s="12">
        <v>0</v>
      </c>
      <c r="F164" s="12">
        <v>280</v>
      </c>
      <c r="G164" s="13">
        <f>+VLOOKUP(Tabla110345345445545647945586877869510811712713622823724627233260269297315316348494493499527528374243226282930[[#This Row],[ArtÃ­culo]],Tabla34[#All],3,0)</f>
        <v>12.17853483</v>
      </c>
      <c r="H164" s="14">
        <f>+Tabla110345345445545647945586877869510811712713622823724627233260269297315316348494493499527528374243226282930[[#This Row],[Costo]]*Tabla110345345445545647945586877869510811712713622823724627233260269297315316348494493499527528374243226282930[[#This Row],[Unidades]]</f>
        <v>3409.9897524000003</v>
      </c>
    </row>
    <row r="165" spans="2:11" x14ac:dyDescent="0.3">
      <c r="B165" s="10" t="s">
        <v>724</v>
      </c>
      <c r="C165" s="11" t="s">
        <v>67</v>
      </c>
      <c r="D165" s="12">
        <v>200</v>
      </c>
      <c r="E165" s="12">
        <v>0</v>
      </c>
      <c r="F165" s="12">
        <v>200</v>
      </c>
      <c r="G165" s="13">
        <f>+VLOOKUP(Tabla110345345445545647945586877869510811712713622823724627233260269297315316348494493499527528374243226282930[[#This Row],[ArtÃ­culo]],Tabla34[#All],3,0)</f>
        <v>17.88</v>
      </c>
      <c r="H165" s="14">
        <f>+Tabla110345345445545647945586877869510811712713622823724627233260269297315316348494493499527528374243226282930[[#This Row],[Costo]]*Tabla110345345445545647945586877869510811712713622823724627233260269297315316348494493499527528374243226282930[[#This Row],[Unidades]]</f>
        <v>3576</v>
      </c>
    </row>
    <row r="166" spans="2:11" x14ac:dyDescent="0.3">
      <c r="B166" s="10" t="s">
        <v>335</v>
      </c>
      <c r="C166" s="11" t="s">
        <v>67</v>
      </c>
      <c r="D166" s="12">
        <v>150</v>
      </c>
      <c r="E166" s="12">
        <v>0</v>
      </c>
      <c r="F166" s="12">
        <v>150</v>
      </c>
      <c r="G166" s="13">
        <f>+VLOOKUP(Tabla110345345445545647945586877869510811712713622823724627233260269297315316348494493499527528374243226282930[[#This Row],[ArtÃ­culo]],Tabla34[#All],3,0)</f>
        <v>16.841633210000001</v>
      </c>
      <c r="H166" s="14">
        <f>+Tabla110345345445545647945586877869510811712713622823724627233260269297315316348494493499527528374243226282930[[#This Row],[Costo]]*Tabla110345345445545647945586877869510811712713622823724627233260269297315316348494493499527528374243226282930[[#This Row],[Unidades]]</f>
        <v>2526.2449815</v>
      </c>
    </row>
    <row r="167" spans="2:11" x14ac:dyDescent="0.3">
      <c r="B167" s="10" t="s">
        <v>1113</v>
      </c>
      <c r="C167" s="11" t="s">
        <v>67</v>
      </c>
      <c r="D167" s="12">
        <v>80</v>
      </c>
      <c r="E167" s="12">
        <v>0</v>
      </c>
      <c r="F167" s="12">
        <v>80</v>
      </c>
      <c r="G167" s="13">
        <f>+VLOOKUP(Tabla110345345445545647945586877869510811712713622823724627233260269297315316348494493499527528374243226282930[[#This Row],[ArtÃ­culo]],Tabla34[#All],3,0)</f>
        <v>9.9206088000000001</v>
      </c>
      <c r="H167" s="14">
        <f>+Tabla110345345445545647945586877869510811712713622823724627233260269297315316348494493499527528374243226282930[[#This Row],[Costo]]*Tabla110345345445545647945586877869510811712713622823724627233260269297315316348494493499527528374243226282930[[#This Row],[Unidades]]</f>
        <v>793.64870399999995</v>
      </c>
    </row>
    <row r="168" spans="2:11" x14ac:dyDescent="0.3">
      <c r="B168" s="10" t="s">
        <v>106</v>
      </c>
      <c r="C168" s="11" t="s">
        <v>67</v>
      </c>
      <c r="D168" s="12">
        <v>200</v>
      </c>
      <c r="E168" s="12">
        <v>0</v>
      </c>
      <c r="F168" s="12">
        <v>200</v>
      </c>
      <c r="G168" s="13">
        <f>+VLOOKUP(Tabla110345345445545647945586877869510811712713622823724627233260269297315316348494493499527528374243226282930[[#This Row],[ArtÃ­culo]],Tabla34[#All],3,0)</f>
        <v>19.804166670000001</v>
      </c>
      <c r="H168" s="14">
        <f>+Tabla110345345445545647945586877869510811712713622823724627233260269297315316348494493499527528374243226282930[[#This Row],[Costo]]*Tabla110345345445545647945586877869510811712713622823724627233260269297315316348494493499527528374243226282930[[#This Row],[Unidades]]</f>
        <v>3960.8333339999999</v>
      </c>
    </row>
    <row r="169" spans="2:11" x14ac:dyDescent="0.3">
      <c r="B169" s="10" t="s">
        <v>644</v>
      </c>
      <c r="C169" s="11" t="s">
        <v>605</v>
      </c>
      <c r="D169" s="12">
        <v>1</v>
      </c>
      <c r="E169" s="12">
        <v>0</v>
      </c>
      <c r="F169" s="12">
        <v>1</v>
      </c>
      <c r="G169" s="13">
        <f>+VLOOKUP(Tabla110345345445545647945586877869510811712713622823724627233260269297315316348494493499527528374243226282930[[#This Row],[ArtÃ­culo]],Tabla34[#All],3,0)</f>
        <v>2082.9166666699998</v>
      </c>
      <c r="H169" s="14">
        <f>+Tabla110345345445545647945586877869510811712713622823724627233260269297315316348494493499527528374243226282930[[#This Row],[Costo]]*Tabla110345345445545647945586877869510811712713622823724627233260269297315316348494493499527528374243226282930[[#This Row],[Unidades]]</f>
        <v>2082.9166666699998</v>
      </c>
    </row>
    <row r="170" spans="2:11" x14ac:dyDescent="0.3">
      <c r="B170" s="10" t="s">
        <v>989</v>
      </c>
      <c r="C170" s="11" t="s">
        <v>67</v>
      </c>
      <c r="D170" s="12">
        <v>1</v>
      </c>
      <c r="E170" s="12">
        <v>0</v>
      </c>
      <c r="F170" s="12">
        <v>1</v>
      </c>
      <c r="G170" s="13">
        <f>+VLOOKUP(Tabla110345345445545647945586877869510811712713622823724627233260269297315316348494493499527528374243226282930[[#This Row],[ArtÃ­culo]],Tabla34[#All],3,0)</f>
        <v>100</v>
      </c>
      <c r="H170" s="14">
        <f>+Tabla110345345445545647945586877869510811712713622823724627233260269297315316348494493499527528374243226282930[[#This Row],[Costo]]*Tabla110345345445545647945586877869510811712713622823724627233260269297315316348494493499527528374243226282930[[#This Row],[Unidades]]</f>
        <v>100</v>
      </c>
    </row>
    <row r="171" spans="2:11" x14ac:dyDescent="0.3">
      <c r="B171" s="10" t="s">
        <v>783</v>
      </c>
      <c r="C171" s="11" t="s">
        <v>67</v>
      </c>
      <c r="D171" s="12">
        <v>1</v>
      </c>
      <c r="E171" s="12">
        <v>0</v>
      </c>
      <c r="F171" s="12">
        <v>1</v>
      </c>
      <c r="G171" s="13">
        <f>+VLOOKUP(Tabla110345345445545647945586877869510811712713622823724627233260269297315316348494493499527528374243226282930[[#This Row],[ArtÃ­culo]],Tabla34[#All],3,0)</f>
        <v>57.990152889999997</v>
      </c>
      <c r="H171" s="14">
        <f>+Tabla110345345445545647945586877869510811712713622823724627233260269297315316348494493499527528374243226282930[[#This Row],[Costo]]*Tabla110345345445545647945586877869510811712713622823724627233260269297315316348494493499527528374243226282930[[#This Row],[Unidades]]</f>
        <v>57.990152889999997</v>
      </c>
    </row>
    <row r="172" spans="2:11" x14ac:dyDescent="0.3">
      <c r="B172" s="10" t="s">
        <v>99</v>
      </c>
      <c r="C172" s="11" t="s">
        <v>67</v>
      </c>
      <c r="D172" s="12">
        <v>400</v>
      </c>
      <c r="E172" s="12">
        <v>0</v>
      </c>
      <c r="F172" s="12">
        <v>400</v>
      </c>
      <c r="G172" s="13">
        <f>+VLOOKUP(Tabla110345345445545647945586877869510811712713622823724627233260269297315316348494493499527528374243226282930[[#This Row],[ArtÃ­culo]],Tabla34[#All],3,0)</f>
        <v>49.977947020000002</v>
      </c>
      <c r="H172" s="14">
        <f>+Tabla110345345445545647945586877869510811712713622823724627233260269297315316348494493499527528374243226282930[[#This Row],[Costo]]*Tabla110345345445545647945586877869510811712713622823724627233260269297315316348494493499527528374243226282930[[#This Row],[Unidades]]</f>
        <v>19991.178808000001</v>
      </c>
    </row>
    <row r="173" spans="2:11" x14ac:dyDescent="0.3">
      <c r="B173" s="10" t="s">
        <v>631</v>
      </c>
      <c r="C173" s="11" t="s">
        <v>67</v>
      </c>
      <c r="D173" s="12">
        <v>400</v>
      </c>
      <c r="E173" s="12">
        <v>0</v>
      </c>
      <c r="F173" s="12">
        <v>400</v>
      </c>
      <c r="G173" s="13">
        <f>+VLOOKUP(Tabla110345345445545647945586877869510811712713622823724627233260269297315316348494493499527528374243226282930[[#This Row],[ArtÃ­culo]],Tabla34[#All],3,0)</f>
        <v>34.714285709999999</v>
      </c>
      <c r="H173" s="14">
        <f>+Tabla110345345445545647945586877869510811712713622823724627233260269297315316348494493499527528374243226282930[[#This Row],[Costo]]*Tabla110345345445545647945586877869510811712713622823724627233260269297315316348494493499527528374243226282930[[#This Row],[Unidades]]</f>
        <v>13885.714284</v>
      </c>
    </row>
    <row r="174" spans="2:11" x14ac:dyDescent="0.3">
      <c r="B174" s="16"/>
      <c r="C174" s="17"/>
      <c r="D174" s="17"/>
      <c r="E174" s="17"/>
      <c r="F174" s="17"/>
      <c r="G174" s="18"/>
      <c r="H174" s="18" t="e">
        <f>SUBTOTAL(109,Tabla110345345445545647945586877869510811712713622823724627233260269297315316348494493499527528374243226282930[Total costo])</f>
        <v>#N/A</v>
      </c>
    </row>
    <row r="177" spans="2:11" x14ac:dyDescent="0.3">
      <c r="B177" s="19" t="s">
        <v>1117</v>
      </c>
      <c r="C177" s="2"/>
      <c r="D177" s="2"/>
      <c r="E177" s="3"/>
      <c r="F177" s="3"/>
      <c r="G177" s="3"/>
      <c r="H177" s="3"/>
      <c r="J177" s="399" t="s">
        <v>0</v>
      </c>
      <c r="K177" s="399"/>
    </row>
    <row r="178" spans="2:11" x14ac:dyDescent="0.3">
      <c r="B178" s="16" t="s">
        <v>857</v>
      </c>
      <c r="C178" s="17" t="s">
        <v>895</v>
      </c>
      <c r="D178" s="17" t="s">
        <v>892</v>
      </c>
      <c r="E178" s="17" t="s">
        <v>893</v>
      </c>
      <c r="F178" s="17" t="s">
        <v>894</v>
      </c>
      <c r="G178" s="76" t="s">
        <v>4</v>
      </c>
      <c r="H178" s="76" t="s">
        <v>5</v>
      </c>
      <c r="J178" s="8" t="s">
        <v>6</v>
      </c>
      <c r="K178" s="9" t="e">
        <f>SUM(Tabla11034534544554564794558687786951081171271362282372462723326026929731531634849449349952752837424322628293032[Total costo])</f>
        <v>#N/A</v>
      </c>
    </row>
    <row r="179" spans="2:11" x14ac:dyDescent="0.3">
      <c r="B179" s="10" t="s">
        <v>631</v>
      </c>
      <c r="C179" s="11" t="s">
        <v>67</v>
      </c>
      <c r="D179" s="12">
        <v>590</v>
      </c>
      <c r="E179" s="12">
        <v>0</v>
      </c>
      <c r="F179" s="12">
        <v>590</v>
      </c>
      <c r="G179" s="13">
        <f>+VLOOKUP(Tabla11034534544554564794558687786951081171271362282372462723326026929731531634849449349952752837424322628293032[[#This Row],[ArtÃ­culo]],Tabla34[#All],3,0)</f>
        <v>34.714285709999999</v>
      </c>
      <c r="H179" s="14">
        <f>+Tabla11034534544554564794558687786951081171271362282372462723326026929731531634849449349952752837424322628293032[[#This Row],[Costo]]*Tabla11034534544554564794558687786951081171271362282372462723326026929731531634849449349952752837424322628293032[[#This Row],[Unidades]]</f>
        <v>20481.428568899999</v>
      </c>
      <c r="J179" s="8" t="s">
        <v>533</v>
      </c>
      <c r="K179" s="15" t="e">
        <f>+K178*5%</f>
        <v>#N/A</v>
      </c>
    </row>
    <row r="180" spans="2:11" x14ac:dyDescent="0.3">
      <c r="B180" s="10" t="s">
        <v>194</v>
      </c>
      <c r="C180" s="11" t="s">
        <v>67</v>
      </c>
      <c r="D180" s="12">
        <v>560</v>
      </c>
      <c r="E180" s="12">
        <v>0</v>
      </c>
      <c r="F180" s="12">
        <v>560</v>
      </c>
      <c r="G180" s="13">
        <f>+VLOOKUP(Tabla11034534544554564794558687786951081171271362282372462723326026929731531634849449349952752837424322628293032[[#This Row],[ArtÃ­culo]],Tabla34[#All],3,0)</f>
        <v>27.466702179999999</v>
      </c>
      <c r="H180" s="14">
        <f>+Tabla11034534544554564794558687786951081171271362282372462723326026929731531634849449349952752837424322628293032[[#This Row],[Costo]]*Tabla11034534544554564794558687786951081171271362282372462723326026929731531634849449349952752837424322628293032[[#This Row],[Unidades]]</f>
        <v>15381.3532208</v>
      </c>
      <c r="J180" s="8" t="s">
        <v>13</v>
      </c>
      <c r="K180" s="15" t="e">
        <f>+K178+K179</f>
        <v>#N/A</v>
      </c>
    </row>
    <row r="181" spans="2:11" x14ac:dyDescent="0.3">
      <c r="B181" s="10" t="s">
        <v>85</v>
      </c>
      <c r="C181" s="11" t="s">
        <v>67</v>
      </c>
      <c r="D181" s="12">
        <v>680</v>
      </c>
      <c r="E181" s="12">
        <v>0</v>
      </c>
      <c r="F181" s="12">
        <v>680</v>
      </c>
      <c r="G181" s="13">
        <f>+VLOOKUP(Tabla11034534544554564794558687786951081171271362282372462723326026929731531634849449349952752837424322628293032[[#This Row],[ArtÃ­culo]],Tabla34[#All],3,0)</f>
        <v>4.8816666700000004</v>
      </c>
      <c r="H181" s="14">
        <f>+Tabla11034534544554564794558687786951081171271362282372462723326026929731531634849449349952752837424322628293032[[#This Row],[Costo]]*Tabla11034534544554564794558687786951081171271362282372462723326026929731531634849449349952752837424322628293032[[#This Row],[Unidades]]</f>
        <v>3319.5333356000001</v>
      </c>
      <c r="J181" s="20" t="s">
        <v>14</v>
      </c>
      <c r="K181" s="21"/>
    </row>
    <row r="182" spans="2:11" x14ac:dyDescent="0.3">
      <c r="B182" s="10" t="s">
        <v>280</v>
      </c>
      <c r="C182" s="11" t="s">
        <v>847</v>
      </c>
      <c r="D182" s="12">
        <v>8</v>
      </c>
      <c r="E182" s="12">
        <v>0</v>
      </c>
      <c r="F182" s="12">
        <v>8</v>
      </c>
      <c r="G182" s="13" t="e">
        <f>+VLOOKUP(Tabla11034534544554564794558687786951081171271362282372462723326026929731531634849449349952752837424322628293032[[#This Row],[ArtÃ­culo]],Tabla34[#All],3,0)</f>
        <v>#N/A</v>
      </c>
      <c r="H182" s="14" t="e">
        <f>+Tabla11034534544554564794558687786951081171271362282372462723326026929731531634849449349952752837424322628293032[[#This Row],[Costo]]*Tabla11034534544554564794558687786951081171271362282372462723326026929731531634849449349952752837424322628293032[[#This Row],[Unidades]]</f>
        <v>#N/A</v>
      </c>
      <c r="J182" s="8" t="s">
        <v>15</v>
      </c>
      <c r="K182" s="15">
        <f>+K181/1.08*0.08</f>
        <v>0</v>
      </c>
    </row>
    <row r="183" spans="2:11" x14ac:dyDescent="0.3">
      <c r="B183" s="10" t="s">
        <v>819</v>
      </c>
      <c r="C183" s="11" t="s">
        <v>67</v>
      </c>
      <c r="D183" s="12">
        <v>8</v>
      </c>
      <c r="E183" s="12">
        <v>0</v>
      </c>
      <c r="F183" s="12">
        <v>8</v>
      </c>
      <c r="G183" s="13">
        <f>+VLOOKUP(Tabla11034534544554564794558687786951081171271362282372462723326026929731531634849449349952752837424322628293032[[#This Row],[ArtÃ­culo]],Tabla34[#All],3,0)</f>
        <v>21.363943110000001</v>
      </c>
      <c r="H183" s="14">
        <f>+Tabla11034534544554564794558687786951081171271362282372462723326026929731531634849449349952752837424322628293032[[#This Row],[Costo]]*Tabla11034534544554564794558687786951081171271362282372462723326026929731531634849449349952752837424322628293032[[#This Row],[Unidades]]</f>
        <v>170.91154488000001</v>
      </c>
      <c r="J183" s="8" t="s">
        <v>16</v>
      </c>
      <c r="K183" s="15">
        <f>+K181-K182</f>
        <v>0</v>
      </c>
    </row>
    <row r="184" spans="2:11" x14ac:dyDescent="0.3">
      <c r="B184" s="10" t="s">
        <v>312</v>
      </c>
      <c r="C184" s="11" t="s">
        <v>67</v>
      </c>
      <c r="D184" s="12">
        <v>500</v>
      </c>
      <c r="E184" s="12">
        <v>0</v>
      </c>
      <c r="F184" s="12">
        <v>500</v>
      </c>
      <c r="G184" s="13">
        <f>+VLOOKUP(Tabla11034534544554564794558687786951081171271362282372462723326026929731531634849449349952752837424322628293032[[#This Row],[ArtÃ­culo]],Tabla34[#All],3,0)</f>
        <v>4.2671999999999999</v>
      </c>
      <c r="H184" s="14">
        <f>+Tabla11034534544554564794558687786951081171271362282372462723326026929731531634849449349952752837424322628293032[[#This Row],[Costo]]*Tabla11034534544554564794558687786951081171271362282372462723326026929731531634849449349952752837424322628293032[[#This Row],[Unidades]]</f>
        <v>2133.6</v>
      </c>
      <c r="J184" s="8" t="s">
        <v>17</v>
      </c>
      <c r="K184" s="41" t="e">
        <f>+K180/K183</f>
        <v>#N/A</v>
      </c>
    </row>
    <row r="185" spans="2:11" x14ac:dyDescent="0.3">
      <c r="B185" s="10" t="s">
        <v>89</v>
      </c>
      <c r="C185" s="11" t="s">
        <v>67</v>
      </c>
      <c r="D185" s="12">
        <v>4</v>
      </c>
      <c r="E185" s="12">
        <v>0</v>
      </c>
      <c r="F185" s="12">
        <v>4</v>
      </c>
      <c r="G185" s="13">
        <f>+VLOOKUP(Tabla11034534544554564794558687786951081171271362282372462723326026929731531634849449349952752837424322628293032[[#This Row],[ArtÃ­culo]],Tabla34[#All],3,0)</f>
        <v>2.4009999999999998</v>
      </c>
      <c r="H185" s="14">
        <f>+Tabla11034534544554564794558687786951081171271362282372462723326026929731531634849449349952752837424322628293032[[#This Row],[Costo]]*Tabla11034534544554564794558687786951081171271362282372462723326026929731531634849449349952752837424322628293032[[#This Row],[Unidades]]</f>
        <v>9.6039999999999992</v>
      </c>
      <c r="J185" s="8" t="s">
        <v>18</v>
      </c>
      <c r="K185" s="42" t="e">
        <f>+K183-K180</f>
        <v>#N/A</v>
      </c>
    </row>
    <row r="186" spans="2:11" x14ac:dyDescent="0.3">
      <c r="B186" s="10" t="s">
        <v>302</v>
      </c>
      <c r="C186" s="11" t="s">
        <v>67</v>
      </c>
      <c r="D186" s="12">
        <v>60</v>
      </c>
      <c r="E186" s="12">
        <v>0</v>
      </c>
      <c r="F186" s="12">
        <v>60</v>
      </c>
      <c r="G186" s="13">
        <f>+VLOOKUP(Tabla11034534544554564794558687786951081171271362282372462723326026929731531634849449349952752837424322628293032[[#This Row],[ArtÃ­culo]],Tabla34[#All],3,0)</f>
        <v>152.9372381</v>
      </c>
      <c r="H186" s="14">
        <f>+Tabla11034534544554564794558687786951081171271362282372462723326026929731531634849449349952752837424322628293032[[#This Row],[Costo]]*Tabla11034534544554564794558687786951081171271362282372462723326026929731531634849449349952752837424322628293032[[#This Row],[Unidades]]</f>
        <v>9176.2342860000008</v>
      </c>
      <c r="J186" s="8" t="s">
        <v>19</v>
      </c>
      <c r="K186" s="43" t="e">
        <f>+K185/K180</f>
        <v>#N/A</v>
      </c>
    </row>
    <row r="187" spans="2:11" x14ac:dyDescent="0.3">
      <c r="B187" s="10" t="s">
        <v>945</v>
      </c>
      <c r="C187" s="11" t="s">
        <v>67</v>
      </c>
      <c r="D187" s="12">
        <v>100</v>
      </c>
      <c r="E187" s="12">
        <v>0</v>
      </c>
      <c r="F187" s="12">
        <v>100</v>
      </c>
      <c r="G187" s="13">
        <f>+VLOOKUP(Tabla11034534544554564794558687786951081171271362282372462723326026929731531634849449349952752837424322628293032[[#This Row],[ArtÃ­culo]],Tabla34[#All],3,0)</f>
        <v>46.15576197</v>
      </c>
      <c r="H187" s="14">
        <f>+Tabla11034534544554564794558687786951081171271362282372462723326026929731531634849449349952752837424322628293032[[#This Row],[Costo]]*Tabla11034534544554564794558687786951081171271362282372462723326026929731531634849449349952752837424322628293032[[#This Row],[Unidades]]</f>
        <v>4615.5761970000003</v>
      </c>
    </row>
    <row r="188" spans="2:11" x14ac:dyDescent="0.3">
      <c r="B188" s="10" t="s">
        <v>1113</v>
      </c>
      <c r="C188" s="11" t="s">
        <v>67</v>
      </c>
      <c r="D188" s="12">
        <v>100</v>
      </c>
      <c r="E188" s="12">
        <v>0</v>
      </c>
      <c r="F188" s="12">
        <v>100</v>
      </c>
      <c r="G188" s="13">
        <f>+VLOOKUP(Tabla11034534544554564794558687786951081171271362282372462723326026929731531634849449349952752837424322628293032[[#This Row],[ArtÃ­culo]],Tabla34[#All],3,0)</f>
        <v>9.9206088000000001</v>
      </c>
      <c r="H188" s="14">
        <f>+Tabla11034534544554564794558687786951081171271362282372462723326026929731531634849449349952752837424322628293032[[#This Row],[Costo]]*Tabla11034534544554564794558687786951081171271362282372462723326026929731531634849449349952752837424322628293032[[#This Row],[Unidades]]</f>
        <v>992.06088</v>
      </c>
    </row>
    <row r="189" spans="2:11" x14ac:dyDescent="0.3">
      <c r="B189" s="10" t="s">
        <v>106</v>
      </c>
      <c r="C189" s="11" t="s">
        <v>67</v>
      </c>
      <c r="D189" s="12">
        <v>360</v>
      </c>
      <c r="E189" s="12">
        <v>0</v>
      </c>
      <c r="F189" s="12">
        <v>360</v>
      </c>
      <c r="G189" s="13">
        <f>+VLOOKUP(Tabla11034534544554564794558687786951081171271362282372462723326026929731531634849449349952752837424322628293032[[#This Row],[ArtÃ­culo]],Tabla34[#All],3,0)</f>
        <v>19.804166670000001</v>
      </c>
      <c r="H189" s="14">
        <f>+Tabla11034534544554564794558687786951081171271362282372462723326026929731531634849449349952752837424322628293032[[#This Row],[Costo]]*Tabla11034534544554564794558687786951081171271362282372462723326026929731531634849449349952752837424322628293032[[#This Row],[Unidades]]</f>
        <v>7129.5000012</v>
      </c>
    </row>
    <row r="190" spans="2:11" x14ac:dyDescent="0.3">
      <c r="B190" s="10" t="s">
        <v>207</v>
      </c>
      <c r="C190" s="11" t="s">
        <v>67</v>
      </c>
      <c r="D190" s="12">
        <v>360</v>
      </c>
      <c r="E190" s="12">
        <v>0</v>
      </c>
      <c r="F190" s="12">
        <v>360</v>
      </c>
      <c r="G190" s="13">
        <f>+VLOOKUP(Tabla11034534544554564794558687786951081171271362282372462723326026929731531634849449349952752837424322628293032[[#This Row],[ArtÃ­culo]],Tabla34[#All],3,0)</f>
        <v>12.17853483</v>
      </c>
      <c r="H190" s="14">
        <f>+Tabla11034534544554564794558687786951081171271362282372462723326026929731531634849449349952752837424322628293032[[#This Row],[Costo]]*Tabla11034534544554564794558687786951081171271362282372462723326026929731531634849449349952752837424322628293032[[#This Row],[Unidades]]</f>
        <v>4384.2725387999999</v>
      </c>
    </row>
    <row r="191" spans="2:11" x14ac:dyDescent="0.3">
      <c r="B191" s="10" t="s">
        <v>648</v>
      </c>
      <c r="C191" s="11" t="s">
        <v>67</v>
      </c>
      <c r="D191" s="12">
        <v>200</v>
      </c>
      <c r="E191" s="12">
        <v>0</v>
      </c>
      <c r="F191" s="12">
        <v>200</v>
      </c>
      <c r="G191" s="13">
        <f>+VLOOKUP(Tabla11034534544554564794558687786951081171271362282372462723326026929731531634849449349952752837424322628293032[[#This Row],[ArtÃ­culo]],Tabla34[#All],3,0)</f>
        <v>10.890823879999999</v>
      </c>
      <c r="H191" s="14">
        <f>+Tabla11034534544554564794558687786951081171271362282372462723326026929731531634849449349952752837424322628293032[[#This Row],[Costo]]*Tabla11034534544554564794558687786951081171271362282372462723326026929731531634849449349952752837424322628293032[[#This Row],[Unidades]]</f>
        <v>2178.1647759999996</v>
      </c>
    </row>
    <row r="192" spans="2:11" x14ac:dyDescent="0.3">
      <c r="B192" s="10" t="s">
        <v>830</v>
      </c>
      <c r="C192" s="11" t="s">
        <v>67</v>
      </c>
      <c r="D192" s="12">
        <v>60</v>
      </c>
      <c r="E192" s="12">
        <v>0</v>
      </c>
      <c r="F192" s="12">
        <v>60</v>
      </c>
      <c r="G192" s="13">
        <f>+VLOOKUP(Tabla11034534544554564794558687786951081171271362282372462723326026929731531634849449349952752837424322628293032[[#This Row],[ArtÃ­culo]],Tabla34[#All],3,0)</f>
        <v>31.5345288</v>
      </c>
      <c r="H192" s="14">
        <f>+Tabla11034534544554564794558687786951081171271362282372462723326026929731531634849449349952752837424322628293032[[#This Row],[Costo]]*Tabla11034534544554564794558687786951081171271362282372462723326026929731531634849449349952752837424322628293032[[#This Row],[Unidades]]</f>
        <v>1892.0717280000001</v>
      </c>
    </row>
    <row r="193" spans="2:11" x14ac:dyDescent="0.3">
      <c r="B193" s="10" t="s">
        <v>1111</v>
      </c>
      <c r="C193" s="11" t="s">
        <v>847</v>
      </c>
      <c r="D193" s="12">
        <v>1</v>
      </c>
      <c r="E193" s="12">
        <v>0</v>
      </c>
      <c r="F193" s="12">
        <v>1</v>
      </c>
      <c r="G193" s="13">
        <f>+VLOOKUP(Tabla11034534544554564794558687786951081171271362282372462723326026929731531634849449349952752837424322628293032[[#This Row],[ArtÃ­culo]],Tabla34[#All],3,0)</f>
        <v>0</v>
      </c>
      <c r="H193" s="14">
        <f>+Tabla11034534544554564794558687786951081171271362282372462723326026929731531634849449349952752837424322628293032[[#This Row],[Costo]]*Tabla11034534544554564794558687786951081171271362282372462723326026929731531634849449349952752837424322628293032[[#This Row],[Unidades]]</f>
        <v>0</v>
      </c>
    </row>
    <row r="194" spans="2:11" x14ac:dyDescent="0.3">
      <c r="B194" s="16"/>
      <c r="C194" s="17"/>
      <c r="D194" s="17"/>
      <c r="E194" s="17"/>
      <c r="F194" s="17"/>
      <c r="G194" s="18"/>
      <c r="H194" s="18" t="e">
        <f>SUBTOTAL(109,Tabla11034534544554564794558687786951081171271362282372462723326026929731531634849449349952752837424322628293032[Total costo])</f>
        <v>#N/A</v>
      </c>
    </row>
    <row r="198" spans="2:11" x14ac:dyDescent="0.3">
      <c r="B198" s="19" t="s">
        <v>1118</v>
      </c>
      <c r="C198" s="2"/>
      <c r="D198" s="2"/>
      <c r="E198" s="3"/>
      <c r="F198" s="3"/>
      <c r="G198" s="3"/>
      <c r="H198" s="3"/>
      <c r="J198" s="399" t="s">
        <v>0</v>
      </c>
      <c r="K198" s="399"/>
    </row>
    <row r="199" spans="2:11" x14ac:dyDescent="0.3">
      <c r="B199" s="16" t="s">
        <v>857</v>
      </c>
      <c r="C199" s="17" t="s">
        <v>895</v>
      </c>
      <c r="D199" s="17" t="s">
        <v>892</v>
      </c>
      <c r="E199" s="17" t="s">
        <v>893</v>
      </c>
      <c r="F199" s="17" t="s">
        <v>894</v>
      </c>
      <c r="G199" s="76" t="s">
        <v>4</v>
      </c>
      <c r="H199" s="76" t="s">
        <v>5</v>
      </c>
      <c r="J199" s="8" t="s">
        <v>6</v>
      </c>
      <c r="K199" s="9" t="e">
        <f>SUM(Tabla1103453454455456479455868778695108117127136228237246272332602692973153163484944934995275283742432262829303233[Total costo])</f>
        <v>#N/A</v>
      </c>
    </row>
    <row r="200" spans="2:11" x14ac:dyDescent="0.3">
      <c r="B200" s="10" t="s">
        <v>631</v>
      </c>
      <c r="C200" s="11" t="s">
        <v>67</v>
      </c>
      <c r="D200" s="12">
        <f>15+280</f>
        <v>295</v>
      </c>
      <c r="E200" s="12">
        <v>0</v>
      </c>
      <c r="F200" s="12">
        <f>15+280</f>
        <v>295</v>
      </c>
      <c r="G200" s="13">
        <f>+VLOOKUP(Tabla1103453454455456479455868778695108117127136228237246272332602692973153163484944934995275283742432262829303233[[#This Row],[ArtÃ­culo]],Tabla34[#All],3,0)</f>
        <v>34.714285709999999</v>
      </c>
      <c r="H200" s="14">
        <f>+Tabla1103453454455456479455868778695108117127136228237246272332602692973153163484944934995275283742432262829303233[[#This Row],[Costo]]*Tabla1103453454455456479455868778695108117127136228237246272332602692973153163484944934995275283742432262829303233[[#This Row],[Unidades]]</f>
        <v>10240.714284449999</v>
      </c>
      <c r="J200" s="8" t="s">
        <v>533</v>
      </c>
      <c r="K200" s="15" t="e">
        <f>+K199*5%</f>
        <v>#N/A</v>
      </c>
    </row>
    <row r="201" spans="2:11" x14ac:dyDescent="0.3">
      <c r="B201" s="10" t="s">
        <v>194</v>
      </c>
      <c r="C201" s="11" t="s">
        <v>67</v>
      </c>
      <c r="D201" s="12">
        <v>280</v>
      </c>
      <c r="E201" s="12">
        <v>0</v>
      </c>
      <c r="F201" s="12">
        <v>280</v>
      </c>
      <c r="G201" s="13">
        <f>+VLOOKUP(Tabla1103453454455456479455868778695108117127136228237246272332602692973153163484944934995275283742432262829303233[[#This Row],[ArtÃ­culo]],Tabla34[#All],3,0)</f>
        <v>27.466702179999999</v>
      </c>
      <c r="H201" s="14">
        <f>+Tabla1103453454455456479455868778695108117127136228237246272332602692973153163484944934995275283742432262829303233[[#This Row],[Costo]]*Tabla1103453454455456479455868778695108117127136228237246272332602692973153163484944934995275283742432262829303233[[#This Row],[Unidades]]</f>
        <v>7690.6766103999998</v>
      </c>
      <c r="J201" s="8" t="s">
        <v>13</v>
      </c>
      <c r="K201" s="15" t="e">
        <f>+K199+K200</f>
        <v>#N/A</v>
      </c>
    </row>
    <row r="202" spans="2:11" x14ac:dyDescent="0.3">
      <c r="B202" s="10" t="s">
        <v>85</v>
      </c>
      <c r="C202" s="11" t="s">
        <v>67</v>
      </c>
      <c r="D202" s="12">
        <v>340</v>
      </c>
      <c r="E202" s="12">
        <v>0</v>
      </c>
      <c r="F202" s="12">
        <v>340</v>
      </c>
      <c r="G202" s="13">
        <f>+VLOOKUP(Tabla1103453454455456479455868778695108117127136228237246272332602692973153163484944934995275283742432262829303233[[#This Row],[ArtÃ­culo]],Tabla34[#All],3,0)</f>
        <v>4.8816666700000004</v>
      </c>
      <c r="H202" s="14">
        <f>+Tabla1103453454455456479455868778695108117127136228237246272332602692973153163484944934995275283742432262829303233[[#This Row],[Costo]]*Tabla1103453454455456479455868778695108117127136228237246272332602692973153163484944934995275283742432262829303233[[#This Row],[Unidades]]</f>
        <v>1659.7666678000001</v>
      </c>
      <c r="J202" s="20" t="s">
        <v>14</v>
      </c>
      <c r="K202" s="21"/>
    </row>
    <row r="203" spans="2:11" x14ac:dyDescent="0.3">
      <c r="B203" s="10" t="s">
        <v>280</v>
      </c>
      <c r="C203" s="11" t="s">
        <v>847</v>
      </c>
      <c r="D203" s="12">
        <v>4</v>
      </c>
      <c r="E203" s="12">
        <v>0</v>
      </c>
      <c r="F203" s="12">
        <v>4</v>
      </c>
      <c r="G203" s="13" t="e">
        <f>+VLOOKUP(Tabla1103453454455456479455868778695108117127136228237246272332602692973153163484944934995275283742432262829303233[[#This Row],[ArtÃ­culo]],Tabla34[#All],3,0)</f>
        <v>#N/A</v>
      </c>
      <c r="H203" s="14" t="e">
        <f>+Tabla1103453454455456479455868778695108117127136228237246272332602692973153163484944934995275283742432262829303233[[#This Row],[Costo]]*Tabla1103453454455456479455868778695108117127136228237246272332602692973153163484944934995275283742432262829303233[[#This Row],[Unidades]]</f>
        <v>#N/A</v>
      </c>
      <c r="J203" s="8" t="s">
        <v>15</v>
      </c>
      <c r="K203" s="15">
        <f>+K202/1.08*0.08</f>
        <v>0</v>
      </c>
    </row>
    <row r="204" spans="2:11" x14ac:dyDescent="0.3">
      <c r="B204" s="10" t="s">
        <v>819</v>
      </c>
      <c r="C204" s="11" t="s">
        <v>67</v>
      </c>
      <c r="D204" s="12">
        <v>5</v>
      </c>
      <c r="E204" s="12">
        <v>0</v>
      </c>
      <c r="F204" s="12">
        <v>5</v>
      </c>
      <c r="G204" s="13">
        <f>+VLOOKUP(Tabla1103453454455456479455868778695108117127136228237246272332602692973153163484944934995275283742432262829303233[[#This Row],[ArtÃ­culo]],Tabla34[#All],3,0)</f>
        <v>21.363943110000001</v>
      </c>
      <c r="H204" s="14">
        <f>+Tabla1103453454455456479455868778695108117127136228237246272332602692973153163484944934995275283742432262829303233[[#This Row],[Costo]]*Tabla1103453454455456479455868778695108117127136228237246272332602692973153163484944934995275283742432262829303233[[#This Row],[Unidades]]</f>
        <v>106.81971555000001</v>
      </c>
      <c r="J204" s="8" t="s">
        <v>16</v>
      </c>
      <c r="K204" s="15">
        <f>+K202-K203</f>
        <v>0</v>
      </c>
    </row>
    <row r="205" spans="2:11" x14ac:dyDescent="0.3">
      <c r="B205" s="10" t="s">
        <v>312</v>
      </c>
      <c r="C205" s="11" t="s">
        <v>67</v>
      </c>
      <c r="D205" s="12">
        <v>250</v>
      </c>
      <c r="E205" s="12">
        <v>0</v>
      </c>
      <c r="F205" s="12">
        <v>250</v>
      </c>
      <c r="G205" s="13">
        <f>+VLOOKUP(Tabla1103453454455456479455868778695108117127136228237246272332602692973153163484944934995275283742432262829303233[[#This Row],[ArtÃ­culo]],Tabla34[#All],3,0)</f>
        <v>4.2671999999999999</v>
      </c>
      <c r="H205" s="14">
        <f>+Tabla1103453454455456479455868778695108117127136228237246272332602692973153163484944934995275283742432262829303233[[#This Row],[Costo]]*Tabla1103453454455456479455868778695108117127136228237246272332602692973153163484944934995275283742432262829303233[[#This Row],[Unidades]]</f>
        <v>1066.8</v>
      </c>
      <c r="J205" s="8" t="s">
        <v>17</v>
      </c>
      <c r="K205" s="41" t="e">
        <f>+K201/K204</f>
        <v>#N/A</v>
      </c>
    </row>
    <row r="206" spans="2:11" x14ac:dyDescent="0.3">
      <c r="B206" s="10" t="s">
        <v>89</v>
      </c>
      <c r="C206" s="11" t="s">
        <v>67</v>
      </c>
      <c r="D206" s="12">
        <v>2</v>
      </c>
      <c r="E206" s="12">
        <v>0</v>
      </c>
      <c r="F206" s="12">
        <v>2</v>
      </c>
      <c r="G206" s="13">
        <f>+VLOOKUP(Tabla1103453454455456479455868778695108117127136228237246272332602692973153163484944934995275283742432262829303233[[#This Row],[ArtÃ­culo]],Tabla34[#All],3,0)</f>
        <v>2.4009999999999998</v>
      </c>
      <c r="H206" s="14">
        <f>+Tabla1103453454455456479455868778695108117127136228237246272332602692973153163484944934995275283742432262829303233[[#This Row],[Costo]]*Tabla1103453454455456479455868778695108117127136228237246272332602692973153163484944934995275283742432262829303233[[#This Row],[Unidades]]</f>
        <v>4.8019999999999996</v>
      </c>
      <c r="J206" s="8" t="s">
        <v>18</v>
      </c>
      <c r="K206" s="42" t="e">
        <f>+K204-K201</f>
        <v>#N/A</v>
      </c>
    </row>
    <row r="207" spans="2:11" x14ac:dyDescent="0.3">
      <c r="B207" s="10" t="s">
        <v>302</v>
      </c>
      <c r="C207" s="11" t="s">
        <v>67</v>
      </c>
      <c r="D207" s="12">
        <v>30</v>
      </c>
      <c r="E207" s="12">
        <v>0</v>
      </c>
      <c r="F207" s="12">
        <v>30</v>
      </c>
      <c r="G207" s="13">
        <f>+VLOOKUP(Tabla1103453454455456479455868778695108117127136228237246272332602692973153163484944934995275283742432262829303233[[#This Row],[ArtÃ­culo]],Tabla34[#All],3,0)</f>
        <v>152.9372381</v>
      </c>
      <c r="H207" s="14">
        <f>+Tabla1103453454455456479455868778695108117127136228237246272332602692973153163484944934995275283742432262829303233[[#This Row],[Costo]]*Tabla1103453454455456479455868778695108117127136228237246272332602692973153163484944934995275283742432262829303233[[#This Row],[Unidades]]</f>
        <v>4588.1171430000004</v>
      </c>
      <c r="J207" s="8" t="s">
        <v>19</v>
      </c>
      <c r="K207" s="43" t="e">
        <f>+K206/K201</f>
        <v>#N/A</v>
      </c>
    </row>
    <row r="208" spans="2:11" x14ac:dyDescent="0.3">
      <c r="B208" s="10" t="s">
        <v>945</v>
      </c>
      <c r="C208" s="11" t="s">
        <v>67</v>
      </c>
      <c r="D208" s="12">
        <v>50</v>
      </c>
      <c r="E208" s="12">
        <v>0</v>
      </c>
      <c r="F208" s="12">
        <v>50</v>
      </c>
      <c r="G208" s="13">
        <f>+VLOOKUP(Tabla1103453454455456479455868778695108117127136228237246272332602692973153163484944934995275283742432262829303233[[#This Row],[ArtÃ­culo]],Tabla34[#All],3,0)</f>
        <v>46.15576197</v>
      </c>
      <c r="H208" s="14">
        <f>+Tabla1103453454455456479455868778695108117127136228237246272332602692973153163484944934995275283742432262829303233[[#This Row],[Costo]]*Tabla1103453454455456479455868778695108117127136228237246272332602692973153163484944934995275283742432262829303233[[#This Row],[Unidades]]</f>
        <v>2307.7880985000002</v>
      </c>
    </row>
    <row r="209" spans="2:11" x14ac:dyDescent="0.3">
      <c r="B209" s="10" t="s">
        <v>1113</v>
      </c>
      <c r="C209" s="11" t="s">
        <v>67</v>
      </c>
      <c r="D209" s="12">
        <v>50</v>
      </c>
      <c r="E209" s="12">
        <v>0</v>
      </c>
      <c r="F209" s="12">
        <v>50</v>
      </c>
      <c r="G209" s="13">
        <f>+VLOOKUP(Tabla1103453454455456479455868778695108117127136228237246272332602692973153163484944934995275283742432262829303233[[#This Row],[ArtÃ­culo]],Tabla34[#All],3,0)</f>
        <v>9.9206088000000001</v>
      </c>
      <c r="H209" s="14">
        <f>+Tabla1103453454455456479455868778695108117127136228237246272332602692973153163484944934995275283742432262829303233[[#This Row],[Costo]]*Tabla1103453454455456479455868778695108117127136228237246272332602692973153163484944934995275283742432262829303233[[#This Row],[Unidades]]</f>
        <v>496.03044</v>
      </c>
    </row>
    <row r="210" spans="2:11" x14ac:dyDescent="0.3">
      <c r="B210" s="10" t="s">
        <v>106</v>
      </c>
      <c r="C210" s="11" t="s">
        <v>67</v>
      </c>
      <c r="D210" s="12">
        <v>180</v>
      </c>
      <c r="E210" s="12">
        <v>0</v>
      </c>
      <c r="F210" s="12">
        <v>180</v>
      </c>
      <c r="G210" s="13">
        <f>+VLOOKUP(Tabla1103453454455456479455868778695108117127136228237246272332602692973153163484944934995275283742432262829303233[[#This Row],[ArtÃ­culo]],Tabla34[#All],3,0)</f>
        <v>19.804166670000001</v>
      </c>
      <c r="H210" s="14">
        <f>+Tabla1103453454455456479455868778695108117127136228237246272332602692973153163484944934995275283742432262829303233[[#This Row],[Costo]]*Tabla1103453454455456479455868778695108117127136228237246272332602692973153163484944934995275283742432262829303233[[#This Row],[Unidades]]</f>
        <v>3564.7500006</v>
      </c>
    </row>
    <row r="211" spans="2:11" x14ac:dyDescent="0.3">
      <c r="B211" s="10" t="s">
        <v>207</v>
      </c>
      <c r="C211" s="11" t="s">
        <v>67</v>
      </c>
      <c r="D211" s="12">
        <v>180</v>
      </c>
      <c r="E211" s="12">
        <v>0</v>
      </c>
      <c r="F211" s="12">
        <v>180</v>
      </c>
      <c r="G211" s="13">
        <f>+VLOOKUP(Tabla1103453454455456479455868778695108117127136228237246272332602692973153163484944934995275283742432262829303233[[#This Row],[ArtÃ­culo]],Tabla34[#All],3,0)</f>
        <v>12.17853483</v>
      </c>
      <c r="H211" s="14">
        <f>+Tabla1103453454455456479455868778695108117127136228237246272332602692973153163484944934995275283742432262829303233[[#This Row],[Costo]]*Tabla1103453454455456479455868778695108117127136228237246272332602692973153163484944934995275283742432262829303233[[#This Row],[Unidades]]</f>
        <v>2192.1362693999999</v>
      </c>
    </row>
    <row r="212" spans="2:11" x14ac:dyDescent="0.3">
      <c r="B212" s="10" t="s">
        <v>648</v>
      </c>
      <c r="C212" s="11" t="s">
        <v>67</v>
      </c>
      <c r="D212" s="12">
        <v>150</v>
      </c>
      <c r="E212" s="12">
        <v>0</v>
      </c>
      <c r="F212" s="12">
        <v>150</v>
      </c>
      <c r="G212" s="13">
        <f>+VLOOKUP(Tabla1103453454455456479455868778695108117127136228237246272332602692973153163484944934995275283742432262829303233[[#This Row],[ArtÃ­culo]],Tabla34[#All],3,0)</f>
        <v>10.890823879999999</v>
      </c>
      <c r="H212" s="14">
        <f>+Tabla1103453454455456479455868778695108117127136228237246272332602692973153163484944934995275283742432262829303233[[#This Row],[Costo]]*Tabla1103453454455456479455868778695108117127136228237246272332602692973153163484944934995275283742432262829303233[[#This Row],[Unidades]]</f>
        <v>1633.6235819999999</v>
      </c>
    </row>
    <row r="213" spans="2:11" x14ac:dyDescent="0.3">
      <c r="B213" s="10" t="s">
        <v>830</v>
      </c>
      <c r="C213" s="11" t="s">
        <v>67</v>
      </c>
      <c r="D213" s="12">
        <v>60</v>
      </c>
      <c r="E213" s="12">
        <v>0</v>
      </c>
      <c r="F213" s="12">
        <v>60</v>
      </c>
      <c r="G213" s="13">
        <f>+VLOOKUP(Tabla1103453454455456479455868778695108117127136228237246272332602692973153163484944934995275283742432262829303233[[#This Row],[ArtÃ­culo]],Tabla34[#All],3,0)</f>
        <v>31.5345288</v>
      </c>
      <c r="H213" s="14">
        <f>+Tabla1103453454455456479455868778695108117127136228237246272332602692973153163484944934995275283742432262829303233[[#This Row],[Costo]]*Tabla1103453454455456479455868778695108117127136228237246272332602692973153163484944934995275283742432262829303233[[#This Row],[Unidades]]</f>
        <v>1892.0717280000001</v>
      </c>
    </row>
    <row r="214" spans="2:11" x14ac:dyDescent="0.3">
      <c r="B214" s="10" t="s">
        <v>1111</v>
      </c>
      <c r="C214" s="11" t="s">
        <v>847</v>
      </c>
      <c r="D214" s="12">
        <v>1</v>
      </c>
      <c r="E214" s="12">
        <v>0</v>
      </c>
      <c r="F214" s="12">
        <v>1</v>
      </c>
      <c r="G214" s="13">
        <f>+VLOOKUP(Tabla1103453454455456479455868778695108117127136228237246272332602692973153163484944934995275283742432262829303233[[#This Row],[ArtÃ­culo]],Tabla34[#All],3,0)</f>
        <v>0</v>
      </c>
      <c r="H214" s="14">
        <f>+Tabla1103453454455456479455868778695108117127136228237246272332602692973153163484944934995275283742432262829303233[[#This Row],[Costo]]*Tabla1103453454455456479455868778695108117127136228237246272332602692973153163484944934995275283742432262829303233[[#This Row],[Unidades]]</f>
        <v>0</v>
      </c>
    </row>
    <row r="215" spans="2:11" x14ac:dyDescent="0.3">
      <c r="B215" s="16"/>
      <c r="C215" s="17"/>
      <c r="D215" s="17"/>
      <c r="E215" s="17"/>
      <c r="F215" s="17"/>
      <c r="G215" s="18"/>
      <c r="H215" s="18" t="e">
        <f>SUBTOTAL(109,Tabla1103453454455456479455868778695108117127136228237246272332602692973153163484944934995275283742432262829303233[Total costo])</f>
        <v>#N/A</v>
      </c>
    </row>
    <row r="220" spans="2:11" x14ac:dyDescent="0.3">
      <c r="B220" s="19" t="s">
        <v>1119</v>
      </c>
      <c r="C220" s="2"/>
      <c r="D220" s="2"/>
      <c r="E220" s="3"/>
      <c r="F220" s="3"/>
      <c r="G220" s="3"/>
      <c r="H220" s="3"/>
      <c r="J220" s="399" t="s">
        <v>0</v>
      </c>
      <c r="K220" s="399"/>
    </row>
    <row r="221" spans="2:11" x14ac:dyDescent="0.3">
      <c r="B221" s="16" t="s">
        <v>857</v>
      </c>
      <c r="C221" s="17" t="s">
        <v>895</v>
      </c>
      <c r="D221" s="17" t="s">
        <v>892</v>
      </c>
      <c r="E221" s="17" t="s">
        <v>893</v>
      </c>
      <c r="F221" s="17" t="s">
        <v>894</v>
      </c>
      <c r="G221" s="76" t="s">
        <v>4</v>
      </c>
      <c r="H221" s="76" t="s">
        <v>5</v>
      </c>
      <c r="J221" s="8" t="s">
        <v>6</v>
      </c>
      <c r="K221" s="9" t="e">
        <f>SUM(Tabla110345345445545647945586877869510811712713622823724627233260269297315316348494493499527528374243226282930323336[Total costo])</f>
        <v>#N/A</v>
      </c>
    </row>
    <row r="222" spans="2:11" x14ac:dyDescent="0.3">
      <c r="B222" s="10" t="s">
        <v>631</v>
      </c>
      <c r="C222" s="11" t="s">
        <v>67</v>
      </c>
      <c r="D222" s="12">
        <v>147</v>
      </c>
      <c r="E222" s="12">
        <v>0</v>
      </c>
      <c r="F222" s="12">
        <v>147</v>
      </c>
      <c r="G222" s="13">
        <f>+VLOOKUP(Tabla110345345445545647945586877869510811712713622823724627233260269297315316348494493499527528374243226282930323336[[#This Row],[ArtÃ­culo]],Tabla34[#All],3,0)</f>
        <v>34.714285709999999</v>
      </c>
      <c r="H222" s="14">
        <f>+Tabla110345345445545647945586877869510811712713622823724627233260269297315316348494493499527528374243226282930323336[[#This Row],[Costo]]*Tabla110345345445545647945586877869510811712713622823724627233260269297315316348494493499527528374243226282930323336[[#This Row],[Unidades]]</f>
        <v>5102.9999993699994</v>
      </c>
      <c r="J222" s="8" t="s">
        <v>533</v>
      </c>
      <c r="K222" s="15" t="e">
        <f>+K221*5%</f>
        <v>#N/A</v>
      </c>
    </row>
    <row r="223" spans="2:11" x14ac:dyDescent="0.3">
      <c r="B223" s="10" t="s">
        <v>194</v>
      </c>
      <c r="C223" s="11" t="s">
        <v>67</v>
      </c>
      <c r="D223" s="12">
        <v>140</v>
      </c>
      <c r="E223" s="12">
        <v>0</v>
      </c>
      <c r="F223" s="12">
        <v>140</v>
      </c>
      <c r="G223" s="13">
        <f>+VLOOKUP(Tabla110345345445545647945586877869510811712713622823724627233260269297315316348494493499527528374243226282930323336[[#This Row],[ArtÃ­culo]],Tabla34[#All],3,0)</f>
        <v>27.466702179999999</v>
      </c>
      <c r="H223" s="14">
        <f>+Tabla110345345445545647945586877869510811712713622823724627233260269297315316348494493499527528374243226282930323336[[#This Row],[Costo]]*Tabla110345345445545647945586877869510811712713622823724627233260269297315316348494493499527528374243226282930323336[[#This Row],[Unidades]]</f>
        <v>3845.3383051999999</v>
      </c>
      <c r="J223" s="8" t="s">
        <v>13</v>
      </c>
      <c r="K223" s="15" t="e">
        <f>+K221+K222</f>
        <v>#N/A</v>
      </c>
    </row>
    <row r="224" spans="2:11" x14ac:dyDescent="0.3">
      <c r="B224" s="10" t="s">
        <v>85</v>
      </c>
      <c r="C224" s="11" t="s">
        <v>67</v>
      </c>
      <c r="D224" s="12">
        <v>170</v>
      </c>
      <c r="E224" s="12">
        <v>0</v>
      </c>
      <c r="F224" s="12">
        <v>170</v>
      </c>
      <c r="G224" s="13">
        <f>+VLOOKUP(Tabla110345345445545647945586877869510811712713622823724627233260269297315316348494493499527528374243226282930323336[[#This Row],[ArtÃ­culo]],Tabla34[#All],3,0)</f>
        <v>4.8816666700000004</v>
      </c>
      <c r="H224" s="14">
        <f>+Tabla110345345445545647945586877869510811712713622823724627233260269297315316348494493499527528374243226282930323336[[#This Row],[Costo]]*Tabla110345345445545647945586877869510811712713622823724627233260269297315316348494493499527528374243226282930323336[[#This Row],[Unidades]]</f>
        <v>829.88333390000003</v>
      </c>
      <c r="J224" s="20" t="s">
        <v>14</v>
      </c>
      <c r="K224" s="21"/>
    </row>
    <row r="225" spans="2:11" x14ac:dyDescent="0.3">
      <c r="B225" s="10" t="s">
        <v>280</v>
      </c>
      <c r="C225" s="11" t="s">
        <v>847</v>
      </c>
      <c r="D225" s="12">
        <v>2</v>
      </c>
      <c r="E225" s="12">
        <v>0</v>
      </c>
      <c r="F225" s="12">
        <v>2</v>
      </c>
      <c r="G225" s="13" t="e">
        <f>+VLOOKUP(Tabla110345345445545647945586877869510811712713622823724627233260269297315316348494493499527528374243226282930323336[[#This Row],[ArtÃ­culo]],Tabla34[#All],3,0)</f>
        <v>#N/A</v>
      </c>
      <c r="H225" s="14" t="e">
        <f>+Tabla110345345445545647945586877869510811712713622823724627233260269297315316348494493499527528374243226282930323336[[#This Row],[Costo]]*Tabla110345345445545647945586877869510811712713622823724627233260269297315316348494493499527528374243226282930323336[[#This Row],[Unidades]]</f>
        <v>#N/A</v>
      </c>
      <c r="J225" s="8" t="s">
        <v>15</v>
      </c>
      <c r="K225" s="15">
        <f>+K224/1.08*0.08</f>
        <v>0</v>
      </c>
    </row>
    <row r="226" spans="2:11" x14ac:dyDescent="0.3">
      <c r="B226" s="10" t="s">
        <v>819</v>
      </c>
      <c r="C226" s="11" t="s">
        <v>67</v>
      </c>
      <c r="D226" s="12">
        <v>5</v>
      </c>
      <c r="E226" s="12">
        <v>0</v>
      </c>
      <c r="F226" s="12">
        <v>5</v>
      </c>
      <c r="G226" s="13">
        <f>+VLOOKUP(Tabla110345345445545647945586877869510811712713622823724627233260269297315316348494493499527528374243226282930323336[[#This Row],[ArtÃ­culo]],Tabla34[#All],3,0)</f>
        <v>21.363943110000001</v>
      </c>
      <c r="H226" s="14">
        <f>+Tabla110345345445545647945586877869510811712713622823724627233260269297315316348494493499527528374243226282930323336[[#This Row],[Costo]]*Tabla110345345445545647945586877869510811712713622823724627233260269297315316348494493499527528374243226282930323336[[#This Row],[Unidades]]</f>
        <v>106.81971555000001</v>
      </c>
      <c r="J226" s="8" t="s">
        <v>16</v>
      </c>
      <c r="K226" s="15">
        <f>+K224-K225</f>
        <v>0</v>
      </c>
    </row>
    <row r="227" spans="2:11" x14ac:dyDescent="0.3">
      <c r="B227" s="10" t="s">
        <v>312</v>
      </c>
      <c r="C227" s="11" t="s">
        <v>67</v>
      </c>
      <c r="D227" s="12">
        <v>125</v>
      </c>
      <c r="E227" s="12">
        <v>0</v>
      </c>
      <c r="F227" s="12">
        <v>125</v>
      </c>
      <c r="G227" s="13">
        <f>+VLOOKUP(Tabla110345345445545647945586877869510811712713622823724627233260269297315316348494493499527528374243226282930323336[[#This Row],[ArtÃ­culo]],Tabla34[#All],3,0)</f>
        <v>4.2671999999999999</v>
      </c>
      <c r="H227" s="14">
        <f>+Tabla110345345445545647945586877869510811712713622823724627233260269297315316348494493499527528374243226282930323336[[#This Row],[Costo]]*Tabla110345345445545647945586877869510811712713622823724627233260269297315316348494493499527528374243226282930323336[[#This Row],[Unidades]]</f>
        <v>533.4</v>
      </c>
      <c r="J227" s="8" t="s">
        <v>17</v>
      </c>
      <c r="K227" s="41" t="e">
        <f>+K223/K226</f>
        <v>#N/A</v>
      </c>
    </row>
    <row r="228" spans="2:11" x14ac:dyDescent="0.3">
      <c r="B228" s="10" t="s">
        <v>89</v>
      </c>
      <c r="C228" s="11" t="s">
        <v>67</v>
      </c>
      <c r="D228" s="12">
        <v>2</v>
      </c>
      <c r="E228" s="12">
        <v>0</v>
      </c>
      <c r="F228" s="12">
        <v>2</v>
      </c>
      <c r="G228" s="13">
        <f>+VLOOKUP(Tabla110345345445545647945586877869510811712713622823724627233260269297315316348494493499527528374243226282930323336[[#This Row],[ArtÃ­culo]],Tabla34[#All],3,0)</f>
        <v>2.4009999999999998</v>
      </c>
      <c r="H228" s="14">
        <f>+Tabla110345345445545647945586877869510811712713622823724627233260269297315316348494493499527528374243226282930323336[[#This Row],[Costo]]*Tabla110345345445545647945586877869510811712713622823724627233260269297315316348494493499527528374243226282930323336[[#This Row],[Unidades]]</f>
        <v>4.8019999999999996</v>
      </c>
      <c r="J228" s="8" t="s">
        <v>18</v>
      </c>
      <c r="K228" s="42" t="e">
        <f>+K226-K223</f>
        <v>#N/A</v>
      </c>
    </row>
    <row r="229" spans="2:11" x14ac:dyDescent="0.3">
      <c r="B229" s="10" t="s">
        <v>302</v>
      </c>
      <c r="C229" s="11" t="s">
        <v>67</v>
      </c>
      <c r="D229" s="12">
        <v>15</v>
      </c>
      <c r="E229" s="12">
        <v>0</v>
      </c>
      <c r="F229" s="12">
        <v>15</v>
      </c>
      <c r="G229" s="13">
        <f>+VLOOKUP(Tabla110345345445545647945586877869510811712713622823724627233260269297315316348494493499527528374243226282930323336[[#This Row],[ArtÃ­culo]],Tabla34[#All],3,0)</f>
        <v>152.9372381</v>
      </c>
      <c r="H229" s="14">
        <f>+Tabla110345345445545647945586877869510811712713622823724627233260269297315316348494493499527528374243226282930323336[[#This Row],[Costo]]*Tabla110345345445545647945586877869510811712713622823724627233260269297315316348494493499527528374243226282930323336[[#This Row],[Unidades]]</f>
        <v>2294.0585715000002</v>
      </c>
      <c r="J229" s="8" t="s">
        <v>19</v>
      </c>
      <c r="K229" s="43" t="e">
        <f>+K228/K223</f>
        <v>#N/A</v>
      </c>
    </row>
    <row r="230" spans="2:11" x14ac:dyDescent="0.3">
      <c r="B230" s="10" t="s">
        <v>945</v>
      </c>
      <c r="C230" s="11" t="s">
        <v>67</v>
      </c>
      <c r="D230" s="12">
        <v>25</v>
      </c>
      <c r="E230" s="12">
        <v>0</v>
      </c>
      <c r="F230" s="12">
        <v>25</v>
      </c>
      <c r="G230" s="13">
        <f>+VLOOKUP(Tabla110345345445545647945586877869510811712713622823724627233260269297315316348494493499527528374243226282930323336[[#This Row],[ArtÃ­culo]],Tabla34[#All],3,0)</f>
        <v>46.15576197</v>
      </c>
      <c r="H230" s="14">
        <f>+Tabla110345345445545647945586877869510811712713622823724627233260269297315316348494493499527528374243226282930323336[[#This Row],[Costo]]*Tabla110345345445545647945586877869510811712713622823724627233260269297315316348494493499527528374243226282930323336[[#This Row],[Unidades]]</f>
        <v>1153.8940492500001</v>
      </c>
    </row>
    <row r="231" spans="2:11" x14ac:dyDescent="0.3">
      <c r="B231" s="10" t="s">
        <v>1113</v>
      </c>
      <c r="C231" s="11" t="s">
        <v>67</v>
      </c>
      <c r="D231" s="12">
        <v>25</v>
      </c>
      <c r="E231" s="12">
        <v>0</v>
      </c>
      <c r="F231" s="12">
        <v>25</v>
      </c>
      <c r="G231" s="13">
        <f>+VLOOKUP(Tabla110345345445545647945586877869510811712713622823724627233260269297315316348494493499527528374243226282930323336[[#This Row],[ArtÃ­culo]],Tabla34[#All],3,0)</f>
        <v>9.9206088000000001</v>
      </c>
      <c r="H231" s="14">
        <f>+Tabla110345345445545647945586877869510811712713622823724627233260269297315316348494493499527528374243226282930323336[[#This Row],[Costo]]*Tabla110345345445545647945586877869510811712713622823724627233260269297315316348494493499527528374243226282930323336[[#This Row],[Unidades]]</f>
        <v>248.01522</v>
      </c>
    </row>
    <row r="232" spans="2:11" x14ac:dyDescent="0.3">
      <c r="B232" s="10" t="s">
        <v>106</v>
      </c>
      <c r="C232" s="11" t="s">
        <v>67</v>
      </c>
      <c r="D232" s="12">
        <v>90</v>
      </c>
      <c r="E232" s="12">
        <v>0</v>
      </c>
      <c r="F232" s="12">
        <v>90</v>
      </c>
      <c r="G232" s="13">
        <f>+VLOOKUP(Tabla110345345445545647945586877869510811712713622823724627233260269297315316348494493499527528374243226282930323336[[#This Row],[ArtÃ­culo]],Tabla34[#All],3,0)</f>
        <v>19.804166670000001</v>
      </c>
      <c r="H232" s="14">
        <f>+Tabla110345345445545647945586877869510811712713622823724627233260269297315316348494493499527528374243226282930323336[[#This Row],[Costo]]*Tabla110345345445545647945586877869510811712713622823724627233260269297315316348494493499527528374243226282930323336[[#This Row],[Unidades]]</f>
        <v>1782.3750003</v>
      </c>
    </row>
    <row r="233" spans="2:11" x14ac:dyDescent="0.3">
      <c r="B233" s="10" t="s">
        <v>207</v>
      </c>
      <c r="C233" s="11" t="s">
        <v>67</v>
      </c>
      <c r="D233" s="12">
        <v>90</v>
      </c>
      <c r="E233" s="12">
        <v>0</v>
      </c>
      <c r="F233" s="12">
        <v>90</v>
      </c>
      <c r="G233" s="13">
        <f>+VLOOKUP(Tabla110345345445545647945586877869510811712713622823724627233260269297315316348494493499527528374243226282930323336[[#This Row],[ArtÃ­culo]],Tabla34[#All],3,0)</f>
        <v>12.17853483</v>
      </c>
      <c r="H233" s="14">
        <f>+Tabla110345345445545647945586877869510811712713622823724627233260269297315316348494493499527528374243226282930323336[[#This Row],[Costo]]*Tabla110345345445545647945586877869510811712713622823724627233260269297315316348494493499527528374243226282930323336[[#This Row],[Unidades]]</f>
        <v>1096.0681347</v>
      </c>
    </row>
    <row r="234" spans="2:11" x14ac:dyDescent="0.3">
      <c r="B234" s="10" t="s">
        <v>648</v>
      </c>
      <c r="C234" s="11" t="s">
        <v>67</v>
      </c>
      <c r="D234" s="12">
        <v>100</v>
      </c>
      <c r="E234" s="12">
        <v>0</v>
      </c>
      <c r="F234" s="12">
        <v>100</v>
      </c>
      <c r="G234" s="13">
        <f>+VLOOKUP(Tabla110345345445545647945586877869510811712713622823724627233260269297315316348494493499527528374243226282930323336[[#This Row],[ArtÃ­culo]],Tabla34[#All],3,0)</f>
        <v>10.890823879999999</v>
      </c>
      <c r="H234" s="14">
        <f>+Tabla110345345445545647945586877869510811712713622823724627233260269297315316348494493499527528374243226282930323336[[#This Row],[Costo]]*Tabla110345345445545647945586877869510811712713622823724627233260269297315316348494493499527528374243226282930323336[[#This Row],[Unidades]]</f>
        <v>1089.0823879999998</v>
      </c>
    </row>
    <row r="235" spans="2:11" x14ac:dyDescent="0.3">
      <c r="B235" s="10" t="s">
        <v>830</v>
      </c>
      <c r="C235" s="11" t="s">
        <v>67</v>
      </c>
      <c r="D235" s="12">
        <v>30</v>
      </c>
      <c r="E235" s="12">
        <v>0</v>
      </c>
      <c r="F235" s="12">
        <v>30</v>
      </c>
      <c r="G235" s="13">
        <f>+VLOOKUP(Tabla110345345445545647945586877869510811712713622823724627233260269297315316348494493499527528374243226282930323336[[#This Row],[ArtÃ­culo]],Tabla34[#All],3,0)</f>
        <v>31.5345288</v>
      </c>
      <c r="H235" s="14">
        <f>+Tabla110345345445545647945586877869510811712713622823724627233260269297315316348494493499527528374243226282930323336[[#This Row],[Costo]]*Tabla110345345445545647945586877869510811712713622823724627233260269297315316348494493499527528374243226282930323336[[#This Row],[Unidades]]</f>
        <v>946.03586400000006</v>
      </c>
    </row>
    <row r="236" spans="2:11" x14ac:dyDescent="0.3">
      <c r="B236" s="10" t="s">
        <v>1111</v>
      </c>
      <c r="C236" s="11" t="s">
        <v>847</v>
      </c>
      <c r="D236" s="12">
        <v>1</v>
      </c>
      <c r="E236" s="12">
        <v>0</v>
      </c>
      <c r="F236" s="12">
        <v>1</v>
      </c>
      <c r="G236" s="13">
        <f>+VLOOKUP(Tabla110345345445545647945586877869510811712713622823724627233260269297315316348494493499527528374243226282930323336[[#This Row],[ArtÃ­culo]],Tabla34[#All],3,0)</f>
        <v>0</v>
      </c>
      <c r="H236" s="14">
        <f>+Tabla110345345445545647945586877869510811712713622823724627233260269297315316348494493499527528374243226282930323336[[#This Row],[Costo]]*Tabla110345345445545647945586877869510811712713622823724627233260269297315316348494493499527528374243226282930323336[[#This Row],[Unidades]]</f>
        <v>0</v>
      </c>
    </row>
    <row r="237" spans="2:11" x14ac:dyDescent="0.3">
      <c r="B237" s="16"/>
      <c r="C237" s="17"/>
      <c r="D237" s="17"/>
      <c r="E237" s="17"/>
      <c r="F237" s="17"/>
      <c r="G237" s="18"/>
      <c r="H237" s="18" t="e">
        <f>SUBTOTAL(109,Tabla110345345445545647945586877869510811712713622823724627233260269297315316348494493499527528374243226282930323336[Total costo])</f>
        <v>#N/A</v>
      </c>
    </row>
    <row r="240" spans="2:11" x14ac:dyDescent="0.3">
      <c r="B240" s="19" t="s">
        <v>1120</v>
      </c>
      <c r="C240" s="2"/>
      <c r="D240" s="2"/>
      <c r="E240" s="3"/>
      <c r="F240" s="3"/>
      <c r="G240" s="3"/>
      <c r="H240" s="3"/>
      <c r="J240" s="399" t="s">
        <v>0</v>
      </c>
      <c r="K240" s="399"/>
    </row>
    <row r="241" spans="2:11" x14ac:dyDescent="0.3">
      <c r="B241" s="16" t="s">
        <v>857</v>
      </c>
      <c r="C241" s="17" t="s">
        <v>895</v>
      </c>
      <c r="D241" s="17" t="s">
        <v>892</v>
      </c>
      <c r="E241" s="17" t="s">
        <v>893</v>
      </c>
      <c r="F241" s="17" t="s">
        <v>894</v>
      </c>
      <c r="G241" s="76" t="s">
        <v>4</v>
      </c>
      <c r="H241" s="76" t="s">
        <v>5</v>
      </c>
      <c r="J241" s="8" t="s">
        <v>6</v>
      </c>
      <c r="K241" s="9" t="e">
        <f>SUM(Tabla11034534544554564794558687786951081171271362282372462723326026929731531634849449349952752837424322628293032333641[Total costo])</f>
        <v>#N/A</v>
      </c>
    </row>
    <row r="242" spans="2:11" x14ac:dyDescent="0.3">
      <c r="B242" s="10" t="s">
        <v>631</v>
      </c>
      <c r="C242" s="11" t="s">
        <v>67</v>
      </c>
      <c r="D242" s="12">
        <v>74</v>
      </c>
      <c r="E242" s="12">
        <v>0</v>
      </c>
      <c r="F242" s="12">
        <v>74</v>
      </c>
      <c r="G242" s="13">
        <f>+VLOOKUP(Tabla11034534544554564794558687786951081171271362282372462723326026929731531634849449349952752837424322628293032333641[[#This Row],[ArtÃ­culo]],Tabla34[#All],3,0)</f>
        <v>34.714285709999999</v>
      </c>
      <c r="H242" s="14">
        <f>+Tabla11034534544554564794558687786951081171271362282372462723326026929731531634849449349952752837424322628293032333641[[#This Row],[Costo]]*Tabla11034534544554564794558687786951081171271362282372462723326026929731531634849449349952752837424322628293032333641[[#This Row],[Unidades]]</f>
        <v>2568.85714254</v>
      </c>
      <c r="J242" s="8" t="s">
        <v>533</v>
      </c>
      <c r="K242" s="15" t="e">
        <f>+K241*5%</f>
        <v>#N/A</v>
      </c>
    </row>
    <row r="243" spans="2:11" x14ac:dyDescent="0.3">
      <c r="B243" s="10" t="s">
        <v>194</v>
      </c>
      <c r="C243" s="11" t="s">
        <v>67</v>
      </c>
      <c r="D243" s="12">
        <v>70</v>
      </c>
      <c r="E243" s="12">
        <v>0</v>
      </c>
      <c r="F243" s="12">
        <v>70</v>
      </c>
      <c r="G243" s="13">
        <f>+VLOOKUP(Tabla11034534544554564794558687786951081171271362282372462723326026929731531634849449349952752837424322628293032333641[[#This Row],[ArtÃ­culo]],Tabla34[#All],3,0)</f>
        <v>27.466702179999999</v>
      </c>
      <c r="H243" s="14">
        <f>+Tabla11034534544554564794558687786951081171271362282372462723326026929731531634849449349952752837424322628293032333641[[#This Row],[Costo]]*Tabla11034534544554564794558687786951081171271362282372462723326026929731531634849449349952752837424322628293032333641[[#This Row],[Unidades]]</f>
        <v>1922.6691526</v>
      </c>
      <c r="J243" s="8" t="s">
        <v>13</v>
      </c>
      <c r="K243" s="15" t="e">
        <f>+K241+K242</f>
        <v>#N/A</v>
      </c>
    </row>
    <row r="244" spans="2:11" x14ac:dyDescent="0.3">
      <c r="B244" s="10" t="s">
        <v>85</v>
      </c>
      <c r="C244" s="11" t="s">
        <v>67</v>
      </c>
      <c r="D244" s="12">
        <v>85</v>
      </c>
      <c r="E244" s="12">
        <v>0</v>
      </c>
      <c r="F244" s="12">
        <v>85</v>
      </c>
      <c r="G244" s="13">
        <f>+VLOOKUP(Tabla11034534544554564794558687786951081171271362282372462723326026929731531634849449349952752837424322628293032333641[[#This Row],[ArtÃ­culo]],Tabla34[#All],3,0)</f>
        <v>4.8816666700000004</v>
      </c>
      <c r="H244" s="14">
        <f>+Tabla11034534544554564794558687786951081171271362282372462723326026929731531634849449349952752837424322628293032333641[[#This Row],[Costo]]*Tabla11034534544554564794558687786951081171271362282372462723326026929731531634849449349952752837424322628293032333641[[#This Row],[Unidades]]</f>
        <v>414.94166695000001</v>
      </c>
      <c r="J244" s="20" t="s">
        <v>14</v>
      </c>
      <c r="K244" s="21"/>
    </row>
    <row r="245" spans="2:11" x14ac:dyDescent="0.3">
      <c r="B245" s="10" t="s">
        <v>280</v>
      </c>
      <c r="C245" s="11" t="s">
        <v>847</v>
      </c>
      <c r="D245" s="12">
        <v>1</v>
      </c>
      <c r="E245" s="12">
        <v>0</v>
      </c>
      <c r="F245" s="12">
        <v>1</v>
      </c>
      <c r="G245" s="13" t="e">
        <f>+VLOOKUP(Tabla11034534544554564794558687786951081171271362282372462723326026929731531634849449349952752837424322628293032333641[[#This Row],[ArtÃ­culo]],Tabla34[#All],3,0)</f>
        <v>#N/A</v>
      </c>
      <c r="H245" s="14" t="e">
        <f>+Tabla11034534544554564794558687786951081171271362282372462723326026929731531634849449349952752837424322628293032333641[[#This Row],[Costo]]*Tabla11034534544554564794558687786951081171271362282372462723326026929731531634849449349952752837424322628293032333641[[#This Row],[Unidades]]</f>
        <v>#N/A</v>
      </c>
      <c r="J245" s="8" t="s">
        <v>15</v>
      </c>
      <c r="K245" s="15">
        <f>+K244/1.08*0.08</f>
        <v>0</v>
      </c>
    </row>
    <row r="246" spans="2:11" x14ac:dyDescent="0.3">
      <c r="B246" s="10" t="s">
        <v>819</v>
      </c>
      <c r="C246" s="11" t="s">
        <v>67</v>
      </c>
      <c r="D246" s="12">
        <v>3</v>
      </c>
      <c r="E246" s="12">
        <v>0</v>
      </c>
      <c r="F246" s="12">
        <v>3</v>
      </c>
      <c r="G246" s="13">
        <f>+VLOOKUP(Tabla11034534544554564794558687786951081171271362282372462723326026929731531634849449349952752837424322628293032333641[[#This Row],[ArtÃ­culo]],Tabla34[#All],3,0)</f>
        <v>21.363943110000001</v>
      </c>
      <c r="H246" s="14">
        <f>+Tabla11034534544554564794558687786951081171271362282372462723326026929731531634849449349952752837424322628293032333641[[#This Row],[Costo]]*Tabla11034534544554564794558687786951081171271362282372462723326026929731531634849449349952752837424322628293032333641[[#This Row],[Unidades]]</f>
        <v>64.091829329999996</v>
      </c>
      <c r="J246" s="8" t="s">
        <v>16</v>
      </c>
      <c r="K246" s="15">
        <f>+K244-K245</f>
        <v>0</v>
      </c>
    </row>
    <row r="247" spans="2:11" x14ac:dyDescent="0.3">
      <c r="B247" s="10" t="s">
        <v>312</v>
      </c>
      <c r="C247" s="11" t="s">
        <v>67</v>
      </c>
      <c r="D247" s="12">
        <v>64</v>
      </c>
      <c r="E247" s="12">
        <v>0</v>
      </c>
      <c r="F247" s="12">
        <v>64</v>
      </c>
      <c r="G247" s="13">
        <f>+VLOOKUP(Tabla11034534544554564794558687786951081171271362282372462723326026929731531634849449349952752837424322628293032333641[[#This Row],[ArtÃ­culo]],Tabla34[#All],3,0)</f>
        <v>4.2671999999999999</v>
      </c>
      <c r="H247" s="14">
        <f>+Tabla11034534544554564794558687786951081171271362282372462723326026929731531634849449349952752837424322628293032333641[[#This Row],[Costo]]*Tabla11034534544554564794558687786951081171271362282372462723326026929731531634849449349952752837424322628293032333641[[#This Row],[Unidades]]</f>
        <v>273.10079999999999</v>
      </c>
      <c r="J247" s="8" t="s">
        <v>17</v>
      </c>
      <c r="K247" s="41" t="e">
        <f>+K243/K246</f>
        <v>#N/A</v>
      </c>
    </row>
    <row r="248" spans="2:11" x14ac:dyDescent="0.3">
      <c r="B248" s="10" t="s">
        <v>89</v>
      </c>
      <c r="C248" s="11" t="s">
        <v>67</v>
      </c>
      <c r="D248" s="12">
        <v>1</v>
      </c>
      <c r="E248" s="12">
        <v>0</v>
      </c>
      <c r="F248" s="12">
        <v>1</v>
      </c>
      <c r="G248" s="13">
        <f>+VLOOKUP(Tabla11034534544554564794558687786951081171271362282372462723326026929731531634849449349952752837424322628293032333641[[#This Row],[ArtÃ­culo]],Tabla34[#All],3,0)</f>
        <v>2.4009999999999998</v>
      </c>
      <c r="H248" s="14">
        <f>+Tabla11034534544554564794558687786951081171271362282372462723326026929731531634849449349952752837424322628293032333641[[#This Row],[Costo]]*Tabla11034534544554564794558687786951081171271362282372462723326026929731531634849449349952752837424322628293032333641[[#This Row],[Unidades]]</f>
        <v>2.4009999999999998</v>
      </c>
      <c r="J248" s="8" t="s">
        <v>18</v>
      </c>
      <c r="K248" s="42" t="e">
        <f>+K246-K243</f>
        <v>#N/A</v>
      </c>
    </row>
    <row r="249" spans="2:11" x14ac:dyDescent="0.3">
      <c r="B249" s="10" t="s">
        <v>302</v>
      </c>
      <c r="C249" s="11" t="s">
        <v>67</v>
      </c>
      <c r="D249" s="12">
        <v>7</v>
      </c>
      <c r="E249" s="12">
        <v>0</v>
      </c>
      <c r="F249" s="12">
        <v>7</v>
      </c>
      <c r="G249" s="13">
        <f>+VLOOKUP(Tabla11034534544554564794558687786951081171271362282372462723326026929731531634849449349952752837424322628293032333641[[#This Row],[ArtÃ­culo]],Tabla34[#All],3,0)</f>
        <v>152.9372381</v>
      </c>
      <c r="H249" s="14">
        <f>+Tabla11034534544554564794558687786951081171271362282372462723326026929731531634849449349952752837424322628293032333641[[#This Row],[Costo]]*Tabla11034534544554564794558687786951081171271362282372462723326026929731531634849449349952752837424322628293032333641[[#This Row],[Unidades]]</f>
        <v>1070.5606667</v>
      </c>
      <c r="J249" s="8" t="s">
        <v>19</v>
      </c>
      <c r="K249" s="43" t="e">
        <f>+K248/K243</f>
        <v>#N/A</v>
      </c>
    </row>
    <row r="250" spans="2:11" x14ac:dyDescent="0.3">
      <c r="B250" s="10" t="s">
        <v>945</v>
      </c>
      <c r="C250" s="11" t="s">
        <v>67</v>
      </c>
      <c r="D250" s="12">
        <v>13</v>
      </c>
      <c r="E250" s="12">
        <v>0</v>
      </c>
      <c r="F250" s="12">
        <v>13</v>
      </c>
      <c r="G250" s="13">
        <f>+VLOOKUP(Tabla11034534544554564794558687786951081171271362282372462723326026929731531634849449349952752837424322628293032333641[[#This Row],[ArtÃ­culo]],Tabla34[#All],3,0)</f>
        <v>46.15576197</v>
      </c>
      <c r="H250" s="14">
        <f>+Tabla11034534544554564794558687786951081171271362282372462723326026929731531634849449349952752837424322628293032333641[[#This Row],[Costo]]*Tabla11034534544554564794558687786951081171271362282372462723326026929731531634849449349952752837424322628293032333641[[#This Row],[Unidades]]</f>
        <v>600.02490561000002</v>
      </c>
    </row>
    <row r="251" spans="2:11" x14ac:dyDescent="0.3">
      <c r="B251" s="10" t="s">
        <v>1113</v>
      </c>
      <c r="C251" s="11" t="s">
        <v>67</v>
      </c>
      <c r="D251" s="12">
        <v>13</v>
      </c>
      <c r="E251" s="12">
        <v>0</v>
      </c>
      <c r="F251" s="12">
        <v>13</v>
      </c>
      <c r="G251" s="13">
        <f>+VLOOKUP(Tabla11034534544554564794558687786951081171271362282372462723326026929731531634849449349952752837424322628293032333641[[#This Row],[ArtÃ­culo]],Tabla34[#All],3,0)</f>
        <v>9.9206088000000001</v>
      </c>
      <c r="H251" s="14">
        <f>+Tabla11034534544554564794558687786951081171271362282372462723326026929731531634849449349952752837424322628293032333641[[#This Row],[Costo]]*Tabla11034534544554564794558687786951081171271362282372462723326026929731531634849449349952752837424322628293032333641[[#This Row],[Unidades]]</f>
        <v>128.96791440000001</v>
      </c>
    </row>
    <row r="252" spans="2:11" x14ac:dyDescent="0.3">
      <c r="B252" s="10" t="s">
        <v>106</v>
      </c>
      <c r="C252" s="11" t="s">
        <v>67</v>
      </c>
      <c r="D252" s="12">
        <v>45</v>
      </c>
      <c r="E252" s="12">
        <v>0</v>
      </c>
      <c r="F252" s="12">
        <v>45</v>
      </c>
      <c r="G252" s="13">
        <f>+VLOOKUP(Tabla11034534544554564794558687786951081171271362282372462723326026929731531634849449349952752837424322628293032333641[[#This Row],[ArtÃ­culo]],Tabla34[#All],3,0)</f>
        <v>19.804166670000001</v>
      </c>
      <c r="H252" s="14">
        <f>+Tabla11034534544554564794558687786951081171271362282372462723326026929731531634849449349952752837424322628293032333641[[#This Row],[Costo]]*Tabla11034534544554564794558687786951081171271362282372462723326026929731531634849449349952752837424322628293032333641[[#This Row],[Unidades]]</f>
        <v>891.18750015000001</v>
      </c>
    </row>
    <row r="253" spans="2:11" x14ac:dyDescent="0.3">
      <c r="B253" s="10" t="s">
        <v>207</v>
      </c>
      <c r="C253" s="11" t="s">
        <v>67</v>
      </c>
      <c r="D253" s="12">
        <v>45</v>
      </c>
      <c r="E253" s="12">
        <v>0</v>
      </c>
      <c r="F253" s="12">
        <v>45</v>
      </c>
      <c r="G253" s="13">
        <f>+VLOOKUP(Tabla11034534544554564794558687786951081171271362282372462723326026929731531634849449349952752837424322628293032333641[[#This Row],[ArtÃ­culo]],Tabla34[#All],3,0)</f>
        <v>12.17853483</v>
      </c>
      <c r="H253" s="14">
        <f>+Tabla11034534544554564794558687786951081171271362282372462723326026929731531634849449349952752837424322628293032333641[[#This Row],[Costo]]*Tabla11034534544554564794558687786951081171271362282372462723326026929731531634849449349952752837424322628293032333641[[#This Row],[Unidades]]</f>
        <v>548.03406734999999</v>
      </c>
    </row>
    <row r="254" spans="2:11" x14ac:dyDescent="0.3">
      <c r="B254" s="10" t="s">
        <v>648</v>
      </c>
      <c r="C254" s="11" t="s">
        <v>67</v>
      </c>
      <c r="D254" s="12">
        <v>50</v>
      </c>
      <c r="E254" s="12">
        <v>0</v>
      </c>
      <c r="F254" s="12">
        <v>50</v>
      </c>
      <c r="G254" s="13">
        <f>+VLOOKUP(Tabla11034534544554564794558687786951081171271362282372462723326026929731531634849449349952752837424322628293032333641[[#This Row],[ArtÃ­culo]],Tabla34[#All],3,0)</f>
        <v>10.890823879999999</v>
      </c>
      <c r="H254" s="14">
        <f>+Tabla11034534544554564794558687786951081171271362282372462723326026929731531634849449349952752837424322628293032333641[[#This Row],[Costo]]*Tabla11034534544554564794558687786951081171271362282372462723326026929731531634849449349952752837424322628293032333641[[#This Row],[Unidades]]</f>
        <v>544.5411939999999</v>
      </c>
    </row>
    <row r="255" spans="2:11" x14ac:dyDescent="0.3">
      <c r="B255" s="10" t="s">
        <v>830</v>
      </c>
      <c r="C255" s="11" t="s">
        <v>67</v>
      </c>
      <c r="D255" s="12">
        <v>15</v>
      </c>
      <c r="E255" s="12">
        <v>0</v>
      </c>
      <c r="F255" s="12">
        <v>15</v>
      </c>
      <c r="G255" s="13">
        <f>+VLOOKUP(Tabla11034534544554564794558687786951081171271362282372462723326026929731531634849449349952752837424322628293032333641[[#This Row],[ArtÃ­culo]],Tabla34[#All],3,0)</f>
        <v>31.5345288</v>
      </c>
      <c r="H255" s="14">
        <f>+Tabla11034534544554564794558687786951081171271362282372462723326026929731531634849449349952752837424322628293032333641[[#This Row],[Costo]]*Tabla11034534544554564794558687786951081171271362282372462723326026929731531634849449349952752837424322628293032333641[[#This Row],[Unidades]]</f>
        <v>473.01793200000003</v>
      </c>
    </row>
    <row r="256" spans="2:11" x14ac:dyDescent="0.3">
      <c r="B256" s="10" t="s">
        <v>1111</v>
      </c>
      <c r="C256" s="11" t="s">
        <v>847</v>
      </c>
      <c r="D256" s="12">
        <v>1</v>
      </c>
      <c r="E256" s="12">
        <v>0</v>
      </c>
      <c r="F256" s="12">
        <v>1</v>
      </c>
      <c r="G256" s="13">
        <f>+VLOOKUP(Tabla11034534544554564794558687786951081171271362282372462723326026929731531634849449349952752837424322628293032333641[[#This Row],[ArtÃ­culo]],Tabla34[#All],3,0)</f>
        <v>0</v>
      </c>
      <c r="H256" s="14">
        <f>+Tabla11034534544554564794558687786951081171271362282372462723326026929731531634849449349952752837424322628293032333641[[#This Row],[Costo]]*Tabla11034534544554564794558687786951081171271362282372462723326026929731531634849449349952752837424322628293032333641[[#This Row],[Unidades]]</f>
        <v>0</v>
      </c>
    </row>
    <row r="257" spans="2:11" x14ac:dyDescent="0.3">
      <c r="B257" s="16"/>
      <c r="C257" s="17"/>
      <c r="D257" s="17"/>
      <c r="E257" s="17"/>
      <c r="F257" s="17"/>
      <c r="G257" s="18"/>
      <c r="H257" s="18" t="e">
        <f>SUBTOTAL(109,Tabla11034534544554564794558687786951081171271362282372462723326026929731531634849449349952752837424322628293032333641[Total costo])</f>
        <v>#N/A</v>
      </c>
    </row>
    <row r="260" spans="2:11" x14ac:dyDescent="0.3">
      <c r="B260" s="19" t="s">
        <v>1121</v>
      </c>
      <c r="C260" s="2"/>
      <c r="D260" s="2"/>
      <c r="E260" s="3"/>
      <c r="F260" s="3"/>
      <c r="G260" s="3"/>
      <c r="H260" s="3"/>
      <c r="J260" s="399" t="s">
        <v>0</v>
      </c>
      <c r="K260" s="399"/>
    </row>
    <row r="261" spans="2:11" x14ac:dyDescent="0.3">
      <c r="B261" s="16" t="s">
        <v>857</v>
      </c>
      <c r="C261" s="17" t="s">
        <v>895</v>
      </c>
      <c r="D261" s="17" t="s">
        <v>892</v>
      </c>
      <c r="E261" s="17" t="s">
        <v>893</v>
      </c>
      <c r="F261" s="17" t="s">
        <v>894</v>
      </c>
      <c r="G261" s="76" t="s">
        <v>4</v>
      </c>
      <c r="H261" s="76" t="s">
        <v>5</v>
      </c>
      <c r="J261" s="8" t="s">
        <v>6</v>
      </c>
      <c r="K261" s="9" t="e">
        <f>SUM(Tabla11034534544554564794558687786951081171271362282372462723326026929731531634849449349952752837424322628293032333650[Total costo])</f>
        <v>#N/A</v>
      </c>
    </row>
    <row r="262" spans="2:11" x14ac:dyDescent="0.3">
      <c r="B262" s="10" t="s">
        <v>312</v>
      </c>
      <c r="C262" s="11" t="s">
        <v>67</v>
      </c>
      <c r="D262" s="12">
        <v>500</v>
      </c>
      <c r="E262" s="12">
        <v>0</v>
      </c>
      <c r="F262" s="12">
        <v>500</v>
      </c>
      <c r="G262" s="13">
        <f>+VLOOKUP(Tabla11034534544554564794558687786951081171271362282372462723326026929731531634849449349952752837424322628293032333650[[#This Row],[ArtÃ­culo]],Tabla34[#All],3,0)</f>
        <v>4.2671999999999999</v>
      </c>
      <c r="H262" s="14">
        <f>+Tabla11034534544554564794558687786951081171271362282372462723326026929731531634849449349952752837424322628293032333650[[#This Row],[Costo]]*Tabla11034534544554564794558687786951081171271362282372462723326026929731531634849449349952752837424322628293032333650[[#This Row],[Unidades]]</f>
        <v>2133.6</v>
      </c>
      <c r="J262" s="8" t="s">
        <v>533</v>
      </c>
      <c r="K262" s="15" t="e">
        <f>+K261*5%</f>
        <v>#N/A</v>
      </c>
    </row>
    <row r="263" spans="2:11" x14ac:dyDescent="0.3">
      <c r="B263" s="10" t="s">
        <v>631</v>
      </c>
      <c r="C263" s="11" t="s">
        <v>67</v>
      </c>
      <c r="D263" s="12">
        <v>500</v>
      </c>
      <c r="E263" s="12">
        <v>0</v>
      </c>
      <c r="F263" s="12">
        <v>500</v>
      </c>
      <c r="G263" s="13">
        <f>+VLOOKUP(Tabla11034534544554564794558687786951081171271362282372462723326026929731531634849449349952752837424322628293032333650[[#This Row],[ArtÃ­culo]],Tabla34[#All],3,0)</f>
        <v>34.714285709999999</v>
      </c>
      <c r="H263" s="14">
        <f>+Tabla11034534544554564794558687786951081171271362282372462723326026929731531634849449349952752837424322628293032333650[[#This Row],[Costo]]*Tabla11034534544554564794558687786951081171271362282372462723326026929731531634849449349952752837424322628293032333650[[#This Row],[Unidades]]</f>
        <v>17357.142854999998</v>
      </c>
      <c r="J263" s="8" t="s">
        <v>13</v>
      </c>
      <c r="K263" s="15" t="e">
        <f>+K261+K262</f>
        <v>#N/A</v>
      </c>
    </row>
    <row r="264" spans="2:11" x14ac:dyDescent="0.3">
      <c r="B264" s="10" t="s">
        <v>280</v>
      </c>
      <c r="C264" s="11" t="s">
        <v>847</v>
      </c>
      <c r="D264" s="12">
        <v>10</v>
      </c>
      <c r="E264" s="12">
        <v>0</v>
      </c>
      <c r="F264" s="12">
        <v>10</v>
      </c>
      <c r="G264" s="13" t="e">
        <f>+VLOOKUP(Tabla11034534544554564794558687786951081171271362282372462723326026929731531634849449349952752837424322628293032333650[[#This Row],[ArtÃ­culo]],Tabla34[#All],3,0)</f>
        <v>#N/A</v>
      </c>
      <c r="H264" s="14" t="e">
        <f>+Tabla11034534544554564794558687786951081171271362282372462723326026929731531634849449349952752837424322628293032333650[[#This Row],[Costo]]*Tabla11034534544554564794558687786951081171271362282372462723326026929731531634849449349952752837424322628293032333650[[#This Row],[Unidades]]</f>
        <v>#N/A</v>
      </c>
      <c r="J264" s="20" t="s">
        <v>14</v>
      </c>
      <c r="K264" s="21"/>
    </row>
    <row r="265" spans="2:11" x14ac:dyDescent="0.3">
      <c r="B265" s="10" t="s">
        <v>85</v>
      </c>
      <c r="C265" s="11" t="s">
        <v>67</v>
      </c>
      <c r="D265" s="12">
        <v>500</v>
      </c>
      <c r="E265" s="12">
        <v>0</v>
      </c>
      <c r="F265" s="12">
        <v>500</v>
      </c>
      <c r="G265" s="13">
        <f>+VLOOKUP(Tabla11034534544554564794558687786951081171271362282372462723326026929731531634849449349952752837424322628293032333650[[#This Row],[ArtÃ­culo]],Tabla34[#All],3,0)</f>
        <v>4.8816666700000004</v>
      </c>
      <c r="H265" s="14">
        <f>+Tabla11034534544554564794558687786951081171271362282372462723326026929731531634849449349952752837424322628293032333650[[#This Row],[Costo]]*Tabla11034534544554564794558687786951081171271362282372462723326026929731531634849449349952752837424322628293032333650[[#This Row],[Unidades]]</f>
        <v>2440.8333350000003</v>
      </c>
      <c r="J265" s="8" t="s">
        <v>15</v>
      </c>
      <c r="K265" s="15">
        <f>+K264/1.08*0.08</f>
        <v>0</v>
      </c>
    </row>
    <row r="266" spans="2:11" x14ac:dyDescent="0.3">
      <c r="B266" s="10" t="s">
        <v>221</v>
      </c>
      <c r="C266" s="11" t="s">
        <v>67</v>
      </c>
      <c r="D266" s="12">
        <v>30</v>
      </c>
      <c r="E266" s="12">
        <v>0</v>
      </c>
      <c r="F266" s="12">
        <v>30</v>
      </c>
      <c r="G266" s="13">
        <f>+VLOOKUP(Tabla11034534544554564794558687786951081171271362282372462723326026929731531634849449349952752837424322628293032333650[[#This Row],[ArtÃ­culo]],Tabla34[#All],3,0)</f>
        <v>8.8172437000000006</v>
      </c>
      <c r="H266" s="14">
        <f>+Tabla11034534544554564794558687786951081171271362282372462723326026929731531634849449349952752837424322628293032333650[[#This Row],[Costo]]*Tabla11034534544554564794558687786951081171271362282372462723326026929731531634849449349952752837424322628293032333650[[#This Row],[Unidades]]</f>
        <v>264.51731100000001</v>
      </c>
      <c r="J266" s="8" t="s">
        <v>16</v>
      </c>
      <c r="K266" s="15">
        <f>+K264-K265</f>
        <v>0</v>
      </c>
    </row>
    <row r="267" spans="2:11" x14ac:dyDescent="0.3">
      <c r="B267" s="10" t="s">
        <v>1122</v>
      </c>
      <c r="C267" s="11" t="s">
        <v>67</v>
      </c>
      <c r="D267" s="12">
        <v>200</v>
      </c>
      <c r="E267" s="12">
        <v>0</v>
      </c>
      <c r="F267" s="12">
        <v>200</v>
      </c>
      <c r="G267" s="13">
        <f>+VLOOKUP(Tabla11034534544554564794558687786951081171271362282372462723326026929731531634849449349952752837424322628293032333650[[#This Row],[ArtÃ­culo]],Tabla34[#All],3,0)</f>
        <v>0</v>
      </c>
      <c r="H267" s="14">
        <f>+Tabla11034534544554564794558687786951081171271362282372462723326026929731531634849449349952752837424322628293032333650[[#This Row],[Costo]]*Tabla11034534544554564794558687786951081171271362282372462723326026929731531634849449349952752837424322628293032333650[[#This Row],[Unidades]]</f>
        <v>0</v>
      </c>
      <c r="J267" s="8" t="s">
        <v>17</v>
      </c>
      <c r="K267" s="41" t="e">
        <f>+K263/K266</f>
        <v>#N/A</v>
      </c>
    </row>
    <row r="268" spans="2:11" x14ac:dyDescent="0.3">
      <c r="B268" s="10" t="s">
        <v>835</v>
      </c>
      <c r="C268" s="11" t="s">
        <v>67</v>
      </c>
      <c r="D268" s="12">
        <v>10</v>
      </c>
      <c r="E268" s="12">
        <v>0</v>
      </c>
      <c r="F268" s="12">
        <v>10</v>
      </c>
      <c r="G268" s="13">
        <f>+VLOOKUP(Tabla11034534544554564794558687786951081171271362282372462723326026929731531634849449349952752837424322628293032333650[[#This Row],[ArtÃ­culo]],Tabla34[#All],3,0)</f>
        <v>4.5</v>
      </c>
      <c r="H268" s="14">
        <f>+Tabla11034534544554564794558687786951081171271362282372462723326026929731531634849449349952752837424322628293032333650[[#This Row],[Costo]]*Tabla11034534544554564794558687786951081171271362282372462723326026929731531634849449349952752837424322628293032333650[[#This Row],[Unidades]]</f>
        <v>45</v>
      </c>
      <c r="J268" s="8" t="s">
        <v>18</v>
      </c>
      <c r="K268" s="42" t="e">
        <f>+K266-K263</f>
        <v>#N/A</v>
      </c>
    </row>
    <row r="269" spans="2:11" x14ac:dyDescent="0.3">
      <c r="B269" s="10" t="s">
        <v>1110</v>
      </c>
      <c r="C269" s="11" t="s">
        <v>67</v>
      </c>
      <c r="D269" s="12">
        <v>40</v>
      </c>
      <c r="E269" s="12">
        <v>0</v>
      </c>
      <c r="F269" s="12">
        <v>40</v>
      </c>
      <c r="G269" s="13" t="e">
        <f>+VLOOKUP(Tabla11034534544554564794558687786951081171271362282372462723326026929731531634849449349952752837424322628293032333650[[#This Row],[ArtÃ­culo]],Tabla34[#All],3,0)</f>
        <v>#N/A</v>
      </c>
      <c r="H269" s="14" t="e">
        <f>+Tabla11034534544554564794558687786951081171271362282372462723326026929731531634849449349952752837424322628293032333650[[#This Row],[Costo]]*Tabla11034534544554564794558687786951081171271362282372462723326026929731531634849449349952752837424322628293032333650[[#This Row],[Unidades]]</f>
        <v>#N/A</v>
      </c>
      <c r="J269" s="8" t="s">
        <v>19</v>
      </c>
      <c r="K269" s="43" t="e">
        <f>+K268/K263</f>
        <v>#N/A</v>
      </c>
    </row>
    <row r="270" spans="2:11" x14ac:dyDescent="0.3">
      <c r="B270" s="10" t="s">
        <v>99</v>
      </c>
      <c r="C270" s="11" t="s">
        <v>67</v>
      </c>
      <c r="D270" s="12">
        <v>1150</v>
      </c>
      <c r="E270" s="12">
        <v>0</v>
      </c>
      <c r="F270" s="12">
        <v>1150</v>
      </c>
      <c r="G270" s="13">
        <f>+VLOOKUP(Tabla11034534544554564794558687786951081171271362282372462723326026929731531634849449349952752837424322628293032333650[[#This Row],[ArtÃ­culo]],Tabla34[#All],3,0)</f>
        <v>49.977947020000002</v>
      </c>
      <c r="H270" s="14">
        <f>+Tabla11034534544554564794558687786951081171271362282372462723326026929731531634849449349952752837424322628293032333650[[#This Row],[Costo]]*Tabla11034534544554564794558687786951081171271362282372462723326026929731531634849449349952752837424322628293032333650[[#This Row],[Unidades]]</f>
        <v>57474.639073000006</v>
      </c>
    </row>
    <row r="271" spans="2:11" x14ac:dyDescent="0.3">
      <c r="B271" s="10" t="s">
        <v>106</v>
      </c>
      <c r="C271" s="11" t="s">
        <v>67</v>
      </c>
      <c r="D271" s="12">
        <v>380</v>
      </c>
      <c r="E271" s="12">
        <v>0</v>
      </c>
      <c r="F271" s="12">
        <v>380</v>
      </c>
      <c r="G271" s="13">
        <f>+VLOOKUP(Tabla11034534544554564794558687786951081171271362282372462723326026929731531634849449349952752837424322628293032333650[[#This Row],[ArtÃ­culo]],Tabla34[#All],3,0)</f>
        <v>19.804166670000001</v>
      </c>
      <c r="H271" s="14">
        <f>+Tabla11034534544554564794558687786951081171271362282372462723326026929731531634849449349952752837424322628293032333650[[#This Row],[Costo]]*Tabla11034534544554564794558687786951081171271362282372462723326026929731531634849449349952752837424322628293032333650[[#This Row],[Unidades]]</f>
        <v>7525.5833345999999</v>
      </c>
    </row>
    <row r="272" spans="2:11" x14ac:dyDescent="0.3">
      <c r="B272" s="10" t="s">
        <v>711</v>
      </c>
      <c r="C272" s="11" t="s">
        <v>67</v>
      </c>
      <c r="D272" s="12">
        <v>85</v>
      </c>
      <c r="E272" s="12">
        <v>0</v>
      </c>
      <c r="F272" s="12">
        <v>85</v>
      </c>
      <c r="G272" s="13">
        <f>+VLOOKUP(Tabla11034534544554564794558687786951081171271362282372462723326026929731531634849449349952752837424322628293032333650[[#This Row],[ArtÃ­culo]],Tabla34[#All],3,0)</f>
        <v>12.5</v>
      </c>
      <c r="H272" s="14">
        <f>+Tabla11034534544554564794558687786951081171271362282372462723326026929731531634849449349952752837424322628293032333650[[#This Row],[Costo]]*Tabla11034534544554564794558687786951081171271362282372462723326026929731531634849449349952752837424322628293032333650[[#This Row],[Unidades]]</f>
        <v>1062.5</v>
      </c>
    </row>
    <row r="273" spans="2:11" x14ac:dyDescent="0.3">
      <c r="B273" s="10" t="s">
        <v>722</v>
      </c>
      <c r="C273" s="11" t="s">
        <v>67</v>
      </c>
      <c r="D273" s="12">
        <v>10</v>
      </c>
      <c r="E273" s="12">
        <v>0</v>
      </c>
      <c r="F273" s="12">
        <v>10</v>
      </c>
      <c r="G273" s="13">
        <f>+VLOOKUP(Tabla11034534544554564794558687786951081171271362282372462723326026929731531634849449349952752837424322628293032333650[[#This Row],[ArtÃ­culo]],Tabla34[#All],3,0)</f>
        <v>6.25</v>
      </c>
      <c r="H273" s="14">
        <f>+Tabla11034534544554564794558687786951081171271362282372462723326026929731531634849449349952752837424322628293032333650[[#This Row],[Costo]]*Tabla11034534544554564794558687786951081171271362282372462723326026929731531634849449349952752837424322628293032333650[[#This Row],[Unidades]]</f>
        <v>62.5</v>
      </c>
    </row>
    <row r="274" spans="2:11" x14ac:dyDescent="0.3">
      <c r="B274" s="10" t="s">
        <v>1080</v>
      </c>
      <c r="C274" s="11" t="s">
        <v>67</v>
      </c>
      <c r="D274" s="12">
        <v>18</v>
      </c>
      <c r="E274" s="12">
        <v>0</v>
      </c>
      <c r="F274" s="12">
        <v>18</v>
      </c>
      <c r="G274" s="13">
        <f>+VLOOKUP(Tabla11034534544554564794558687786951081171271362282372462723326026929731531634849449349952752837424322628293032333650[[#This Row],[ArtÃ­culo]],Tabla34[#All],3,0)</f>
        <v>0</v>
      </c>
      <c r="H274" s="14">
        <f>+Tabla11034534544554564794558687786951081171271362282372462723326026929731531634849449349952752837424322628293032333650[[#This Row],[Costo]]*Tabla11034534544554564794558687786951081171271362282372462723326026929731531634849449349952752837424322628293032333650[[#This Row],[Unidades]]</f>
        <v>0</v>
      </c>
    </row>
    <row r="275" spans="2:11" x14ac:dyDescent="0.3">
      <c r="B275" s="10" t="s">
        <v>923</v>
      </c>
      <c r="C275" s="11" t="s">
        <v>67</v>
      </c>
      <c r="D275" s="12">
        <v>10</v>
      </c>
      <c r="E275" s="12">
        <v>0</v>
      </c>
      <c r="F275" s="12">
        <v>10</v>
      </c>
      <c r="G275" s="13">
        <f>+VLOOKUP(Tabla11034534544554564794558687786951081171271362282372462723326026929731531634849449349952752837424322628293032333650[[#This Row],[ArtÃ­culo]],Tabla34[#All],3,0)</f>
        <v>25</v>
      </c>
      <c r="H275" s="14">
        <f>+Tabla11034534544554564794558687786951081171271362282372462723326026929731531634849449349952752837424322628293032333650[[#This Row],[Costo]]*Tabla11034534544554564794558687786951081171271362282372462723326026929731531634849449349952752837424322628293032333650[[#This Row],[Unidades]]</f>
        <v>250</v>
      </c>
    </row>
    <row r="276" spans="2:11" x14ac:dyDescent="0.3">
      <c r="B276" s="10" t="s">
        <v>1111</v>
      </c>
      <c r="C276" s="11" t="s">
        <v>847</v>
      </c>
      <c r="D276" s="12">
        <v>1</v>
      </c>
      <c r="E276" s="12">
        <v>0</v>
      </c>
      <c r="F276" s="12">
        <v>1</v>
      </c>
      <c r="G276" s="13">
        <f>+VLOOKUP(Tabla11034534544554564794558687786951081171271362282372462723326026929731531634849449349952752837424322628293032333650[[#This Row],[ArtÃ­culo]],Tabla34[#All],3,0)</f>
        <v>0</v>
      </c>
      <c r="H276" s="14">
        <f>+Tabla11034534544554564794558687786951081171271362282372462723326026929731531634849449349952752837424322628293032333650[[#This Row],[Costo]]*Tabla11034534544554564794558687786951081171271362282372462723326026929731531634849449349952752837424322628293032333650[[#This Row],[Unidades]]</f>
        <v>0</v>
      </c>
    </row>
    <row r="277" spans="2:11" x14ac:dyDescent="0.3">
      <c r="B277" s="10" t="s">
        <v>819</v>
      </c>
      <c r="C277" s="11" t="s">
        <v>67</v>
      </c>
      <c r="D277" s="12">
        <v>12</v>
      </c>
      <c r="E277" s="12">
        <v>0</v>
      </c>
      <c r="F277" s="12">
        <v>12</v>
      </c>
      <c r="G277" s="13">
        <f>+VLOOKUP(Tabla11034534544554564794558687786951081171271362282372462723326026929731531634849449349952752837424322628293032333650[[#This Row],[ArtÃ­culo]],Tabla34[#All],3,0)</f>
        <v>21.363943110000001</v>
      </c>
      <c r="H277" s="14">
        <f>+Tabla11034534544554564794558687786951081171271362282372462723326026929731531634849449349952752837424322628293032333650[[#This Row],[Costo]]*Tabla11034534544554564794558687786951081171271362282372462723326026929731531634849449349952752837424322628293032333650[[#This Row],[Unidades]]</f>
        <v>256.36731731999998</v>
      </c>
    </row>
    <row r="278" spans="2:11" x14ac:dyDescent="0.3">
      <c r="B278" s="16"/>
      <c r="C278" s="17"/>
      <c r="D278" s="17"/>
      <c r="E278" s="17"/>
      <c r="F278" s="17"/>
      <c r="G278" s="18"/>
      <c r="H278" s="18" t="e">
        <f>SUBTOTAL(109,Tabla11034534544554564794558687786951081171271362282372462723326026929731531634849449349952752837424322628293032333650[Total costo])</f>
        <v>#N/A</v>
      </c>
    </row>
    <row r="280" spans="2:11" x14ac:dyDescent="0.3">
      <c r="B280" s="19" t="s">
        <v>1123</v>
      </c>
      <c r="C280" s="2"/>
      <c r="D280" s="2"/>
      <c r="E280" s="3"/>
      <c r="F280" s="3"/>
      <c r="G280" s="3"/>
      <c r="H280" s="3"/>
      <c r="J280" s="399" t="s">
        <v>0</v>
      </c>
      <c r="K280" s="399"/>
    </row>
    <row r="281" spans="2:11" x14ac:dyDescent="0.3">
      <c r="B281" s="16" t="s">
        <v>857</v>
      </c>
      <c r="C281" s="17" t="s">
        <v>895</v>
      </c>
      <c r="D281" s="17" t="s">
        <v>892</v>
      </c>
      <c r="E281" s="17" t="s">
        <v>893</v>
      </c>
      <c r="F281" s="17" t="s">
        <v>894</v>
      </c>
      <c r="G281" s="76" t="s">
        <v>4</v>
      </c>
      <c r="H281" s="76" t="s">
        <v>5</v>
      </c>
      <c r="J281" s="8" t="s">
        <v>6</v>
      </c>
      <c r="K281" s="9" t="e">
        <f>SUM(Tabla11034534544554564794558687786951081171271362282372462723326026929731531634849449349952752837424322628293032333655[Total costo])</f>
        <v>#N/A</v>
      </c>
    </row>
    <row r="282" spans="2:11" x14ac:dyDescent="0.3">
      <c r="B282" s="10" t="s">
        <v>312</v>
      </c>
      <c r="C282" s="11" t="s">
        <v>67</v>
      </c>
      <c r="D282" s="12">
        <v>250</v>
      </c>
      <c r="E282" s="12">
        <v>0</v>
      </c>
      <c r="F282" s="12">
        <v>250</v>
      </c>
      <c r="G282" s="13">
        <f>+VLOOKUP(Tabla11034534544554564794558687786951081171271362282372462723326026929731531634849449349952752837424322628293032333655[[#This Row],[ArtÃ­culo]],Tabla34[#All],3,0)</f>
        <v>4.2671999999999999</v>
      </c>
      <c r="H282" s="14">
        <f>+Tabla11034534544554564794558687786951081171271362282372462723326026929731531634849449349952752837424322628293032333655[[#This Row],[Costo]]*Tabla11034534544554564794558687786951081171271362282372462723326026929731531634849449349952752837424322628293032333655[[#This Row],[Unidades]]</f>
        <v>1066.8</v>
      </c>
      <c r="J282" s="8" t="s">
        <v>533</v>
      </c>
      <c r="K282" s="15" t="e">
        <f>+K281*5%</f>
        <v>#N/A</v>
      </c>
    </row>
    <row r="283" spans="2:11" x14ac:dyDescent="0.3">
      <c r="B283" s="10" t="s">
        <v>631</v>
      </c>
      <c r="C283" s="11" t="s">
        <v>67</v>
      </c>
      <c r="D283" s="12">
        <v>250</v>
      </c>
      <c r="E283" s="12">
        <v>0</v>
      </c>
      <c r="F283" s="12">
        <v>250</v>
      </c>
      <c r="G283" s="13">
        <f>+VLOOKUP(Tabla11034534544554564794558687786951081171271362282372462723326026929731531634849449349952752837424322628293032333655[[#This Row],[ArtÃ­culo]],Tabla34[#All],3,0)</f>
        <v>34.714285709999999</v>
      </c>
      <c r="H283" s="14">
        <f>+Tabla11034534544554564794558687786951081171271362282372462723326026929731531634849449349952752837424322628293032333655[[#This Row],[Costo]]*Tabla11034534544554564794558687786951081171271362282372462723326026929731531634849449349952752837424322628293032333655[[#This Row],[Unidades]]</f>
        <v>8678.5714274999991</v>
      </c>
      <c r="J283" s="8" t="s">
        <v>13</v>
      </c>
      <c r="K283" s="15" t="e">
        <f>+K281+K282</f>
        <v>#N/A</v>
      </c>
    </row>
    <row r="284" spans="2:11" x14ac:dyDescent="0.3">
      <c r="B284" s="10" t="s">
        <v>280</v>
      </c>
      <c r="C284" s="11" t="s">
        <v>847</v>
      </c>
      <c r="D284" s="12">
        <v>5</v>
      </c>
      <c r="E284" s="12">
        <v>0</v>
      </c>
      <c r="F284" s="12">
        <v>5</v>
      </c>
      <c r="G284" s="13" t="e">
        <f>+VLOOKUP(Tabla11034534544554564794558687786951081171271362282372462723326026929731531634849449349952752837424322628293032333655[[#This Row],[ArtÃ­culo]],Tabla34[#All],3,0)</f>
        <v>#N/A</v>
      </c>
      <c r="H284" s="14" t="e">
        <f>+Tabla11034534544554564794558687786951081171271362282372462723326026929731531634849449349952752837424322628293032333655[[#This Row],[Costo]]*Tabla11034534544554564794558687786951081171271362282372462723326026929731531634849449349952752837424322628293032333655[[#This Row],[Unidades]]</f>
        <v>#N/A</v>
      </c>
      <c r="J284" s="20" t="s">
        <v>14</v>
      </c>
      <c r="K284" s="21"/>
    </row>
    <row r="285" spans="2:11" x14ac:dyDescent="0.3">
      <c r="B285" s="10" t="s">
        <v>85</v>
      </c>
      <c r="C285" s="11" t="s">
        <v>67</v>
      </c>
      <c r="D285" s="12">
        <v>250</v>
      </c>
      <c r="E285" s="12">
        <v>0</v>
      </c>
      <c r="F285" s="12">
        <v>250</v>
      </c>
      <c r="G285" s="13">
        <f>+VLOOKUP(Tabla11034534544554564794558687786951081171271362282372462723326026929731531634849449349952752837424322628293032333655[[#This Row],[ArtÃ­culo]],Tabla34[#All],3,0)</f>
        <v>4.8816666700000004</v>
      </c>
      <c r="H285" s="14">
        <f>+Tabla11034534544554564794558687786951081171271362282372462723326026929731531634849449349952752837424322628293032333655[[#This Row],[Costo]]*Tabla11034534544554564794558687786951081171271362282372462723326026929731531634849449349952752837424322628293032333655[[#This Row],[Unidades]]</f>
        <v>1220.4166675000001</v>
      </c>
      <c r="J285" s="8" t="s">
        <v>15</v>
      </c>
      <c r="K285" s="15">
        <f>+K284/1.08*0.08</f>
        <v>0</v>
      </c>
    </row>
    <row r="286" spans="2:11" x14ac:dyDescent="0.3">
      <c r="B286" s="10" t="s">
        <v>221</v>
      </c>
      <c r="C286" s="11" t="s">
        <v>67</v>
      </c>
      <c r="D286" s="12">
        <v>15</v>
      </c>
      <c r="E286" s="12">
        <v>0</v>
      </c>
      <c r="F286" s="12">
        <v>15</v>
      </c>
      <c r="G286" s="13">
        <f>+VLOOKUP(Tabla11034534544554564794558687786951081171271362282372462723326026929731531634849449349952752837424322628293032333655[[#This Row],[ArtÃ­culo]],Tabla34[#All],3,0)</f>
        <v>8.8172437000000006</v>
      </c>
      <c r="H286" s="14">
        <f>+Tabla11034534544554564794558687786951081171271362282372462723326026929731531634849449349952752837424322628293032333655[[#This Row],[Costo]]*Tabla11034534544554564794558687786951081171271362282372462723326026929731531634849449349952752837424322628293032333655[[#This Row],[Unidades]]</f>
        <v>132.2586555</v>
      </c>
      <c r="J286" s="8" t="s">
        <v>16</v>
      </c>
      <c r="K286" s="15">
        <f>+K284-K285</f>
        <v>0</v>
      </c>
    </row>
    <row r="287" spans="2:11" x14ac:dyDescent="0.3">
      <c r="B287" s="10" t="s">
        <v>1122</v>
      </c>
      <c r="C287" s="11" t="s">
        <v>67</v>
      </c>
      <c r="D287" s="12">
        <v>100</v>
      </c>
      <c r="E287" s="12">
        <v>0</v>
      </c>
      <c r="F287" s="12">
        <v>100</v>
      </c>
      <c r="G287" s="13">
        <f>+VLOOKUP(Tabla11034534544554564794558687786951081171271362282372462723326026929731531634849449349952752837424322628293032333655[[#This Row],[ArtÃ­culo]],Tabla34[#All],3,0)</f>
        <v>0</v>
      </c>
      <c r="H287" s="14">
        <f>+Tabla11034534544554564794558687786951081171271362282372462723326026929731531634849449349952752837424322628293032333655[[#This Row],[Costo]]*Tabla11034534544554564794558687786951081171271362282372462723326026929731531634849449349952752837424322628293032333655[[#This Row],[Unidades]]</f>
        <v>0</v>
      </c>
      <c r="J287" s="8" t="s">
        <v>17</v>
      </c>
      <c r="K287" s="41" t="e">
        <f>+K283/K286</f>
        <v>#N/A</v>
      </c>
    </row>
    <row r="288" spans="2:11" x14ac:dyDescent="0.3">
      <c r="B288" s="10" t="s">
        <v>835</v>
      </c>
      <c r="C288" s="11" t="s">
        <v>67</v>
      </c>
      <c r="D288" s="12">
        <v>5</v>
      </c>
      <c r="E288" s="12">
        <v>0</v>
      </c>
      <c r="F288" s="12">
        <v>5</v>
      </c>
      <c r="G288" s="13">
        <f>+VLOOKUP(Tabla11034534544554564794558687786951081171271362282372462723326026929731531634849449349952752837424322628293032333655[[#This Row],[ArtÃ­culo]],Tabla34[#All],3,0)</f>
        <v>4.5</v>
      </c>
      <c r="H288" s="14">
        <f>+Tabla11034534544554564794558687786951081171271362282372462723326026929731531634849449349952752837424322628293032333655[[#This Row],[Costo]]*Tabla11034534544554564794558687786951081171271362282372462723326026929731531634849449349952752837424322628293032333655[[#This Row],[Unidades]]</f>
        <v>22.5</v>
      </c>
      <c r="J288" s="8" t="s">
        <v>18</v>
      </c>
      <c r="K288" s="42" t="e">
        <f>+K286-K283</f>
        <v>#N/A</v>
      </c>
    </row>
    <row r="289" spans="2:11" x14ac:dyDescent="0.3">
      <c r="B289" s="10" t="s">
        <v>1110</v>
      </c>
      <c r="C289" s="11" t="s">
        <v>67</v>
      </c>
      <c r="D289" s="12">
        <v>20</v>
      </c>
      <c r="E289" s="12">
        <v>0</v>
      </c>
      <c r="F289" s="12">
        <v>20</v>
      </c>
      <c r="G289" s="13" t="e">
        <f>+VLOOKUP(Tabla11034534544554564794558687786951081171271362282372462723326026929731531634849449349952752837424322628293032333655[[#This Row],[ArtÃ­culo]],Tabla34[#All],3,0)</f>
        <v>#N/A</v>
      </c>
      <c r="H289" s="14" t="e">
        <f>+Tabla11034534544554564794558687786951081171271362282372462723326026929731531634849449349952752837424322628293032333655[[#This Row],[Costo]]*Tabla11034534544554564794558687786951081171271362282372462723326026929731531634849449349952752837424322628293032333655[[#This Row],[Unidades]]</f>
        <v>#N/A</v>
      </c>
      <c r="J289" s="8" t="s">
        <v>19</v>
      </c>
      <c r="K289" s="43" t="e">
        <f>+K288/K283</f>
        <v>#N/A</v>
      </c>
    </row>
    <row r="290" spans="2:11" x14ac:dyDescent="0.3">
      <c r="B290" s="10" t="s">
        <v>99</v>
      </c>
      <c r="C290" s="11" t="s">
        <v>67</v>
      </c>
      <c r="D290" s="12">
        <v>575</v>
      </c>
      <c r="E290" s="12">
        <v>0</v>
      </c>
      <c r="F290" s="12">
        <v>575</v>
      </c>
      <c r="G290" s="13">
        <f>+VLOOKUP(Tabla11034534544554564794558687786951081171271362282372462723326026929731531634849449349952752837424322628293032333655[[#This Row],[ArtÃ­culo]],Tabla34[#All],3,0)</f>
        <v>49.977947020000002</v>
      </c>
      <c r="H290" s="14">
        <f>+Tabla11034534544554564794558687786951081171271362282372462723326026929731531634849449349952752837424322628293032333655[[#This Row],[Costo]]*Tabla11034534544554564794558687786951081171271362282372462723326026929731531634849449349952752837424322628293032333655[[#This Row],[Unidades]]</f>
        <v>28737.319536500003</v>
      </c>
    </row>
    <row r="291" spans="2:11" x14ac:dyDescent="0.3">
      <c r="B291" s="10" t="s">
        <v>106</v>
      </c>
      <c r="C291" s="11" t="s">
        <v>67</v>
      </c>
      <c r="D291" s="12">
        <v>190</v>
      </c>
      <c r="E291" s="12">
        <v>0</v>
      </c>
      <c r="F291" s="12">
        <v>190</v>
      </c>
      <c r="G291" s="13">
        <f>+VLOOKUP(Tabla11034534544554564794558687786951081171271362282372462723326026929731531634849449349952752837424322628293032333655[[#This Row],[ArtÃ­culo]],Tabla34[#All],3,0)</f>
        <v>19.804166670000001</v>
      </c>
      <c r="H291" s="14">
        <f>+Tabla11034534544554564794558687786951081171271362282372462723326026929731531634849449349952752837424322628293032333655[[#This Row],[Costo]]*Tabla11034534544554564794558687786951081171271362282372462723326026929731531634849449349952752837424322628293032333655[[#This Row],[Unidades]]</f>
        <v>3762.7916673</v>
      </c>
    </row>
    <row r="292" spans="2:11" x14ac:dyDescent="0.3">
      <c r="B292" s="10" t="s">
        <v>711</v>
      </c>
      <c r="C292" s="11" t="s">
        <v>67</v>
      </c>
      <c r="D292" s="12">
        <v>70</v>
      </c>
      <c r="E292" s="12">
        <v>0</v>
      </c>
      <c r="F292" s="12">
        <v>70</v>
      </c>
      <c r="G292" s="13">
        <f>+VLOOKUP(Tabla11034534544554564794558687786951081171271362282372462723326026929731531634849449349952752837424322628293032333655[[#This Row],[ArtÃ­culo]],Tabla34[#All],3,0)</f>
        <v>12.5</v>
      </c>
      <c r="H292" s="14">
        <f>+Tabla11034534544554564794558687786951081171271362282372462723326026929731531634849449349952752837424322628293032333655[[#This Row],[Costo]]*Tabla11034534544554564794558687786951081171271362282372462723326026929731531634849449349952752837424322628293032333655[[#This Row],[Unidades]]</f>
        <v>875</v>
      </c>
    </row>
    <row r="293" spans="2:11" x14ac:dyDescent="0.3">
      <c r="B293" s="10" t="s">
        <v>722</v>
      </c>
      <c r="C293" s="11" t="s">
        <v>67</v>
      </c>
      <c r="D293" s="12">
        <v>5</v>
      </c>
      <c r="E293" s="12">
        <v>0</v>
      </c>
      <c r="F293" s="12">
        <v>5</v>
      </c>
      <c r="G293" s="13">
        <f>+VLOOKUP(Tabla11034534544554564794558687786951081171271362282372462723326026929731531634849449349952752837424322628293032333655[[#This Row],[ArtÃ­culo]],Tabla34[#All],3,0)</f>
        <v>6.25</v>
      </c>
      <c r="H293" s="14">
        <f>+Tabla11034534544554564794558687786951081171271362282372462723326026929731531634849449349952752837424322628293032333655[[#This Row],[Costo]]*Tabla11034534544554564794558687786951081171271362282372462723326026929731531634849449349952752837424322628293032333655[[#This Row],[Unidades]]</f>
        <v>31.25</v>
      </c>
    </row>
    <row r="294" spans="2:11" x14ac:dyDescent="0.3">
      <c r="B294" s="10" t="s">
        <v>1080</v>
      </c>
      <c r="C294" s="11" t="s">
        <v>67</v>
      </c>
      <c r="D294" s="12">
        <v>18</v>
      </c>
      <c r="E294" s="12">
        <v>0</v>
      </c>
      <c r="F294" s="12">
        <v>18</v>
      </c>
      <c r="G294" s="13">
        <f>+VLOOKUP(Tabla11034534544554564794558687786951081171271362282372462723326026929731531634849449349952752837424322628293032333655[[#This Row],[ArtÃ­culo]],Tabla34[#All],3,0)</f>
        <v>0</v>
      </c>
      <c r="H294" s="14">
        <f>+Tabla11034534544554564794558687786951081171271362282372462723326026929731531634849449349952752837424322628293032333655[[#This Row],[Costo]]*Tabla11034534544554564794558687786951081171271362282372462723326026929731531634849449349952752837424322628293032333655[[#This Row],[Unidades]]</f>
        <v>0</v>
      </c>
    </row>
    <row r="295" spans="2:11" x14ac:dyDescent="0.3">
      <c r="B295" s="10" t="s">
        <v>923</v>
      </c>
      <c r="C295" s="11" t="s">
        <v>67</v>
      </c>
      <c r="D295" s="12">
        <v>10</v>
      </c>
      <c r="E295" s="12">
        <v>0</v>
      </c>
      <c r="F295" s="12">
        <v>10</v>
      </c>
      <c r="G295" s="13">
        <f>+VLOOKUP(Tabla11034534544554564794558687786951081171271362282372462723326026929731531634849449349952752837424322628293032333655[[#This Row],[ArtÃ­culo]],Tabla34[#All],3,0)</f>
        <v>25</v>
      </c>
      <c r="H295" s="14">
        <f>+Tabla11034534544554564794558687786951081171271362282372462723326026929731531634849449349952752837424322628293032333655[[#This Row],[Costo]]*Tabla11034534544554564794558687786951081171271362282372462723326026929731531634849449349952752837424322628293032333655[[#This Row],[Unidades]]</f>
        <v>250</v>
      </c>
    </row>
    <row r="296" spans="2:11" x14ac:dyDescent="0.3">
      <c r="B296" s="10" t="s">
        <v>1111</v>
      </c>
      <c r="C296" s="11" t="s">
        <v>847</v>
      </c>
      <c r="D296" s="12">
        <v>1</v>
      </c>
      <c r="E296" s="12">
        <v>0</v>
      </c>
      <c r="F296" s="12">
        <v>1</v>
      </c>
      <c r="G296" s="13">
        <f>+VLOOKUP(Tabla11034534544554564794558687786951081171271362282372462723326026929731531634849449349952752837424322628293032333655[[#This Row],[ArtÃ­culo]],Tabla34[#All],3,0)</f>
        <v>0</v>
      </c>
      <c r="H296" s="14">
        <f>+Tabla11034534544554564794558687786951081171271362282372462723326026929731531634849449349952752837424322628293032333655[[#This Row],[Costo]]*Tabla11034534544554564794558687786951081171271362282372462723326026929731531634849449349952752837424322628293032333655[[#This Row],[Unidades]]</f>
        <v>0</v>
      </c>
    </row>
    <row r="297" spans="2:11" x14ac:dyDescent="0.3">
      <c r="B297" s="10" t="s">
        <v>819</v>
      </c>
      <c r="C297" s="11" t="s">
        <v>67</v>
      </c>
      <c r="D297" s="12">
        <v>12</v>
      </c>
      <c r="E297" s="12">
        <v>0</v>
      </c>
      <c r="F297" s="12">
        <v>12</v>
      </c>
      <c r="G297" s="13">
        <f>+VLOOKUP(Tabla11034534544554564794558687786951081171271362282372462723326026929731531634849449349952752837424322628293032333655[[#This Row],[ArtÃ­culo]],Tabla34[#All],3,0)</f>
        <v>21.363943110000001</v>
      </c>
      <c r="H297" s="14">
        <f>+Tabla11034534544554564794558687786951081171271362282372462723326026929731531634849449349952752837424322628293032333655[[#This Row],[Costo]]*Tabla11034534544554564794558687786951081171271362282372462723326026929731531634849449349952752837424322628293032333655[[#This Row],[Unidades]]</f>
        <v>256.36731731999998</v>
      </c>
    </row>
    <row r="298" spans="2:11" x14ac:dyDescent="0.3">
      <c r="B298" s="16"/>
      <c r="C298" s="17"/>
      <c r="D298" s="17"/>
      <c r="E298" s="17"/>
      <c r="F298" s="17"/>
      <c r="G298" s="18"/>
      <c r="H298" s="18" t="e">
        <f>SUBTOTAL(109,Tabla11034534544554564794558687786951081171271362282372462723326026929731531634849449349952752837424322628293032333655[Total costo])</f>
        <v>#N/A</v>
      </c>
    </row>
    <row r="301" spans="2:11" x14ac:dyDescent="0.3">
      <c r="B301" s="19" t="s">
        <v>1124</v>
      </c>
      <c r="C301" s="2"/>
      <c r="D301" s="2"/>
      <c r="E301" s="3"/>
      <c r="F301" s="3"/>
      <c r="G301" s="3"/>
      <c r="H301" s="3"/>
      <c r="J301" s="399" t="s">
        <v>0</v>
      </c>
      <c r="K301" s="399"/>
    </row>
    <row r="302" spans="2:11" x14ac:dyDescent="0.3">
      <c r="B302" s="16" t="s">
        <v>857</v>
      </c>
      <c r="C302" s="17" t="s">
        <v>895</v>
      </c>
      <c r="D302" s="17" t="s">
        <v>892</v>
      </c>
      <c r="E302" s="17" t="s">
        <v>893</v>
      </c>
      <c r="F302" s="17" t="s">
        <v>894</v>
      </c>
      <c r="G302" s="76" t="s">
        <v>4</v>
      </c>
      <c r="H302" s="76" t="s">
        <v>5</v>
      </c>
      <c r="J302" s="8" t="s">
        <v>6</v>
      </c>
      <c r="K302" s="9" t="e">
        <f>SUM(Tabla11034534544554564794558687786951081171271362282372462723326026929731531634849449349952752837424322628293032333661[Total costo])</f>
        <v>#N/A</v>
      </c>
    </row>
    <row r="303" spans="2:11" x14ac:dyDescent="0.3">
      <c r="B303" s="10" t="s">
        <v>312</v>
      </c>
      <c r="C303" s="11" t="s">
        <v>67</v>
      </c>
      <c r="D303" s="12">
        <v>125</v>
      </c>
      <c r="E303" s="12">
        <v>0</v>
      </c>
      <c r="F303" s="12">
        <v>125</v>
      </c>
      <c r="G303" s="13">
        <f>+VLOOKUP(Tabla11034534544554564794558687786951081171271362282372462723326026929731531634849449349952752837424322628293032333661[[#This Row],[ArtÃ­culo]],Tabla34[#All],3,0)</f>
        <v>4.2671999999999999</v>
      </c>
      <c r="H303" s="14">
        <f>+Tabla11034534544554564794558687786951081171271362282372462723326026929731531634849449349952752837424322628293032333661[[#This Row],[Costo]]*Tabla11034534544554564794558687786951081171271362282372462723326026929731531634849449349952752837424322628293032333661[[#This Row],[Unidades]]</f>
        <v>533.4</v>
      </c>
      <c r="J303" s="8" t="s">
        <v>533</v>
      </c>
      <c r="K303" s="15" t="e">
        <f>+K302*5%</f>
        <v>#N/A</v>
      </c>
    </row>
    <row r="304" spans="2:11" x14ac:dyDescent="0.3">
      <c r="B304" s="10" t="s">
        <v>631</v>
      </c>
      <c r="C304" s="11" t="s">
        <v>67</v>
      </c>
      <c r="D304" s="12">
        <v>125</v>
      </c>
      <c r="E304" s="12">
        <v>0</v>
      </c>
      <c r="F304" s="12">
        <v>125</v>
      </c>
      <c r="G304" s="13">
        <f>+VLOOKUP(Tabla11034534544554564794558687786951081171271362282372462723326026929731531634849449349952752837424322628293032333661[[#This Row],[ArtÃ­culo]],Tabla34[#All],3,0)</f>
        <v>34.714285709999999</v>
      </c>
      <c r="H304" s="14">
        <f>+Tabla11034534544554564794558687786951081171271362282372462723326026929731531634849449349952752837424322628293032333661[[#This Row],[Costo]]*Tabla11034534544554564794558687786951081171271362282372462723326026929731531634849449349952752837424322628293032333661[[#This Row],[Unidades]]</f>
        <v>4339.2857137499996</v>
      </c>
      <c r="J304" s="8" t="s">
        <v>13</v>
      </c>
      <c r="K304" s="15" t="e">
        <f>+K302+K303</f>
        <v>#N/A</v>
      </c>
    </row>
    <row r="305" spans="2:11" x14ac:dyDescent="0.3">
      <c r="B305" s="10" t="s">
        <v>280</v>
      </c>
      <c r="C305" s="11" t="s">
        <v>847</v>
      </c>
      <c r="D305" s="12">
        <v>3</v>
      </c>
      <c r="E305" s="12">
        <v>0</v>
      </c>
      <c r="F305" s="12">
        <v>3</v>
      </c>
      <c r="G305" s="13" t="e">
        <f>+VLOOKUP(Tabla11034534544554564794558687786951081171271362282372462723326026929731531634849449349952752837424322628293032333661[[#This Row],[ArtÃ­culo]],Tabla34[#All],3,0)</f>
        <v>#N/A</v>
      </c>
      <c r="H305" s="14" t="e">
        <f>+Tabla11034534544554564794558687786951081171271362282372462723326026929731531634849449349952752837424322628293032333661[[#This Row],[Costo]]*Tabla11034534544554564794558687786951081171271362282372462723326026929731531634849449349952752837424322628293032333661[[#This Row],[Unidades]]</f>
        <v>#N/A</v>
      </c>
      <c r="J305" s="20" t="s">
        <v>14</v>
      </c>
      <c r="K305" s="21"/>
    </row>
    <row r="306" spans="2:11" x14ac:dyDescent="0.3">
      <c r="B306" s="10" t="s">
        <v>85</v>
      </c>
      <c r="C306" s="11" t="s">
        <v>67</v>
      </c>
      <c r="D306" s="12">
        <v>125</v>
      </c>
      <c r="E306" s="12">
        <v>0</v>
      </c>
      <c r="F306" s="12">
        <v>125</v>
      </c>
      <c r="G306" s="13">
        <f>+VLOOKUP(Tabla11034534544554564794558687786951081171271362282372462723326026929731531634849449349952752837424322628293032333661[[#This Row],[ArtÃ­culo]],Tabla34[#All],3,0)</f>
        <v>4.8816666700000004</v>
      </c>
      <c r="H306" s="14">
        <f>+Tabla11034534544554564794558687786951081171271362282372462723326026929731531634849449349952752837424322628293032333661[[#This Row],[Costo]]*Tabla11034534544554564794558687786951081171271362282372462723326026929731531634849449349952752837424322628293032333661[[#This Row],[Unidades]]</f>
        <v>610.20833375000007</v>
      </c>
      <c r="J306" s="8" t="s">
        <v>15</v>
      </c>
      <c r="K306" s="15">
        <f>+K305/1.08*0.08</f>
        <v>0</v>
      </c>
    </row>
    <row r="307" spans="2:11" x14ac:dyDescent="0.3">
      <c r="B307" s="10" t="s">
        <v>221</v>
      </c>
      <c r="C307" s="11" t="s">
        <v>67</v>
      </c>
      <c r="D307" s="12">
        <v>7</v>
      </c>
      <c r="E307" s="12">
        <v>0</v>
      </c>
      <c r="F307" s="12">
        <v>7</v>
      </c>
      <c r="G307" s="13">
        <f>+VLOOKUP(Tabla11034534544554564794558687786951081171271362282372462723326026929731531634849449349952752837424322628293032333661[[#This Row],[ArtÃ­culo]],Tabla34[#All],3,0)</f>
        <v>8.8172437000000006</v>
      </c>
      <c r="H307" s="14">
        <f>+Tabla11034534544554564794558687786951081171271362282372462723326026929731531634849449349952752837424322628293032333661[[#This Row],[Costo]]*Tabla11034534544554564794558687786951081171271362282372462723326026929731531634849449349952752837424322628293032333661[[#This Row],[Unidades]]</f>
        <v>61.720705900000006</v>
      </c>
      <c r="J307" s="8" t="s">
        <v>16</v>
      </c>
      <c r="K307" s="15">
        <f>+K305-K306</f>
        <v>0</v>
      </c>
    </row>
    <row r="308" spans="2:11" x14ac:dyDescent="0.3">
      <c r="B308" s="10" t="s">
        <v>1122</v>
      </c>
      <c r="C308" s="11" t="s">
        <v>67</v>
      </c>
      <c r="D308" s="12">
        <v>50</v>
      </c>
      <c r="E308" s="12">
        <v>0</v>
      </c>
      <c r="F308" s="12">
        <v>50</v>
      </c>
      <c r="G308" s="13">
        <f>+VLOOKUP(Tabla11034534544554564794558687786951081171271362282372462723326026929731531634849449349952752837424322628293032333661[[#This Row],[ArtÃ­culo]],Tabla34[#All],3,0)</f>
        <v>0</v>
      </c>
      <c r="H308" s="14">
        <f>+Tabla11034534544554564794558687786951081171271362282372462723326026929731531634849449349952752837424322628293032333661[[#This Row],[Costo]]*Tabla11034534544554564794558687786951081171271362282372462723326026929731531634849449349952752837424322628293032333661[[#This Row],[Unidades]]</f>
        <v>0</v>
      </c>
      <c r="J308" s="8" t="s">
        <v>17</v>
      </c>
      <c r="K308" s="41" t="e">
        <f>+K304/K307</f>
        <v>#N/A</v>
      </c>
    </row>
    <row r="309" spans="2:11" x14ac:dyDescent="0.3">
      <c r="B309" s="10" t="s">
        <v>835</v>
      </c>
      <c r="C309" s="11" t="s">
        <v>67</v>
      </c>
      <c r="D309" s="12">
        <v>3</v>
      </c>
      <c r="E309" s="12">
        <v>0</v>
      </c>
      <c r="F309" s="12">
        <v>3</v>
      </c>
      <c r="G309" s="13">
        <f>+VLOOKUP(Tabla11034534544554564794558687786951081171271362282372462723326026929731531634849449349952752837424322628293032333661[[#This Row],[ArtÃ­culo]],Tabla34[#All],3,0)</f>
        <v>4.5</v>
      </c>
      <c r="H309" s="14">
        <f>+Tabla11034534544554564794558687786951081171271362282372462723326026929731531634849449349952752837424322628293032333661[[#This Row],[Costo]]*Tabla11034534544554564794558687786951081171271362282372462723326026929731531634849449349952752837424322628293032333661[[#This Row],[Unidades]]</f>
        <v>13.5</v>
      </c>
      <c r="J309" s="8" t="s">
        <v>18</v>
      </c>
      <c r="K309" s="42" t="e">
        <f>+K307-K304</f>
        <v>#N/A</v>
      </c>
    </row>
    <row r="310" spans="2:11" x14ac:dyDescent="0.3">
      <c r="B310" s="10" t="s">
        <v>1110</v>
      </c>
      <c r="C310" s="11" t="s">
        <v>67</v>
      </c>
      <c r="D310" s="12">
        <v>10</v>
      </c>
      <c r="E310" s="12">
        <v>0</v>
      </c>
      <c r="F310" s="12">
        <v>10</v>
      </c>
      <c r="G310" s="13" t="e">
        <f>+VLOOKUP(Tabla11034534544554564794558687786951081171271362282372462723326026929731531634849449349952752837424322628293032333661[[#This Row],[ArtÃ­culo]],Tabla34[#All],3,0)</f>
        <v>#N/A</v>
      </c>
      <c r="H310" s="14" t="e">
        <f>+Tabla11034534544554564794558687786951081171271362282372462723326026929731531634849449349952752837424322628293032333661[[#This Row],[Costo]]*Tabla11034534544554564794558687786951081171271362282372462723326026929731531634849449349952752837424322628293032333661[[#This Row],[Unidades]]</f>
        <v>#N/A</v>
      </c>
      <c r="J310" s="8" t="s">
        <v>19</v>
      </c>
      <c r="K310" s="43" t="e">
        <f>+K309/K304</f>
        <v>#N/A</v>
      </c>
    </row>
    <row r="311" spans="2:11" x14ac:dyDescent="0.3">
      <c r="B311" s="10" t="s">
        <v>99</v>
      </c>
      <c r="C311" s="11" t="s">
        <v>67</v>
      </c>
      <c r="D311" s="12">
        <v>287</v>
      </c>
      <c r="E311" s="12">
        <v>0</v>
      </c>
      <c r="F311" s="12">
        <v>287</v>
      </c>
      <c r="G311" s="13">
        <f>+VLOOKUP(Tabla11034534544554564794558687786951081171271362282372462723326026929731531634849449349952752837424322628293032333661[[#This Row],[ArtÃ­culo]],Tabla34[#All],3,0)</f>
        <v>49.977947020000002</v>
      </c>
      <c r="H311" s="14">
        <f>+Tabla11034534544554564794558687786951081171271362282372462723326026929731531634849449349952752837424322628293032333661[[#This Row],[Costo]]*Tabla11034534544554564794558687786951081171271362282372462723326026929731531634849449349952752837424322628293032333661[[#This Row],[Unidades]]</f>
        <v>14343.670794740001</v>
      </c>
    </row>
    <row r="312" spans="2:11" x14ac:dyDescent="0.3">
      <c r="B312" s="10" t="s">
        <v>106</v>
      </c>
      <c r="C312" s="11" t="s">
        <v>67</v>
      </c>
      <c r="D312" s="12">
        <v>95</v>
      </c>
      <c r="E312" s="12">
        <v>0</v>
      </c>
      <c r="F312" s="12">
        <v>95</v>
      </c>
      <c r="G312" s="13">
        <f>+VLOOKUP(Tabla11034534544554564794558687786951081171271362282372462723326026929731531634849449349952752837424322628293032333661[[#This Row],[ArtÃ­culo]],Tabla34[#All],3,0)</f>
        <v>19.804166670000001</v>
      </c>
      <c r="H312" s="14">
        <f>+Tabla11034534544554564794558687786951081171271362282372462723326026929731531634849449349952752837424322628293032333661[[#This Row],[Costo]]*Tabla11034534544554564794558687786951081171271362282372462723326026929731531634849449349952752837424322628293032333661[[#This Row],[Unidades]]</f>
        <v>1881.39583365</v>
      </c>
    </row>
    <row r="313" spans="2:11" x14ac:dyDescent="0.3">
      <c r="B313" s="10" t="s">
        <v>711</v>
      </c>
      <c r="C313" s="11" t="s">
        <v>67</v>
      </c>
      <c r="D313" s="12">
        <v>45</v>
      </c>
      <c r="E313" s="12">
        <v>0</v>
      </c>
      <c r="F313" s="12">
        <v>45</v>
      </c>
      <c r="G313" s="13">
        <f>+VLOOKUP(Tabla11034534544554564794558687786951081171271362282372462723326026929731531634849449349952752837424322628293032333661[[#This Row],[ArtÃ­culo]],Tabla34[#All],3,0)</f>
        <v>12.5</v>
      </c>
      <c r="H313" s="14">
        <f>+Tabla11034534544554564794558687786951081171271362282372462723326026929731531634849449349952752837424322628293032333661[[#This Row],[Costo]]*Tabla11034534544554564794558687786951081171271362282372462723326026929731531634849449349952752837424322628293032333661[[#This Row],[Unidades]]</f>
        <v>562.5</v>
      </c>
    </row>
    <row r="314" spans="2:11" x14ac:dyDescent="0.3">
      <c r="B314" s="10" t="s">
        <v>722</v>
      </c>
      <c r="C314" s="11" t="s">
        <v>67</v>
      </c>
      <c r="D314" s="12">
        <v>5</v>
      </c>
      <c r="E314" s="12">
        <v>0</v>
      </c>
      <c r="F314" s="12">
        <v>5</v>
      </c>
      <c r="G314" s="13">
        <f>+VLOOKUP(Tabla11034534544554564794558687786951081171271362282372462723326026929731531634849449349952752837424322628293032333661[[#This Row],[ArtÃ­culo]],Tabla34[#All],3,0)</f>
        <v>6.25</v>
      </c>
      <c r="H314" s="14">
        <f>+Tabla11034534544554564794558687786951081171271362282372462723326026929731531634849449349952752837424322628293032333661[[#This Row],[Costo]]*Tabla11034534544554564794558687786951081171271362282372462723326026929731531634849449349952752837424322628293032333661[[#This Row],[Unidades]]</f>
        <v>31.25</v>
      </c>
    </row>
    <row r="315" spans="2:11" x14ac:dyDescent="0.3">
      <c r="B315" s="10" t="s">
        <v>1080</v>
      </c>
      <c r="C315" s="11" t="s">
        <v>67</v>
      </c>
      <c r="D315" s="12">
        <v>10</v>
      </c>
      <c r="E315" s="12">
        <v>0</v>
      </c>
      <c r="F315" s="12">
        <v>10</v>
      </c>
      <c r="G315" s="13">
        <f>+VLOOKUP(Tabla11034534544554564794558687786951081171271362282372462723326026929731531634849449349952752837424322628293032333661[[#This Row],[ArtÃ­culo]],Tabla34[#All],3,0)</f>
        <v>0</v>
      </c>
      <c r="H315" s="14">
        <f>+Tabla11034534544554564794558687786951081171271362282372462723326026929731531634849449349952752837424322628293032333661[[#This Row],[Costo]]*Tabla11034534544554564794558687786951081171271362282372462723326026929731531634849449349952752837424322628293032333661[[#This Row],[Unidades]]</f>
        <v>0</v>
      </c>
    </row>
    <row r="316" spans="2:11" x14ac:dyDescent="0.3">
      <c r="B316" s="10" t="s">
        <v>923</v>
      </c>
      <c r="C316" s="11" t="s">
        <v>67</v>
      </c>
      <c r="D316" s="12">
        <v>10</v>
      </c>
      <c r="E316" s="12">
        <v>0</v>
      </c>
      <c r="F316" s="12">
        <v>10</v>
      </c>
      <c r="G316" s="13">
        <f>+VLOOKUP(Tabla11034534544554564794558687786951081171271362282372462723326026929731531634849449349952752837424322628293032333661[[#This Row],[ArtÃ­culo]],Tabla34[#All],3,0)</f>
        <v>25</v>
      </c>
      <c r="H316" s="14">
        <f>+Tabla11034534544554564794558687786951081171271362282372462723326026929731531634849449349952752837424322628293032333661[[#This Row],[Costo]]*Tabla11034534544554564794558687786951081171271362282372462723326026929731531634849449349952752837424322628293032333661[[#This Row],[Unidades]]</f>
        <v>250</v>
      </c>
    </row>
    <row r="317" spans="2:11" x14ac:dyDescent="0.3">
      <c r="B317" s="10" t="s">
        <v>1111</v>
      </c>
      <c r="C317" s="11" t="s">
        <v>847</v>
      </c>
      <c r="D317" s="12">
        <v>1</v>
      </c>
      <c r="E317" s="12">
        <v>0</v>
      </c>
      <c r="F317" s="12">
        <v>1</v>
      </c>
      <c r="G317" s="13">
        <f>+VLOOKUP(Tabla11034534544554564794558687786951081171271362282372462723326026929731531634849449349952752837424322628293032333661[[#This Row],[ArtÃ­culo]],Tabla34[#All],3,0)</f>
        <v>0</v>
      </c>
      <c r="H317" s="14">
        <f>+Tabla11034534544554564794558687786951081171271362282372462723326026929731531634849449349952752837424322628293032333661[[#This Row],[Costo]]*Tabla11034534544554564794558687786951081171271362282372462723326026929731531634849449349952752837424322628293032333661[[#This Row],[Unidades]]</f>
        <v>0</v>
      </c>
    </row>
    <row r="318" spans="2:11" x14ac:dyDescent="0.3">
      <c r="B318" s="10" t="s">
        <v>819</v>
      </c>
      <c r="C318" s="11" t="s">
        <v>67</v>
      </c>
      <c r="D318" s="12">
        <v>12</v>
      </c>
      <c r="E318" s="12">
        <v>0</v>
      </c>
      <c r="F318" s="12">
        <v>12</v>
      </c>
      <c r="G318" s="13">
        <f>+VLOOKUP(Tabla11034534544554564794558687786951081171271362282372462723326026929731531634849449349952752837424322628293032333661[[#This Row],[ArtÃ­culo]],Tabla34[#All],3,0)</f>
        <v>21.363943110000001</v>
      </c>
      <c r="H318" s="14">
        <f>+Tabla11034534544554564794558687786951081171271362282372462723326026929731531634849449349952752837424322628293032333661[[#This Row],[Costo]]*Tabla11034534544554564794558687786951081171271362282372462723326026929731531634849449349952752837424322628293032333661[[#This Row],[Unidades]]</f>
        <v>256.36731731999998</v>
      </c>
    </row>
    <row r="319" spans="2:11" x14ac:dyDescent="0.3">
      <c r="B319" s="16"/>
      <c r="C319" s="17"/>
      <c r="D319" s="17"/>
      <c r="E319" s="17"/>
      <c r="F319" s="17"/>
      <c r="G319" s="18"/>
      <c r="H319" s="18" t="e">
        <f>SUBTOTAL(109,Tabla11034534544554564794558687786951081171271362282372462723326026929731531634849449349952752837424322628293032333661[Total costo])</f>
        <v>#N/A</v>
      </c>
    </row>
    <row r="322" spans="2:11" x14ac:dyDescent="0.3">
      <c r="B322" s="19" t="s">
        <v>1125</v>
      </c>
      <c r="C322" s="2"/>
      <c r="D322" s="2"/>
      <c r="E322" s="3"/>
      <c r="F322" s="3"/>
      <c r="G322" s="3"/>
      <c r="H322" s="3"/>
      <c r="J322" s="399" t="s">
        <v>0</v>
      </c>
      <c r="K322" s="399"/>
    </row>
    <row r="323" spans="2:11" x14ac:dyDescent="0.3">
      <c r="B323" s="16" t="s">
        <v>857</v>
      </c>
      <c r="C323" s="17" t="s">
        <v>895</v>
      </c>
      <c r="D323" s="17" t="s">
        <v>892</v>
      </c>
      <c r="E323" s="17" t="s">
        <v>893</v>
      </c>
      <c r="F323" s="17" t="s">
        <v>894</v>
      </c>
      <c r="G323" s="76" t="s">
        <v>4</v>
      </c>
      <c r="H323" s="76" t="s">
        <v>5</v>
      </c>
      <c r="J323" s="8" t="s">
        <v>6</v>
      </c>
      <c r="K323" s="9" t="e">
        <f>SUM(Tabla11034534544554564794558687786951081171271362282372462723326026929731531634849449349952752837424322628293032333662[Total costo])</f>
        <v>#N/A</v>
      </c>
    </row>
    <row r="324" spans="2:11" x14ac:dyDescent="0.3">
      <c r="B324" s="10" t="s">
        <v>312</v>
      </c>
      <c r="C324" s="11" t="s">
        <v>67</v>
      </c>
      <c r="D324" s="12">
        <v>65</v>
      </c>
      <c r="E324" s="12">
        <v>0</v>
      </c>
      <c r="F324" s="12">
        <v>65</v>
      </c>
      <c r="G324" s="13">
        <f>+VLOOKUP(Tabla11034534544554564794558687786951081171271362282372462723326026929731531634849449349952752837424322628293032333662[[#This Row],[ArtÃ­culo]],Tabla34[#All],3,0)</f>
        <v>4.2671999999999999</v>
      </c>
      <c r="H324" s="14">
        <f>+Tabla11034534544554564794558687786951081171271362282372462723326026929731531634849449349952752837424322628293032333662[[#This Row],[Costo]]*Tabla11034534544554564794558687786951081171271362282372462723326026929731531634849449349952752837424322628293032333662[[#This Row],[Unidades]]</f>
        <v>277.36799999999999</v>
      </c>
      <c r="J324" s="8" t="s">
        <v>533</v>
      </c>
      <c r="K324" s="15" t="e">
        <f>+K323*5%</f>
        <v>#N/A</v>
      </c>
    </row>
    <row r="325" spans="2:11" x14ac:dyDescent="0.3">
      <c r="B325" s="10" t="s">
        <v>631</v>
      </c>
      <c r="C325" s="11" t="s">
        <v>67</v>
      </c>
      <c r="D325" s="12">
        <v>65</v>
      </c>
      <c r="E325" s="12">
        <v>0</v>
      </c>
      <c r="F325" s="12">
        <v>65</v>
      </c>
      <c r="G325" s="13">
        <f>+VLOOKUP(Tabla11034534544554564794558687786951081171271362282372462723326026929731531634849449349952752837424322628293032333662[[#This Row],[ArtÃ­culo]],Tabla34[#All],3,0)</f>
        <v>34.714285709999999</v>
      </c>
      <c r="H325" s="14">
        <f>+Tabla11034534544554564794558687786951081171271362282372462723326026929731531634849449349952752837424322628293032333662[[#This Row],[Costo]]*Tabla11034534544554564794558687786951081171271362282372462723326026929731531634849449349952752837424322628293032333662[[#This Row],[Unidades]]</f>
        <v>2256.4285711499997</v>
      </c>
      <c r="J325" s="8" t="s">
        <v>13</v>
      </c>
      <c r="K325" s="15" t="e">
        <f>+K323+K324</f>
        <v>#N/A</v>
      </c>
    </row>
    <row r="326" spans="2:11" x14ac:dyDescent="0.3">
      <c r="B326" s="10" t="s">
        <v>280</v>
      </c>
      <c r="C326" s="11" t="s">
        <v>847</v>
      </c>
      <c r="D326" s="12">
        <v>2</v>
      </c>
      <c r="E326" s="12">
        <v>0</v>
      </c>
      <c r="F326" s="12">
        <v>2</v>
      </c>
      <c r="G326" s="13" t="e">
        <f>+VLOOKUP(Tabla11034534544554564794558687786951081171271362282372462723326026929731531634849449349952752837424322628293032333662[[#This Row],[ArtÃ­culo]],Tabla34[#All],3,0)</f>
        <v>#N/A</v>
      </c>
      <c r="H326" s="14" t="e">
        <f>+Tabla11034534544554564794558687786951081171271362282372462723326026929731531634849449349952752837424322628293032333662[[#This Row],[Costo]]*Tabla11034534544554564794558687786951081171271362282372462723326026929731531634849449349952752837424322628293032333662[[#This Row],[Unidades]]</f>
        <v>#N/A</v>
      </c>
      <c r="J326" s="20" t="s">
        <v>14</v>
      </c>
      <c r="K326" s="21"/>
    </row>
    <row r="327" spans="2:11" x14ac:dyDescent="0.3">
      <c r="B327" s="10" t="s">
        <v>85</v>
      </c>
      <c r="C327" s="11" t="s">
        <v>67</v>
      </c>
      <c r="D327" s="12">
        <v>65</v>
      </c>
      <c r="E327" s="12">
        <v>0</v>
      </c>
      <c r="F327" s="12">
        <v>65</v>
      </c>
      <c r="G327" s="13">
        <f>+VLOOKUP(Tabla11034534544554564794558687786951081171271362282372462723326026929731531634849449349952752837424322628293032333662[[#This Row],[ArtÃ­culo]],Tabla34[#All],3,0)</f>
        <v>4.8816666700000004</v>
      </c>
      <c r="H327" s="14">
        <f>+Tabla11034534544554564794558687786951081171271362282372462723326026929731531634849449349952752837424322628293032333662[[#This Row],[Costo]]*Tabla11034534544554564794558687786951081171271362282372462723326026929731531634849449349952752837424322628293032333662[[#This Row],[Unidades]]</f>
        <v>317.30833355000004</v>
      </c>
      <c r="J327" s="8" t="s">
        <v>15</v>
      </c>
      <c r="K327" s="15">
        <f>+K326/1.08*0.08</f>
        <v>0</v>
      </c>
    </row>
    <row r="328" spans="2:11" x14ac:dyDescent="0.3">
      <c r="B328" s="10" t="s">
        <v>221</v>
      </c>
      <c r="C328" s="11" t="s">
        <v>67</v>
      </c>
      <c r="D328" s="12">
        <v>3</v>
      </c>
      <c r="E328" s="12">
        <v>0</v>
      </c>
      <c r="F328" s="12">
        <v>3</v>
      </c>
      <c r="G328" s="13">
        <f>+VLOOKUP(Tabla11034534544554564794558687786951081171271362282372462723326026929731531634849449349952752837424322628293032333662[[#This Row],[ArtÃ­culo]],Tabla34[#All],3,0)</f>
        <v>8.8172437000000006</v>
      </c>
      <c r="H328" s="14">
        <f>+Tabla11034534544554564794558687786951081171271362282372462723326026929731531634849449349952752837424322628293032333662[[#This Row],[Costo]]*Tabla11034534544554564794558687786951081171271362282372462723326026929731531634849449349952752837424322628293032333662[[#This Row],[Unidades]]</f>
        <v>26.451731100000003</v>
      </c>
      <c r="J328" s="8" t="s">
        <v>16</v>
      </c>
      <c r="K328" s="15">
        <f>+K326-K327</f>
        <v>0</v>
      </c>
    </row>
    <row r="329" spans="2:11" x14ac:dyDescent="0.3">
      <c r="B329" s="10" t="s">
        <v>1122</v>
      </c>
      <c r="C329" s="11" t="s">
        <v>67</v>
      </c>
      <c r="D329" s="12">
        <v>25</v>
      </c>
      <c r="E329" s="12">
        <v>0</v>
      </c>
      <c r="F329" s="12">
        <v>25</v>
      </c>
      <c r="G329" s="13">
        <f>+VLOOKUP(Tabla11034534544554564794558687786951081171271362282372462723326026929731531634849449349952752837424322628293032333662[[#This Row],[ArtÃ­culo]],Tabla34[#All],3,0)</f>
        <v>0</v>
      </c>
      <c r="H329" s="14">
        <f>+Tabla11034534544554564794558687786951081171271362282372462723326026929731531634849449349952752837424322628293032333662[[#This Row],[Costo]]*Tabla11034534544554564794558687786951081171271362282372462723326026929731531634849449349952752837424322628293032333662[[#This Row],[Unidades]]</f>
        <v>0</v>
      </c>
      <c r="J329" s="8" t="s">
        <v>17</v>
      </c>
      <c r="K329" s="41" t="e">
        <f>+K325/K328</f>
        <v>#N/A</v>
      </c>
    </row>
    <row r="330" spans="2:11" x14ac:dyDescent="0.3">
      <c r="B330" s="10" t="s">
        <v>835</v>
      </c>
      <c r="C330" s="11" t="s">
        <v>67</v>
      </c>
      <c r="D330" s="12">
        <v>2</v>
      </c>
      <c r="E330" s="12">
        <v>0</v>
      </c>
      <c r="F330" s="12">
        <v>2</v>
      </c>
      <c r="G330" s="13">
        <f>+VLOOKUP(Tabla11034534544554564794558687786951081171271362282372462723326026929731531634849449349952752837424322628293032333662[[#This Row],[ArtÃ­culo]],Tabla34[#All],3,0)</f>
        <v>4.5</v>
      </c>
      <c r="H330" s="14">
        <f>+Tabla11034534544554564794558687786951081171271362282372462723326026929731531634849449349952752837424322628293032333662[[#This Row],[Costo]]*Tabla11034534544554564794558687786951081171271362282372462723326026929731531634849449349952752837424322628293032333662[[#This Row],[Unidades]]</f>
        <v>9</v>
      </c>
      <c r="J330" s="8" t="s">
        <v>18</v>
      </c>
      <c r="K330" s="42" t="e">
        <f>+K328-K325</f>
        <v>#N/A</v>
      </c>
    </row>
    <row r="331" spans="2:11" x14ac:dyDescent="0.3">
      <c r="B331" s="10" t="s">
        <v>1110</v>
      </c>
      <c r="C331" s="11" t="s">
        <v>67</v>
      </c>
      <c r="D331" s="12">
        <v>8</v>
      </c>
      <c r="E331" s="12">
        <v>0</v>
      </c>
      <c r="F331" s="12">
        <v>8</v>
      </c>
      <c r="G331" s="13" t="e">
        <f>+VLOOKUP(Tabla11034534544554564794558687786951081171271362282372462723326026929731531634849449349952752837424322628293032333662[[#This Row],[ArtÃ­culo]],Tabla34[#All],3,0)</f>
        <v>#N/A</v>
      </c>
      <c r="H331" s="14" t="e">
        <f>+Tabla11034534544554564794558687786951081171271362282372462723326026929731531634849449349952752837424322628293032333662[[#This Row],[Costo]]*Tabla11034534544554564794558687786951081171271362282372462723326026929731531634849449349952752837424322628293032333662[[#This Row],[Unidades]]</f>
        <v>#N/A</v>
      </c>
      <c r="J331" s="8" t="s">
        <v>19</v>
      </c>
      <c r="K331" s="43" t="e">
        <f>+K330/K325</f>
        <v>#N/A</v>
      </c>
    </row>
    <row r="332" spans="2:11" x14ac:dyDescent="0.3">
      <c r="B332" s="10" t="s">
        <v>99</v>
      </c>
      <c r="C332" s="11" t="s">
        <v>67</v>
      </c>
      <c r="D332" s="12">
        <v>143</v>
      </c>
      <c r="E332" s="12">
        <v>0</v>
      </c>
      <c r="F332" s="12">
        <v>143</v>
      </c>
      <c r="G332" s="13">
        <f>+VLOOKUP(Tabla11034534544554564794558687786951081171271362282372462723326026929731531634849449349952752837424322628293032333662[[#This Row],[ArtÃ­culo]],Tabla34[#All],3,0)</f>
        <v>49.977947020000002</v>
      </c>
      <c r="H332" s="14">
        <f>+Tabla11034534544554564794558687786951081171271362282372462723326026929731531634849449349952752837424322628293032333662[[#This Row],[Costo]]*Tabla11034534544554564794558687786951081171271362282372462723326026929731531634849449349952752837424322628293032333662[[#This Row],[Unidades]]</f>
        <v>7146.84642386</v>
      </c>
    </row>
    <row r="333" spans="2:11" x14ac:dyDescent="0.3">
      <c r="B333" s="10" t="s">
        <v>106</v>
      </c>
      <c r="C333" s="11" t="s">
        <v>67</v>
      </c>
      <c r="D333" s="12">
        <v>47</v>
      </c>
      <c r="E333" s="12">
        <v>0</v>
      </c>
      <c r="F333" s="12">
        <v>47</v>
      </c>
      <c r="G333" s="13">
        <f>+VLOOKUP(Tabla11034534544554564794558687786951081171271362282372462723326026929731531634849449349952752837424322628293032333662[[#This Row],[ArtÃ­culo]],Tabla34[#All],3,0)</f>
        <v>19.804166670000001</v>
      </c>
      <c r="H333" s="14">
        <f>+Tabla11034534544554564794558687786951081171271362282372462723326026929731531634849449349952752837424322628293032333662[[#This Row],[Costo]]*Tabla11034534544554564794558687786951081171271362282372462723326026929731531634849449349952752837424322628293032333662[[#This Row],[Unidades]]</f>
        <v>930.79583349000006</v>
      </c>
    </row>
    <row r="334" spans="2:11" x14ac:dyDescent="0.3">
      <c r="B334" s="10" t="s">
        <v>711</v>
      </c>
      <c r="C334" s="11" t="s">
        <v>67</v>
      </c>
      <c r="D334" s="12">
        <v>30</v>
      </c>
      <c r="E334" s="12">
        <v>0</v>
      </c>
      <c r="F334" s="12">
        <v>30</v>
      </c>
      <c r="G334" s="13">
        <f>+VLOOKUP(Tabla11034534544554564794558687786951081171271362282372462723326026929731531634849449349952752837424322628293032333662[[#This Row],[ArtÃ­culo]],Tabla34[#All],3,0)</f>
        <v>12.5</v>
      </c>
      <c r="H334" s="14">
        <f>+Tabla11034534544554564794558687786951081171271362282372462723326026929731531634849449349952752837424322628293032333662[[#This Row],[Costo]]*Tabla11034534544554564794558687786951081171271362282372462723326026929731531634849449349952752837424322628293032333662[[#This Row],[Unidades]]</f>
        <v>375</v>
      </c>
    </row>
    <row r="335" spans="2:11" x14ac:dyDescent="0.3">
      <c r="B335" s="10" t="s">
        <v>722</v>
      </c>
      <c r="C335" s="11" t="s">
        <v>67</v>
      </c>
      <c r="D335" s="12">
        <v>5</v>
      </c>
      <c r="E335" s="12">
        <v>0</v>
      </c>
      <c r="F335" s="12">
        <v>5</v>
      </c>
      <c r="G335" s="13">
        <f>+VLOOKUP(Tabla11034534544554564794558687786951081171271362282372462723326026929731531634849449349952752837424322628293032333662[[#This Row],[ArtÃ­culo]],Tabla34[#All],3,0)</f>
        <v>6.25</v>
      </c>
      <c r="H335" s="14">
        <f>+Tabla11034534544554564794558687786951081171271362282372462723326026929731531634849449349952752837424322628293032333662[[#This Row],[Costo]]*Tabla11034534544554564794558687786951081171271362282372462723326026929731531634849449349952752837424322628293032333662[[#This Row],[Unidades]]</f>
        <v>31.25</v>
      </c>
    </row>
    <row r="336" spans="2:11" x14ac:dyDescent="0.3">
      <c r="B336" s="10" t="s">
        <v>1080</v>
      </c>
      <c r="C336" s="11" t="s">
        <v>67</v>
      </c>
      <c r="D336" s="12">
        <v>8</v>
      </c>
      <c r="E336" s="12">
        <v>0</v>
      </c>
      <c r="F336" s="12">
        <v>8</v>
      </c>
      <c r="G336" s="13">
        <f>+VLOOKUP(Tabla11034534544554564794558687786951081171271362282372462723326026929731531634849449349952752837424322628293032333662[[#This Row],[ArtÃ­culo]],Tabla34[#All],3,0)</f>
        <v>0</v>
      </c>
      <c r="H336" s="14">
        <f>+Tabla11034534544554564794558687786951081171271362282372462723326026929731531634849449349952752837424322628293032333662[[#This Row],[Costo]]*Tabla11034534544554564794558687786951081171271362282372462723326026929731531634849449349952752837424322628293032333662[[#This Row],[Unidades]]</f>
        <v>0</v>
      </c>
    </row>
    <row r="337" spans="2:8" x14ac:dyDescent="0.3">
      <c r="B337" s="10" t="s">
        <v>923</v>
      </c>
      <c r="C337" s="11" t="s">
        <v>67</v>
      </c>
      <c r="D337" s="12">
        <v>6</v>
      </c>
      <c r="E337" s="12">
        <v>0</v>
      </c>
      <c r="F337" s="12">
        <v>6</v>
      </c>
      <c r="G337" s="13">
        <f>+VLOOKUP(Tabla11034534544554564794558687786951081171271362282372462723326026929731531634849449349952752837424322628293032333662[[#This Row],[ArtÃ­culo]],Tabla34[#All],3,0)</f>
        <v>25</v>
      </c>
      <c r="H337" s="14">
        <f>+Tabla11034534544554564794558687786951081171271362282372462723326026929731531634849449349952752837424322628293032333662[[#This Row],[Costo]]*Tabla11034534544554564794558687786951081171271362282372462723326026929731531634849449349952752837424322628293032333662[[#This Row],[Unidades]]</f>
        <v>150</v>
      </c>
    </row>
    <row r="338" spans="2:8" x14ac:dyDescent="0.3">
      <c r="B338" s="10" t="s">
        <v>1111</v>
      </c>
      <c r="C338" s="11" t="s">
        <v>847</v>
      </c>
      <c r="D338" s="12">
        <v>1</v>
      </c>
      <c r="E338" s="12">
        <v>0</v>
      </c>
      <c r="F338" s="12">
        <v>1</v>
      </c>
      <c r="G338" s="13">
        <f>+VLOOKUP(Tabla11034534544554564794558687786951081171271362282372462723326026929731531634849449349952752837424322628293032333662[[#This Row],[ArtÃ­culo]],Tabla34[#All],3,0)</f>
        <v>0</v>
      </c>
      <c r="H338" s="14">
        <f>+Tabla11034534544554564794558687786951081171271362282372462723326026929731531634849449349952752837424322628293032333662[[#This Row],[Costo]]*Tabla11034534544554564794558687786951081171271362282372462723326026929731531634849449349952752837424322628293032333662[[#This Row],[Unidades]]</f>
        <v>0</v>
      </c>
    </row>
    <row r="339" spans="2:8" x14ac:dyDescent="0.3">
      <c r="B339" s="10" t="s">
        <v>819</v>
      </c>
      <c r="C339" s="11" t="s">
        <v>67</v>
      </c>
      <c r="D339" s="12">
        <v>8</v>
      </c>
      <c r="E339" s="12">
        <v>0</v>
      </c>
      <c r="F339" s="12">
        <v>8</v>
      </c>
      <c r="G339" s="13">
        <f>+VLOOKUP(Tabla11034534544554564794558687786951081171271362282372462723326026929731531634849449349952752837424322628293032333662[[#This Row],[ArtÃ­culo]],Tabla34[#All],3,0)</f>
        <v>21.363943110000001</v>
      </c>
      <c r="H339" s="14">
        <f>+Tabla11034534544554564794558687786951081171271362282372462723326026929731531634849449349952752837424322628293032333662[[#This Row],[Costo]]*Tabla11034534544554564794558687786951081171271362282372462723326026929731531634849449349952752837424322628293032333662[[#This Row],[Unidades]]</f>
        <v>170.91154488000001</v>
      </c>
    </row>
    <row r="340" spans="2:8" x14ac:dyDescent="0.3">
      <c r="B340" s="16"/>
      <c r="C340" s="17"/>
      <c r="D340" s="17"/>
      <c r="E340" s="17"/>
      <c r="F340" s="17"/>
      <c r="G340" s="18"/>
      <c r="H340" s="18" t="e">
        <f>SUBTOTAL(109,Tabla11034534544554564794558687786951081171271362282372462723326026929731531634849449349952752837424322628293032333662[Total costo])</f>
        <v>#N/A</v>
      </c>
    </row>
  </sheetData>
  <mergeCells count="18">
    <mergeCell ref="J280:K280"/>
    <mergeCell ref="J301:K301"/>
    <mergeCell ref="J322:K322"/>
    <mergeCell ref="J177:K177"/>
    <mergeCell ref="J198:K198"/>
    <mergeCell ref="J220:K220"/>
    <mergeCell ref="J240:K240"/>
    <mergeCell ref="J260:K260"/>
    <mergeCell ref="J153:K153"/>
    <mergeCell ref="J7:K7"/>
    <mergeCell ref="J19:K19"/>
    <mergeCell ref="J31:K31"/>
    <mergeCell ref="J106:K106"/>
    <mergeCell ref="J130:K130"/>
    <mergeCell ref="J82:K82"/>
    <mergeCell ref="J70:K70"/>
    <mergeCell ref="J44:K44"/>
    <mergeCell ref="J57:K57"/>
  </mergeCells>
  <phoneticPr fontId="16" type="noConversion"/>
  <conditionalFormatting sqref="K14">
    <cfRule type="cellIs" dxfId="2487" priority="41" operator="lessThan">
      <formula>0.3</formula>
    </cfRule>
    <cfRule type="cellIs" dxfId="2486" priority="42" operator="greaterThan">
      <formula>0.3</formula>
    </cfRule>
  </conditionalFormatting>
  <conditionalFormatting sqref="K26">
    <cfRule type="cellIs" dxfId="2485" priority="39" operator="lessThan">
      <formula>0.3</formula>
    </cfRule>
    <cfRule type="cellIs" dxfId="2484" priority="40" operator="greaterThan">
      <formula>0.3</formula>
    </cfRule>
  </conditionalFormatting>
  <conditionalFormatting sqref="K38">
    <cfRule type="cellIs" dxfId="2483" priority="35" operator="lessThan">
      <formula>0.3</formula>
    </cfRule>
    <cfRule type="cellIs" dxfId="2482" priority="36" operator="greaterThan">
      <formula>0.3</formula>
    </cfRule>
  </conditionalFormatting>
  <conditionalFormatting sqref="K51">
    <cfRule type="cellIs" dxfId="2481" priority="33" operator="lessThan">
      <formula>0.3</formula>
    </cfRule>
    <cfRule type="cellIs" dxfId="2480" priority="34" operator="greaterThan">
      <formula>0.3</formula>
    </cfRule>
  </conditionalFormatting>
  <conditionalFormatting sqref="K64">
    <cfRule type="cellIs" dxfId="2479" priority="31" operator="lessThan">
      <formula>0.3</formula>
    </cfRule>
    <cfRule type="cellIs" dxfId="2478" priority="32" operator="greaterThan">
      <formula>0.3</formula>
    </cfRule>
  </conditionalFormatting>
  <conditionalFormatting sqref="K77">
    <cfRule type="cellIs" dxfId="2477" priority="25" operator="lessThan">
      <formula>0.3</formula>
    </cfRule>
    <cfRule type="cellIs" dxfId="2476" priority="26" operator="greaterThan">
      <formula>0.3</formula>
    </cfRule>
  </conditionalFormatting>
  <conditionalFormatting sqref="K89">
    <cfRule type="cellIs" dxfId="2475" priority="23" operator="lessThan">
      <formula>0.3</formula>
    </cfRule>
    <cfRule type="cellIs" dxfId="2474" priority="24" operator="greaterThan">
      <formula>0.3</formula>
    </cfRule>
  </conditionalFormatting>
  <conditionalFormatting sqref="K113">
    <cfRule type="cellIs" dxfId="2473" priority="21" operator="lessThan">
      <formula>0.3</formula>
    </cfRule>
    <cfRule type="cellIs" dxfId="2472" priority="22" operator="greaterThan">
      <formula>0.3</formula>
    </cfRule>
  </conditionalFormatting>
  <conditionalFormatting sqref="K137">
    <cfRule type="cellIs" dxfId="2471" priority="19" operator="lessThan">
      <formula>0.3</formula>
    </cfRule>
    <cfRule type="cellIs" dxfId="2470" priority="20" operator="greaterThan">
      <formula>0.3</formula>
    </cfRule>
  </conditionalFormatting>
  <conditionalFormatting sqref="K160">
    <cfRule type="cellIs" dxfId="2469" priority="17" operator="lessThan">
      <formula>0.3</formula>
    </cfRule>
    <cfRule type="cellIs" dxfId="2468" priority="18" operator="greaterThan">
      <formula>0.3</formula>
    </cfRule>
  </conditionalFormatting>
  <conditionalFormatting sqref="K184">
    <cfRule type="cellIs" dxfId="2467" priority="15" operator="lessThan">
      <formula>0.3</formula>
    </cfRule>
    <cfRule type="cellIs" dxfId="2466" priority="16" operator="greaterThan">
      <formula>0.3</formula>
    </cfRule>
  </conditionalFormatting>
  <conditionalFormatting sqref="K205">
    <cfRule type="cellIs" dxfId="2465" priority="13" operator="lessThan">
      <formula>0.3</formula>
    </cfRule>
    <cfRule type="cellIs" dxfId="2464" priority="14" operator="greaterThan">
      <formula>0.3</formula>
    </cfRule>
  </conditionalFormatting>
  <conditionalFormatting sqref="K227">
    <cfRule type="cellIs" dxfId="2463" priority="11" operator="lessThan">
      <formula>0.3</formula>
    </cfRule>
    <cfRule type="cellIs" dxfId="2462" priority="12" operator="greaterThan">
      <formula>0.3</formula>
    </cfRule>
  </conditionalFormatting>
  <conditionalFormatting sqref="K247">
    <cfRule type="cellIs" dxfId="2461" priority="9" operator="lessThan">
      <formula>0.3</formula>
    </cfRule>
    <cfRule type="cellIs" dxfId="2460" priority="10" operator="greaterThan">
      <formula>0.3</formula>
    </cfRule>
  </conditionalFormatting>
  <conditionalFormatting sqref="K267">
    <cfRule type="cellIs" dxfId="2459" priority="7" operator="lessThan">
      <formula>0.3</formula>
    </cfRule>
    <cfRule type="cellIs" dxfId="2458" priority="8" operator="greaterThan">
      <formula>0.3</formula>
    </cfRule>
  </conditionalFormatting>
  <conditionalFormatting sqref="K287">
    <cfRule type="cellIs" dxfId="2457" priority="5" operator="lessThan">
      <formula>0.3</formula>
    </cfRule>
    <cfRule type="cellIs" dxfId="2456" priority="6" operator="greaterThan">
      <formula>0.3</formula>
    </cfRule>
  </conditionalFormatting>
  <conditionalFormatting sqref="K308">
    <cfRule type="cellIs" dxfId="2455" priority="3" operator="lessThan">
      <formula>0.3</formula>
    </cfRule>
    <cfRule type="cellIs" dxfId="2454" priority="4" operator="greaterThan">
      <formula>0.3</formula>
    </cfRule>
  </conditionalFormatting>
  <conditionalFormatting sqref="K329">
    <cfRule type="cellIs" dxfId="2453" priority="1" operator="lessThan">
      <formula>0.3</formula>
    </cfRule>
    <cfRule type="cellIs" dxfId="2452" priority="2" operator="greaterThan">
      <formula>0.3</formula>
    </cfRule>
  </conditionalFormatting>
  <pageMargins left="0.7" right="0.7" top="0.75" bottom="0.75" header="0.3" footer="0.3"/>
  <pageSetup orientation="portrait" horizontalDpi="360" verticalDpi="360" r:id="rId1"/>
  <drawing r:id="rId2"/>
  <tableParts count="3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74CC-B27B-4559-914D-2A25FEA564D5}">
  <sheetPr>
    <tabColor theme="4" tint="0.39997558519241921"/>
  </sheetPr>
  <dimension ref="A1:C1067"/>
  <sheetViews>
    <sheetView showGridLines="0" zoomScaleNormal="100" workbookViewId="0">
      <pane ySplit="1" topLeftCell="A2" activePane="bottomLeft" state="frozen"/>
      <selection pane="bottomLeft" activeCell="C427" sqref="C427"/>
    </sheetView>
  </sheetViews>
  <sheetFormatPr baseColWidth="10" defaultColWidth="11.5546875" defaultRowHeight="13.2" x14ac:dyDescent="0.25"/>
  <cols>
    <col min="1" max="1" width="42.21875" style="50" customWidth="1"/>
    <col min="2" max="2" width="17" style="50" customWidth="1"/>
    <col min="3" max="3" width="15.88671875" style="70" customWidth="1"/>
    <col min="4" max="16384" width="11.5546875" style="50"/>
  </cols>
  <sheetData>
    <row r="1" spans="1:3" ht="47.25" customHeight="1" x14ac:dyDescent="0.25">
      <c r="A1" s="58" t="s">
        <v>10</v>
      </c>
      <c r="B1" s="58" t="s">
        <v>9</v>
      </c>
      <c r="C1" s="59" t="s">
        <v>8</v>
      </c>
    </row>
    <row r="2" spans="1:3" hidden="1" x14ac:dyDescent="0.25">
      <c r="A2" s="60" t="s">
        <v>980</v>
      </c>
      <c r="B2" s="61" t="s">
        <v>615</v>
      </c>
      <c r="C2" s="62">
        <v>0</v>
      </c>
    </row>
    <row r="3" spans="1:3" hidden="1" x14ac:dyDescent="0.25">
      <c r="A3" s="60" t="s">
        <v>173</v>
      </c>
      <c r="B3" s="61" t="s">
        <v>615</v>
      </c>
      <c r="C3" s="62">
        <v>4185</v>
      </c>
    </row>
    <row r="4" spans="1:3" hidden="1" x14ac:dyDescent="0.25">
      <c r="A4" s="60" t="s">
        <v>174</v>
      </c>
      <c r="B4" s="61" t="s">
        <v>608</v>
      </c>
      <c r="C4" s="62">
        <v>84.475308639999994</v>
      </c>
    </row>
    <row r="5" spans="1:3" hidden="1" x14ac:dyDescent="0.25">
      <c r="A5" s="60" t="s">
        <v>966</v>
      </c>
      <c r="B5" s="61" t="s">
        <v>608</v>
      </c>
      <c r="C5" s="62">
        <v>0</v>
      </c>
    </row>
    <row r="6" spans="1:3" hidden="1" x14ac:dyDescent="0.25">
      <c r="A6" s="61" t="s">
        <v>92</v>
      </c>
      <c r="B6" s="61" t="s">
        <v>608</v>
      </c>
      <c r="C6" s="62">
        <v>18.859000000000002</v>
      </c>
    </row>
    <row r="7" spans="1:3" hidden="1" x14ac:dyDescent="0.25">
      <c r="A7" s="61" t="s">
        <v>170</v>
      </c>
      <c r="B7" s="61" t="s">
        <v>608</v>
      </c>
      <c r="C7" s="62">
        <v>131.40016807000001</v>
      </c>
    </row>
    <row r="8" spans="1:3" hidden="1" x14ac:dyDescent="0.25">
      <c r="A8" s="61" t="s">
        <v>313</v>
      </c>
      <c r="B8" s="61" t="s">
        <v>608</v>
      </c>
      <c r="C8" s="62">
        <v>7.6838499999999996</v>
      </c>
    </row>
    <row r="9" spans="1:3" hidden="1" x14ac:dyDescent="0.25">
      <c r="A9" s="61" t="s">
        <v>1151</v>
      </c>
      <c r="B9" s="61" t="s">
        <v>608</v>
      </c>
      <c r="C9" s="62">
        <v>56</v>
      </c>
    </row>
    <row r="10" spans="1:3" ht="15.75" hidden="1" customHeight="1" x14ac:dyDescent="0.25">
      <c r="A10" s="60" t="s">
        <v>806</v>
      </c>
      <c r="B10" s="61" t="s">
        <v>608</v>
      </c>
      <c r="C10" s="62">
        <v>19.77619748</v>
      </c>
    </row>
    <row r="11" spans="1:3" hidden="1" x14ac:dyDescent="0.25">
      <c r="A11" s="61" t="s">
        <v>175</v>
      </c>
      <c r="B11" s="61" t="s">
        <v>612</v>
      </c>
      <c r="C11" s="62">
        <v>7330</v>
      </c>
    </row>
    <row r="12" spans="1:3" hidden="1" x14ac:dyDescent="0.25">
      <c r="A12" s="61" t="s">
        <v>851</v>
      </c>
      <c r="B12" s="61" t="s">
        <v>608</v>
      </c>
      <c r="C12" s="62">
        <v>0</v>
      </c>
    </row>
    <row r="13" spans="1:3" hidden="1" x14ac:dyDescent="0.25">
      <c r="A13" s="61" t="s">
        <v>1152</v>
      </c>
      <c r="B13" s="61" t="s">
        <v>612</v>
      </c>
      <c r="C13" s="62">
        <v>0</v>
      </c>
    </row>
    <row r="14" spans="1:3" hidden="1" x14ac:dyDescent="0.25">
      <c r="A14" s="61" t="s">
        <v>176</v>
      </c>
      <c r="B14" s="61" t="s">
        <v>612</v>
      </c>
      <c r="C14" s="62">
        <v>7857</v>
      </c>
    </row>
    <row r="15" spans="1:3" ht="15.75" hidden="1" customHeight="1" x14ac:dyDescent="0.25">
      <c r="A15" s="60" t="s">
        <v>177</v>
      </c>
      <c r="B15" s="61" t="s">
        <v>612</v>
      </c>
      <c r="C15" s="62">
        <v>5132.75</v>
      </c>
    </row>
    <row r="16" spans="1:3" hidden="1" x14ac:dyDescent="0.25">
      <c r="A16" s="61" t="s">
        <v>683</v>
      </c>
      <c r="B16" s="61" t="s">
        <v>608</v>
      </c>
      <c r="C16" s="62">
        <v>8.5</v>
      </c>
    </row>
    <row r="17" spans="1:3" hidden="1" x14ac:dyDescent="0.25">
      <c r="A17" s="61" t="s">
        <v>694</v>
      </c>
      <c r="B17" s="61" t="s">
        <v>612</v>
      </c>
      <c r="C17" s="62">
        <v>24402.1</v>
      </c>
    </row>
    <row r="18" spans="1:3" hidden="1" x14ac:dyDescent="0.25">
      <c r="A18" s="61" t="s">
        <v>955</v>
      </c>
      <c r="B18" s="61" t="s">
        <v>615</v>
      </c>
      <c r="C18" s="62">
        <v>1898.20833333</v>
      </c>
    </row>
    <row r="19" spans="1:3" hidden="1" x14ac:dyDescent="0.25">
      <c r="A19" s="61" t="s">
        <v>658</v>
      </c>
      <c r="B19" s="61" t="s">
        <v>612</v>
      </c>
      <c r="C19" s="62">
        <v>22770</v>
      </c>
    </row>
    <row r="20" spans="1:3" hidden="1" x14ac:dyDescent="0.25">
      <c r="A20" s="61" t="s">
        <v>965</v>
      </c>
      <c r="B20" s="61" t="s">
        <v>615</v>
      </c>
      <c r="C20" s="62">
        <v>1729.16666667</v>
      </c>
    </row>
    <row r="21" spans="1:3" hidden="1" x14ac:dyDescent="0.25">
      <c r="A21" s="61" t="s">
        <v>686</v>
      </c>
      <c r="B21" s="61" t="s">
        <v>612</v>
      </c>
      <c r="C21" s="62">
        <v>21480</v>
      </c>
    </row>
    <row r="22" spans="1:3" hidden="1" x14ac:dyDescent="0.25">
      <c r="A22" s="61" t="s">
        <v>1006</v>
      </c>
      <c r="B22" s="61" t="s">
        <v>615</v>
      </c>
      <c r="C22" s="62">
        <v>1658.625</v>
      </c>
    </row>
    <row r="23" spans="1:3" hidden="1" x14ac:dyDescent="0.25">
      <c r="A23" s="60" t="s">
        <v>178</v>
      </c>
      <c r="B23" s="61" t="s">
        <v>608</v>
      </c>
      <c r="C23" s="62">
        <v>10.5</v>
      </c>
    </row>
    <row r="24" spans="1:3" hidden="1" x14ac:dyDescent="0.25">
      <c r="A24" s="61" t="s">
        <v>657</v>
      </c>
      <c r="B24" s="61" t="s">
        <v>608</v>
      </c>
      <c r="C24" s="62">
        <v>18</v>
      </c>
    </row>
    <row r="25" spans="1:3" hidden="1" x14ac:dyDescent="0.25">
      <c r="A25" s="60" t="s">
        <v>761</v>
      </c>
      <c r="B25" s="61" t="s">
        <v>608</v>
      </c>
      <c r="C25" s="62">
        <v>0</v>
      </c>
    </row>
    <row r="26" spans="1:3" hidden="1" x14ac:dyDescent="0.25">
      <c r="A26" s="61" t="s">
        <v>828</v>
      </c>
      <c r="B26" s="61" t="s">
        <v>608</v>
      </c>
      <c r="C26" s="62">
        <v>9.8000000000000007</v>
      </c>
    </row>
    <row r="27" spans="1:3" hidden="1" x14ac:dyDescent="0.25">
      <c r="A27" s="60" t="s">
        <v>1153</v>
      </c>
      <c r="B27" s="61" t="s">
        <v>608</v>
      </c>
      <c r="C27" s="62">
        <v>0</v>
      </c>
    </row>
    <row r="28" spans="1:3" hidden="1" x14ac:dyDescent="0.25">
      <c r="A28" s="60" t="s">
        <v>726</v>
      </c>
      <c r="B28" s="61" t="s">
        <v>608</v>
      </c>
      <c r="C28" s="62">
        <v>18</v>
      </c>
    </row>
    <row r="29" spans="1:3" hidden="1" x14ac:dyDescent="0.25">
      <c r="A29" s="60" t="s">
        <v>450</v>
      </c>
      <c r="B29" s="61" t="s">
        <v>608</v>
      </c>
      <c r="C29" s="62">
        <v>13.40129132</v>
      </c>
    </row>
    <row r="30" spans="1:3" hidden="1" x14ac:dyDescent="0.25">
      <c r="A30" s="60" t="s">
        <v>824</v>
      </c>
      <c r="B30" s="61" t="s">
        <v>608</v>
      </c>
      <c r="C30" s="62">
        <v>19</v>
      </c>
    </row>
    <row r="31" spans="1:3" ht="15.75" hidden="1" customHeight="1" x14ac:dyDescent="0.25">
      <c r="A31" s="61" t="s">
        <v>888</v>
      </c>
      <c r="B31" s="61" t="s">
        <v>608</v>
      </c>
      <c r="C31" s="62">
        <v>20.9</v>
      </c>
    </row>
    <row r="32" spans="1:3" ht="15.75" hidden="1" customHeight="1" x14ac:dyDescent="0.25">
      <c r="A32" s="60" t="s">
        <v>1091</v>
      </c>
      <c r="B32" s="61" t="s">
        <v>608</v>
      </c>
      <c r="C32" s="62">
        <v>73.78</v>
      </c>
    </row>
    <row r="33" spans="1:3" hidden="1" x14ac:dyDescent="0.25">
      <c r="A33" s="60" t="s">
        <v>1016</v>
      </c>
      <c r="B33" s="61" t="s">
        <v>612</v>
      </c>
      <c r="C33" s="62">
        <v>0</v>
      </c>
    </row>
    <row r="34" spans="1:3" hidden="1" x14ac:dyDescent="0.25">
      <c r="A34" s="60" t="s">
        <v>953</v>
      </c>
      <c r="B34" s="61" t="s">
        <v>612</v>
      </c>
      <c r="C34" s="62">
        <v>0</v>
      </c>
    </row>
    <row r="35" spans="1:3" hidden="1" x14ac:dyDescent="0.25">
      <c r="A35" s="60" t="s">
        <v>611</v>
      </c>
      <c r="B35" s="61" t="s">
        <v>612</v>
      </c>
      <c r="C35" s="62">
        <v>0</v>
      </c>
    </row>
    <row r="36" spans="1:3" hidden="1" x14ac:dyDescent="0.25">
      <c r="A36" s="61" t="s">
        <v>604</v>
      </c>
      <c r="B36" s="61" t="s">
        <v>608</v>
      </c>
      <c r="C36" s="62">
        <v>14</v>
      </c>
    </row>
    <row r="37" spans="1:3" hidden="1" x14ac:dyDescent="0.25">
      <c r="A37" s="63" t="s">
        <v>1004</v>
      </c>
      <c r="B37" s="61" t="s">
        <v>608</v>
      </c>
      <c r="C37" s="62">
        <v>27.146000000000001</v>
      </c>
    </row>
    <row r="38" spans="1:3" hidden="1" x14ac:dyDescent="0.25">
      <c r="A38" s="61" t="s">
        <v>740</v>
      </c>
      <c r="B38" s="61" t="s">
        <v>608</v>
      </c>
      <c r="C38" s="62">
        <v>6.5125999999999999</v>
      </c>
    </row>
    <row r="39" spans="1:3" hidden="1" x14ac:dyDescent="0.25">
      <c r="A39" s="60" t="s">
        <v>1154</v>
      </c>
      <c r="B39" s="61" t="s">
        <v>883</v>
      </c>
      <c r="C39" s="62">
        <v>28000</v>
      </c>
    </row>
    <row r="40" spans="1:3" hidden="1" x14ac:dyDescent="0.25">
      <c r="A40" s="60" t="s">
        <v>179</v>
      </c>
      <c r="B40" s="61" t="s">
        <v>608</v>
      </c>
      <c r="C40" s="62">
        <v>173.386</v>
      </c>
    </row>
    <row r="41" spans="1:3" hidden="1" x14ac:dyDescent="0.25">
      <c r="A41" s="61" t="s">
        <v>303</v>
      </c>
      <c r="B41" s="61" t="s">
        <v>608</v>
      </c>
      <c r="C41" s="62">
        <v>12.150080000000001</v>
      </c>
    </row>
    <row r="42" spans="1:3" hidden="1" x14ac:dyDescent="0.25">
      <c r="A42" s="61" t="s">
        <v>582</v>
      </c>
      <c r="B42" s="61" t="s">
        <v>615</v>
      </c>
      <c r="C42" s="62">
        <v>6045</v>
      </c>
    </row>
    <row r="43" spans="1:3" hidden="1" x14ac:dyDescent="0.25">
      <c r="A43" s="60" t="s">
        <v>795</v>
      </c>
      <c r="B43" s="61" t="s">
        <v>608</v>
      </c>
      <c r="C43" s="62">
        <v>0</v>
      </c>
    </row>
    <row r="44" spans="1:3" hidden="1" x14ac:dyDescent="0.25">
      <c r="A44" s="61" t="s">
        <v>825</v>
      </c>
      <c r="B44" s="61" t="s">
        <v>615</v>
      </c>
      <c r="C44" s="62">
        <v>3704.75</v>
      </c>
    </row>
    <row r="45" spans="1:3" hidden="1" x14ac:dyDescent="0.25">
      <c r="A45" s="61" t="s">
        <v>736</v>
      </c>
      <c r="B45" s="61" t="s">
        <v>608</v>
      </c>
      <c r="C45" s="62">
        <v>2.2999999999999998</v>
      </c>
    </row>
    <row r="46" spans="1:3" hidden="1" x14ac:dyDescent="0.25">
      <c r="A46" s="61" t="s">
        <v>1155</v>
      </c>
      <c r="B46" s="61" t="s">
        <v>883</v>
      </c>
      <c r="C46" s="62">
        <v>40084.199999999997</v>
      </c>
    </row>
    <row r="47" spans="1:3" hidden="1" x14ac:dyDescent="0.25">
      <c r="A47" s="60" t="s">
        <v>734</v>
      </c>
      <c r="B47" s="61" t="s">
        <v>608</v>
      </c>
      <c r="C47" s="62">
        <v>60</v>
      </c>
    </row>
    <row r="48" spans="1:3" hidden="1" x14ac:dyDescent="0.25">
      <c r="A48" s="60" t="s">
        <v>648</v>
      </c>
      <c r="B48" s="61" t="s">
        <v>608</v>
      </c>
      <c r="C48" s="62">
        <v>10.890823879999999</v>
      </c>
    </row>
    <row r="49" spans="1:3" hidden="1" x14ac:dyDescent="0.25">
      <c r="A49" s="61" t="s">
        <v>108</v>
      </c>
      <c r="B49" s="61" t="s">
        <v>608</v>
      </c>
      <c r="C49" s="62">
        <v>202.10400000000001</v>
      </c>
    </row>
    <row r="50" spans="1:3" hidden="1" x14ac:dyDescent="0.25">
      <c r="A50" s="60" t="s">
        <v>1156</v>
      </c>
      <c r="B50" s="61" t="s">
        <v>612</v>
      </c>
      <c r="C50" s="62">
        <v>0</v>
      </c>
    </row>
    <row r="51" spans="1:3" hidden="1" x14ac:dyDescent="0.25">
      <c r="A51" s="61" t="s">
        <v>301</v>
      </c>
      <c r="B51" s="61" t="s">
        <v>608</v>
      </c>
      <c r="C51" s="62">
        <v>10.616</v>
      </c>
    </row>
    <row r="52" spans="1:3" hidden="1" x14ac:dyDescent="0.25">
      <c r="A52" s="60" t="s">
        <v>98</v>
      </c>
      <c r="B52" s="61" t="s">
        <v>608</v>
      </c>
      <c r="C52" s="62">
        <v>0</v>
      </c>
    </row>
    <row r="53" spans="1:3" hidden="1" x14ac:dyDescent="0.25">
      <c r="A53" s="61" t="s">
        <v>689</v>
      </c>
      <c r="B53" s="61" t="s">
        <v>608</v>
      </c>
      <c r="C53" s="62">
        <v>22</v>
      </c>
    </row>
    <row r="54" spans="1:3" hidden="1" x14ac:dyDescent="0.25">
      <c r="A54" s="61" t="s">
        <v>1049</v>
      </c>
      <c r="B54" s="61" t="s">
        <v>608</v>
      </c>
      <c r="C54" s="62">
        <v>0</v>
      </c>
    </row>
    <row r="55" spans="1:3" hidden="1" x14ac:dyDescent="0.25">
      <c r="A55" s="60" t="s">
        <v>684</v>
      </c>
      <c r="B55" s="61" t="s">
        <v>612</v>
      </c>
      <c r="C55" s="62">
        <v>7895</v>
      </c>
    </row>
    <row r="56" spans="1:3" hidden="1" x14ac:dyDescent="0.25">
      <c r="A56" s="64" t="s">
        <v>85</v>
      </c>
      <c r="B56" s="61" t="s">
        <v>608</v>
      </c>
      <c r="C56" s="62">
        <v>4.8816666700000004</v>
      </c>
    </row>
    <row r="57" spans="1:3" ht="15.75" hidden="1" customHeight="1" x14ac:dyDescent="0.25">
      <c r="A57" s="60" t="s">
        <v>749</v>
      </c>
      <c r="B57" s="61" t="s">
        <v>608</v>
      </c>
      <c r="C57" s="62">
        <v>7.7007000000000003</v>
      </c>
    </row>
    <row r="58" spans="1:3" hidden="1" x14ac:dyDescent="0.25">
      <c r="A58" s="60" t="s">
        <v>180</v>
      </c>
      <c r="B58" s="61" t="s">
        <v>612</v>
      </c>
      <c r="C58" s="62">
        <v>32.94</v>
      </c>
    </row>
    <row r="59" spans="1:3" ht="15.75" hidden="1" customHeight="1" x14ac:dyDescent="0.25">
      <c r="A59" s="60" t="s">
        <v>1157</v>
      </c>
      <c r="B59" s="61" t="s">
        <v>612</v>
      </c>
      <c r="C59" s="62">
        <v>2197</v>
      </c>
    </row>
    <row r="60" spans="1:3" hidden="1" x14ac:dyDescent="0.25">
      <c r="A60" s="61" t="s">
        <v>181</v>
      </c>
      <c r="B60" s="61" t="s">
        <v>615</v>
      </c>
      <c r="C60" s="62">
        <v>3066.28125</v>
      </c>
    </row>
    <row r="61" spans="1:3" hidden="1" x14ac:dyDescent="0.25">
      <c r="A61" s="61" t="s">
        <v>1158</v>
      </c>
      <c r="B61" s="61" t="s">
        <v>883</v>
      </c>
      <c r="C61" s="62">
        <v>13692.722689</v>
      </c>
    </row>
    <row r="62" spans="1:3" hidden="1" x14ac:dyDescent="0.25">
      <c r="A62" s="61" t="s">
        <v>725</v>
      </c>
      <c r="B62" s="61" t="s">
        <v>608</v>
      </c>
      <c r="C62" s="62">
        <v>2.5</v>
      </c>
    </row>
    <row r="63" spans="1:3" hidden="1" x14ac:dyDescent="0.25">
      <c r="A63" s="61" t="s">
        <v>963</v>
      </c>
      <c r="B63" s="61" t="s">
        <v>608</v>
      </c>
      <c r="C63" s="62">
        <v>0</v>
      </c>
    </row>
    <row r="64" spans="1:3" hidden="1" x14ac:dyDescent="0.25">
      <c r="A64" s="61" t="s">
        <v>722</v>
      </c>
      <c r="B64" s="61" t="s">
        <v>608</v>
      </c>
      <c r="C64" s="62">
        <v>6.25</v>
      </c>
    </row>
    <row r="65" spans="1:3" hidden="1" x14ac:dyDescent="0.25">
      <c r="A65" s="61" t="s">
        <v>1159</v>
      </c>
      <c r="B65" s="61" t="s">
        <v>612</v>
      </c>
      <c r="C65" s="62">
        <v>152320</v>
      </c>
    </row>
    <row r="66" spans="1:3" ht="15.75" hidden="1" customHeight="1" x14ac:dyDescent="0.25">
      <c r="A66" s="61" t="s">
        <v>182</v>
      </c>
      <c r="B66" s="61" t="s">
        <v>608</v>
      </c>
      <c r="C66" s="62">
        <v>11.78</v>
      </c>
    </row>
    <row r="67" spans="1:3" hidden="1" x14ac:dyDescent="0.25">
      <c r="A67" s="60" t="s">
        <v>1020</v>
      </c>
      <c r="B67" s="61" t="s">
        <v>608</v>
      </c>
      <c r="C67" s="62">
        <v>6.3</v>
      </c>
    </row>
    <row r="68" spans="1:3" ht="15.75" hidden="1" customHeight="1" x14ac:dyDescent="0.25">
      <c r="A68" s="61" t="s">
        <v>1111</v>
      </c>
      <c r="B68" s="61" t="s">
        <v>612</v>
      </c>
      <c r="C68" s="62">
        <v>0</v>
      </c>
    </row>
    <row r="69" spans="1:3" ht="15.75" hidden="1" customHeight="1" x14ac:dyDescent="0.25">
      <c r="A69" s="60" t="s">
        <v>1368</v>
      </c>
      <c r="B69" s="61" t="s">
        <v>608</v>
      </c>
      <c r="C69" s="62">
        <v>13.698</v>
      </c>
    </row>
    <row r="70" spans="1:3" hidden="1" x14ac:dyDescent="0.25">
      <c r="A70" s="60" t="s">
        <v>1160</v>
      </c>
      <c r="B70" s="61" t="s">
        <v>612</v>
      </c>
      <c r="C70" s="62">
        <v>0</v>
      </c>
    </row>
    <row r="71" spans="1:3" hidden="1" x14ac:dyDescent="0.25">
      <c r="A71" s="61" t="s">
        <v>1044</v>
      </c>
      <c r="B71" s="61" t="s">
        <v>612</v>
      </c>
      <c r="C71" s="62">
        <v>59500</v>
      </c>
    </row>
    <row r="72" spans="1:3" ht="15.75" hidden="1" customHeight="1" x14ac:dyDescent="0.25">
      <c r="A72" s="60" t="s">
        <v>1011</v>
      </c>
      <c r="B72" s="61" t="s">
        <v>612</v>
      </c>
      <c r="C72" s="62">
        <v>132.6</v>
      </c>
    </row>
    <row r="73" spans="1:3" hidden="1" x14ac:dyDescent="0.25">
      <c r="A73" s="61" t="s">
        <v>927</v>
      </c>
      <c r="B73" s="61" t="s">
        <v>612</v>
      </c>
      <c r="C73" s="62">
        <v>0</v>
      </c>
    </row>
    <row r="74" spans="1:3" hidden="1" x14ac:dyDescent="0.25">
      <c r="A74" s="60" t="s">
        <v>650</v>
      </c>
      <c r="B74" s="61" t="s">
        <v>612</v>
      </c>
      <c r="C74" s="62">
        <v>672.28</v>
      </c>
    </row>
    <row r="75" spans="1:3" hidden="1" x14ac:dyDescent="0.25">
      <c r="A75" s="61" t="s">
        <v>1161</v>
      </c>
      <c r="B75" s="61" t="s">
        <v>612</v>
      </c>
      <c r="C75" s="62">
        <v>0</v>
      </c>
    </row>
    <row r="76" spans="1:3" hidden="1" x14ac:dyDescent="0.25">
      <c r="A76" s="61" t="s">
        <v>1162</v>
      </c>
      <c r="B76" s="61" t="s">
        <v>612</v>
      </c>
      <c r="C76" s="62">
        <v>0</v>
      </c>
    </row>
    <row r="77" spans="1:3" hidden="1" x14ac:dyDescent="0.25">
      <c r="A77" s="60" t="s">
        <v>1163</v>
      </c>
      <c r="B77" s="61" t="s">
        <v>612</v>
      </c>
      <c r="C77" s="62">
        <v>0</v>
      </c>
    </row>
    <row r="78" spans="1:3" hidden="1" x14ac:dyDescent="0.25">
      <c r="A78" s="60" t="s">
        <v>614</v>
      </c>
      <c r="B78" s="61" t="s">
        <v>612</v>
      </c>
      <c r="C78" s="62">
        <v>80.566666670000004</v>
      </c>
    </row>
    <row r="79" spans="1:3" hidden="1" x14ac:dyDescent="0.25">
      <c r="A79" s="61" t="s">
        <v>1043</v>
      </c>
      <c r="B79" s="61" t="s">
        <v>612</v>
      </c>
      <c r="C79" s="62">
        <v>0</v>
      </c>
    </row>
    <row r="80" spans="1:3" hidden="1" x14ac:dyDescent="0.25">
      <c r="A80" s="61" t="s">
        <v>1052</v>
      </c>
      <c r="B80" s="61" t="s">
        <v>612</v>
      </c>
      <c r="C80" s="62">
        <v>0</v>
      </c>
    </row>
    <row r="81" spans="1:3" hidden="1" x14ac:dyDescent="0.25">
      <c r="A81" s="61" t="s">
        <v>718</v>
      </c>
      <c r="B81" s="61" t="s">
        <v>612</v>
      </c>
      <c r="C81" s="62">
        <v>0</v>
      </c>
    </row>
    <row r="82" spans="1:3" ht="16.5" hidden="1" customHeight="1" x14ac:dyDescent="0.25">
      <c r="A82" s="61" t="s">
        <v>1034</v>
      </c>
      <c r="B82" s="61" t="s">
        <v>612</v>
      </c>
      <c r="C82" s="62">
        <v>0</v>
      </c>
    </row>
    <row r="83" spans="1:3" ht="16.5" hidden="1" customHeight="1" x14ac:dyDescent="0.25">
      <c r="A83" s="61" t="s">
        <v>1039</v>
      </c>
      <c r="B83" s="61" t="s">
        <v>612</v>
      </c>
      <c r="C83" s="62">
        <v>0</v>
      </c>
    </row>
    <row r="84" spans="1:3" ht="16.5" hidden="1" customHeight="1" x14ac:dyDescent="0.25">
      <c r="A84" s="61" t="s">
        <v>1099</v>
      </c>
      <c r="B84" s="61" t="s">
        <v>612</v>
      </c>
      <c r="C84" s="62">
        <v>205.1</v>
      </c>
    </row>
    <row r="85" spans="1:3" ht="16.5" hidden="1" customHeight="1" x14ac:dyDescent="0.25">
      <c r="A85" s="61" t="s">
        <v>1164</v>
      </c>
      <c r="B85" s="61" t="s">
        <v>612</v>
      </c>
      <c r="C85" s="15">
        <v>0</v>
      </c>
    </row>
    <row r="86" spans="1:3" ht="16.5" hidden="1" customHeight="1" x14ac:dyDescent="0.25">
      <c r="A86" s="61" t="s">
        <v>642</v>
      </c>
      <c r="B86" s="61" t="s">
        <v>612</v>
      </c>
      <c r="C86" s="62">
        <v>747.89</v>
      </c>
    </row>
    <row r="87" spans="1:3" ht="16.5" hidden="1" customHeight="1" x14ac:dyDescent="0.25">
      <c r="A87" s="60" t="s">
        <v>1165</v>
      </c>
      <c r="B87" s="61" t="s">
        <v>612</v>
      </c>
      <c r="C87" s="62">
        <v>348.29199999999997</v>
      </c>
    </row>
    <row r="88" spans="1:3" ht="16.5" hidden="1" customHeight="1" x14ac:dyDescent="0.25">
      <c r="A88" s="61" t="s">
        <v>1047</v>
      </c>
      <c r="B88" s="61" t="s">
        <v>615</v>
      </c>
      <c r="C88" s="62">
        <v>0</v>
      </c>
    </row>
    <row r="89" spans="1:3" ht="16.5" hidden="1" customHeight="1" x14ac:dyDescent="0.25">
      <c r="A89" s="61" t="s">
        <v>758</v>
      </c>
      <c r="B89" s="61" t="s">
        <v>608</v>
      </c>
      <c r="C89" s="62">
        <v>1500</v>
      </c>
    </row>
    <row r="90" spans="1:3" ht="16.5" hidden="1" customHeight="1" x14ac:dyDescent="0.25">
      <c r="A90" s="61" t="s">
        <v>1166</v>
      </c>
      <c r="B90" s="61" t="s">
        <v>1167</v>
      </c>
      <c r="C90" s="62">
        <v>0</v>
      </c>
    </row>
    <row r="91" spans="1:3" ht="16.5" hidden="1" customHeight="1" x14ac:dyDescent="0.25">
      <c r="A91" s="61"/>
      <c r="B91" s="61" t="s">
        <v>612</v>
      </c>
      <c r="C91" s="62">
        <v>26500.91</v>
      </c>
    </row>
    <row r="92" spans="1:3" hidden="1" x14ac:dyDescent="0.25">
      <c r="A92" s="60" t="s">
        <v>982</v>
      </c>
      <c r="B92" s="61" t="s">
        <v>612</v>
      </c>
      <c r="C92" s="62">
        <v>0</v>
      </c>
    </row>
    <row r="93" spans="1:3" ht="16.5" hidden="1" customHeight="1" x14ac:dyDescent="0.25">
      <c r="A93" s="60" t="s">
        <v>728</v>
      </c>
      <c r="B93" s="61" t="s">
        <v>608</v>
      </c>
      <c r="C93" s="15">
        <v>4.5</v>
      </c>
    </row>
    <row r="94" spans="1:3" ht="16.5" hidden="1" customHeight="1" x14ac:dyDescent="0.25">
      <c r="A94" s="61" t="s">
        <v>833</v>
      </c>
      <c r="B94" s="61" t="s">
        <v>608</v>
      </c>
      <c r="C94" s="62">
        <v>307.5</v>
      </c>
    </row>
    <row r="95" spans="1:3" hidden="1" x14ac:dyDescent="0.25">
      <c r="A95" s="61" t="s">
        <v>617</v>
      </c>
      <c r="B95" s="61" t="s">
        <v>615</v>
      </c>
      <c r="C95" s="62">
        <v>16251</v>
      </c>
    </row>
    <row r="96" spans="1:3" hidden="1" x14ac:dyDescent="0.25">
      <c r="A96" s="60" t="s">
        <v>184</v>
      </c>
      <c r="B96" s="61" t="s">
        <v>612</v>
      </c>
      <c r="C96" s="62">
        <v>100385</v>
      </c>
    </row>
    <row r="97" spans="1:3" hidden="1" x14ac:dyDescent="0.25">
      <c r="A97" s="61" t="s">
        <v>299</v>
      </c>
      <c r="B97" s="61" t="s">
        <v>615</v>
      </c>
      <c r="C97" s="62">
        <v>7735</v>
      </c>
    </row>
    <row r="98" spans="1:3" hidden="1" x14ac:dyDescent="0.25">
      <c r="A98" s="61" t="s">
        <v>300</v>
      </c>
      <c r="B98" s="61" t="s">
        <v>615</v>
      </c>
      <c r="C98" s="62">
        <v>7784</v>
      </c>
    </row>
    <row r="99" spans="1:3" hidden="1" x14ac:dyDescent="0.25">
      <c r="A99" s="61" t="s">
        <v>117</v>
      </c>
      <c r="B99" s="61" t="s">
        <v>615</v>
      </c>
      <c r="C99" s="62">
        <v>6840</v>
      </c>
    </row>
    <row r="100" spans="1:3" hidden="1" x14ac:dyDescent="0.25">
      <c r="A100" s="61" t="s">
        <v>185</v>
      </c>
      <c r="B100" s="61" t="s">
        <v>615</v>
      </c>
      <c r="C100" s="62">
        <v>6245.5833333299997</v>
      </c>
    </row>
    <row r="101" spans="1:3" hidden="1" x14ac:dyDescent="0.25">
      <c r="A101" s="60" t="s">
        <v>939</v>
      </c>
      <c r="B101" s="61" t="s">
        <v>612</v>
      </c>
      <c r="C101" s="62">
        <v>8666.6666666700003</v>
      </c>
    </row>
    <row r="102" spans="1:3" hidden="1" x14ac:dyDescent="0.25">
      <c r="A102" s="60" t="s">
        <v>793</v>
      </c>
      <c r="B102" s="61" t="s">
        <v>608</v>
      </c>
      <c r="C102" s="62">
        <v>0</v>
      </c>
    </row>
    <row r="103" spans="1:3" hidden="1" x14ac:dyDescent="0.25">
      <c r="A103" s="61" t="s">
        <v>1053</v>
      </c>
      <c r="B103" s="61" t="s">
        <v>608</v>
      </c>
      <c r="C103" s="62">
        <v>0</v>
      </c>
    </row>
    <row r="104" spans="1:3" hidden="1" x14ac:dyDescent="0.25">
      <c r="A104" s="60" t="s">
        <v>900</v>
      </c>
      <c r="B104" s="61" t="s">
        <v>615</v>
      </c>
      <c r="C104" s="62">
        <v>1500</v>
      </c>
    </row>
    <row r="105" spans="1:3" hidden="1" x14ac:dyDescent="0.25">
      <c r="A105" s="61" t="s">
        <v>834</v>
      </c>
      <c r="B105" s="61" t="s">
        <v>608</v>
      </c>
      <c r="C105" s="62">
        <v>33.549999999999997</v>
      </c>
    </row>
    <row r="106" spans="1:3" hidden="1" x14ac:dyDescent="0.25">
      <c r="A106" s="60" t="s">
        <v>1068</v>
      </c>
      <c r="B106" s="61" t="s">
        <v>608</v>
      </c>
      <c r="C106" s="65">
        <v>8.2561999999999998</v>
      </c>
    </row>
    <row r="107" spans="1:3" hidden="1" x14ac:dyDescent="0.25">
      <c r="A107" s="61" t="s">
        <v>1137</v>
      </c>
      <c r="B107" s="61" t="s">
        <v>612</v>
      </c>
      <c r="C107" s="62">
        <v>1500</v>
      </c>
    </row>
    <row r="108" spans="1:3" hidden="1" x14ac:dyDescent="0.25">
      <c r="A108" s="60" t="s">
        <v>837</v>
      </c>
      <c r="B108" s="61" t="s">
        <v>612</v>
      </c>
      <c r="C108" s="65">
        <v>514.28</v>
      </c>
    </row>
    <row r="109" spans="1:3" hidden="1" x14ac:dyDescent="0.25">
      <c r="A109" s="61" t="s">
        <v>610</v>
      </c>
      <c r="B109" s="61" t="s">
        <v>608</v>
      </c>
      <c r="C109" s="62">
        <v>7.5</v>
      </c>
    </row>
    <row r="110" spans="1:3" hidden="1" x14ac:dyDescent="0.25">
      <c r="A110" s="61" t="s">
        <v>570</v>
      </c>
      <c r="B110" s="61" t="s">
        <v>615</v>
      </c>
      <c r="C110" s="62">
        <v>4089.5833333300002</v>
      </c>
    </row>
    <row r="111" spans="1:3" hidden="1" x14ac:dyDescent="0.25">
      <c r="A111" s="60" t="s">
        <v>186</v>
      </c>
      <c r="B111" s="61" t="s">
        <v>608</v>
      </c>
      <c r="C111" s="62">
        <v>233.07427392</v>
      </c>
    </row>
    <row r="112" spans="1:3" hidden="1" x14ac:dyDescent="0.25">
      <c r="A112" s="61" t="s">
        <v>783</v>
      </c>
      <c r="B112" s="61" t="s">
        <v>608</v>
      </c>
      <c r="C112" s="62">
        <v>57.990152889999997</v>
      </c>
    </row>
    <row r="113" spans="1:3" hidden="1" x14ac:dyDescent="0.25">
      <c r="A113" s="60" t="s">
        <v>962</v>
      </c>
      <c r="B113" s="60" t="s">
        <v>612</v>
      </c>
      <c r="C113" s="65">
        <v>3493.7</v>
      </c>
    </row>
    <row r="114" spans="1:3" hidden="1" x14ac:dyDescent="0.25">
      <c r="A114" s="61" t="s">
        <v>733</v>
      </c>
      <c r="B114" s="61" t="s">
        <v>608</v>
      </c>
      <c r="C114" s="62">
        <v>5</v>
      </c>
    </row>
    <row r="115" spans="1:3" hidden="1" x14ac:dyDescent="0.25">
      <c r="A115" s="60" t="s">
        <v>995</v>
      </c>
      <c r="B115" s="60" t="s">
        <v>608</v>
      </c>
      <c r="C115" s="65">
        <v>0</v>
      </c>
    </row>
    <row r="116" spans="1:3" hidden="1" x14ac:dyDescent="0.25">
      <c r="A116" s="61" t="s">
        <v>1069</v>
      </c>
      <c r="B116" s="61" t="s">
        <v>608</v>
      </c>
      <c r="C116" s="62">
        <v>57.12</v>
      </c>
    </row>
    <row r="117" spans="1:3" hidden="1" x14ac:dyDescent="0.25">
      <c r="A117" s="61" t="s">
        <v>1024</v>
      </c>
      <c r="B117" s="61" t="s">
        <v>608</v>
      </c>
      <c r="C117" s="62">
        <v>0</v>
      </c>
    </row>
    <row r="118" spans="1:3" hidden="1" x14ac:dyDescent="0.25">
      <c r="A118" s="60" t="s">
        <v>729</v>
      </c>
      <c r="B118" s="61" t="s">
        <v>608</v>
      </c>
      <c r="C118" s="62">
        <v>0</v>
      </c>
    </row>
    <row r="119" spans="1:3" hidden="1" x14ac:dyDescent="0.25">
      <c r="A119" s="61" t="s">
        <v>778</v>
      </c>
      <c r="B119" s="61" t="s">
        <v>612</v>
      </c>
      <c r="C119" s="62">
        <v>0</v>
      </c>
    </row>
    <row r="120" spans="1:3" hidden="1" x14ac:dyDescent="0.25">
      <c r="A120" s="61" t="s">
        <v>687</v>
      </c>
      <c r="B120" s="61" t="s">
        <v>608</v>
      </c>
      <c r="C120" s="62">
        <v>2.8</v>
      </c>
    </row>
    <row r="121" spans="1:3" hidden="1" x14ac:dyDescent="0.25">
      <c r="A121" s="61" t="s">
        <v>187</v>
      </c>
      <c r="B121" s="60" t="s">
        <v>608</v>
      </c>
      <c r="C121" s="65">
        <v>4.7</v>
      </c>
    </row>
    <row r="122" spans="1:3" hidden="1" x14ac:dyDescent="0.25">
      <c r="A122" s="61" t="s">
        <v>669</v>
      </c>
      <c r="B122" s="61" t="s">
        <v>608</v>
      </c>
      <c r="C122" s="62">
        <v>6</v>
      </c>
    </row>
    <row r="123" spans="1:3" hidden="1" x14ac:dyDescent="0.25">
      <c r="A123" s="60" t="s">
        <v>695</v>
      </c>
      <c r="B123" s="61" t="s">
        <v>608</v>
      </c>
      <c r="C123" s="62">
        <v>5</v>
      </c>
    </row>
    <row r="124" spans="1:3" hidden="1" x14ac:dyDescent="0.25">
      <c r="A124" s="60" t="s">
        <v>1037</v>
      </c>
      <c r="B124" s="61" t="s">
        <v>608</v>
      </c>
      <c r="C124" s="62">
        <v>16</v>
      </c>
    </row>
    <row r="125" spans="1:3" hidden="1" x14ac:dyDescent="0.25">
      <c r="A125" s="60" t="s">
        <v>188</v>
      </c>
      <c r="B125" s="61" t="s">
        <v>608</v>
      </c>
      <c r="C125" s="62">
        <v>21.777521010000001</v>
      </c>
    </row>
    <row r="126" spans="1:3" hidden="1" x14ac:dyDescent="0.25">
      <c r="A126" s="61" t="s">
        <v>189</v>
      </c>
      <c r="B126" s="61" t="s">
        <v>612</v>
      </c>
      <c r="C126" s="62">
        <v>2335.4</v>
      </c>
    </row>
    <row r="127" spans="1:3" hidden="1" x14ac:dyDescent="0.25">
      <c r="A127" s="61" t="s">
        <v>112</v>
      </c>
      <c r="B127" s="61" t="s">
        <v>612</v>
      </c>
      <c r="C127" s="62">
        <v>2183.46666667</v>
      </c>
    </row>
    <row r="128" spans="1:3" hidden="1" x14ac:dyDescent="0.25">
      <c r="A128" s="60" t="s">
        <v>410</v>
      </c>
      <c r="B128" s="61" t="s">
        <v>612</v>
      </c>
      <c r="C128" s="62">
        <v>2965.8</v>
      </c>
    </row>
    <row r="129" spans="1:3" hidden="1" x14ac:dyDescent="0.25">
      <c r="A129" s="60" t="s">
        <v>111</v>
      </c>
      <c r="B129" s="61" t="s">
        <v>612</v>
      </c>
      <c r="C129" s="62">
        <v>0</v>
      </c>
    </row>
    <row r="130" spans="1:3" hidden="1" x14ac:dyDescent="0.25">
      <c r="A130" s="61" t="s">
        <v>190</v>
      </c>
      <c r="B130" s="61" t="s">
        <v>612</v>
      </c>
      <c r="C130" s="62">
        <v>2965.8</v>
      </c>
    </row>
    <row r="131" spans="1:3" hidden="1" x14ac:dyDescent="0.25">
      <c r="A131" s="60" t="s">
        <v>113</v>
      </c>
      <c r="B131" s="61" t="s">
        <v>612</v>
      </c>
      <c r="C131" s="62">
        <v>3736.1666666699998</v>
      </c>
    </row>
    <row r="132" spans="1:3" hidden="1" x14ac:dyDescent="0.25">
      <c r="A132" s="61" t="s">
        <v>1007</v>
      </c>
      <c r="B132" s="61" t="s">
        <v>612</v>
      </c>
      <c r="C132" s="62">
        <v>0</v>
      </c>
    </row>
    <row r="133" spans="1:3" hidden="1" x14ac:dyDescent="0.25">
      <c r="A133" s="60" t="s">
        <v>1065</v>
      </c>
      <c r="B133" s="61" t="s">
        <v>612</v>
      </c>
      <c r="C133" s="62">
        <v>3416.625</v>
      </c>
    </row>
    <row r="134" spans="1:3" hidden="1" x14ac:dyDescent="0.25">
      <c r="A134" s="61" t="s">
        <v>705</v>
      </c>
      <c r="B134" s="61" t="s">
        <v>612</v>
      </c>
      <c r="C134" s="62">
        <v>2298</v>
      </c>
    </row>
    <row r="135" spans="1:3" hidden="1" x14ac:dyDescent="0.25">
      <c r="A135" s="61" t="s">
        <v>191</v>
      </c>
      <c r="B135" s="61" t="s">
        <v>612</v>
      </c>
      <c r="C135" s="62">
        <v>3566.6666666699998</v>
      </c>
    </row>
    <row r="136" spans="1:3" hidden="1" x14ac:dyDescent="0.25">
      <c r="A136" s="60" t="s">
        <v>1018</v>
      </c>
      <c r="B136" s="61" t="s">
        <v>612</v>
      </c>
      <c r="C136" s="62">
        <v>0</v>
      </c>
    </row>
    <row r="137" spans="1:3" hidden="1" x14ac:dyDescent="0.25">
      <c r="A137" s="61" t="s">
        <v>805</v>
      </c>
      <c r="B137" s="61" t="s">
        <v>608</v>
      </c>
      <c r="C137" s="62">
        <v>28</v>
      </c>
    </row>
    <row r="138" spans="1:3" hidden="1" x14ac:dyDescent="0.25">
      <c r="A138" s="61" t="s">
        <v>820</v>
      </c>
      <c r="B138" s="61" t="s">
        <v>608</v>
      </c>
      <c r="C138" s="62">
        <v>35</v>
      </c>
    </row>
    <row r="139" spans="1:3" hidden="1" x14ac:dyDescent="0.25">
      <c r="A139" s="61" t="s">
        <v>633</v>
      </c>
      <c r="B139" s="61" t="s">
        <v>608</v>
      </c>
      <c r="C139" s="62">
        <v>27</v>
      </c>
    </row>
    <row r="140" spans="1:3" hidden="1" x14ac:dyDescent="0.25">
      <c r="A140" s="61" t="s">
        <v>1012</v>
      </c>
      <c r="B140" s="61" t="s">
        <v>608</v>
      </c>
      <c r="C140" s="65">
        <v>0</v>
      </c>
    </row>
    <row r="141" spans="1:3" hidden="1" x14ac:dyDescent="0.25">
      <c r="A141" s="61" t="s">
        <v>621</v>
      </c>
      <c r="B141" s="61" t="s">
        <v>612</v>
      </c>
      <c r="C141" s="62">
        <v>8692.5</v>
      </c>
    </row>
    <row r="142" spans="1:3" hidden="1" x14ac:dyDescent="0.25">
      <c r="A142" s="60" t="s">
        <v>1168</v>
      </c>
      <c r="B142" s="61" t="s">
        <v>608</v>
      </c>
      <c r="C142" s="62">
        <v>0</v>
      </c>
    </row>
    <row r="143" spans="1:3" hidden="1" x14ac:dyDescent="0.25">
      <c r="A143" s="61" t="s">
        <v>1169</v>
      </c>
      <c r="B143" s="61" t="s">
        <v>608</v>
      </c>
      <c r="C143" s="62">
        <v>0</v>
      </c>
    </row>
    <row r="144" spans="1:3" hidden="1" x14ac:dyDescent="0.25">
      <c r="A144" s="60" t="s">
        <v>978</v>
      </c>
      <c r="B144" s="61" t="s">
        <v>608</v>
      </c>
      <c r="C144" s="62">
        <v>0</v>
      </c>
    </row>
    <row r="145" spans="1:3" hidden="1" x14ac:dyDescent="0.25">
      <c r="A145" s="61" t="s">
        <v>1072</v>
      </c>
      <c r="B145" s="61" t="s">
        <v>608</v>
      </c>
      <c r="C145" s="62">
        <v>33.200159659999997</v>
      </c>
    </row>
    <row r="146" spans="1:3" hidden="1" x14ac:dyDescent="0.25">
      <c r="A146" s="61" t="s">
        <v>737</v>
      </c>
      <c r="B146" s="61" t="s">
        <v>612</v>
      </c>
      <c r="C146" s="62">
        <v>2000</v>
      </c>
    </row>
    <row r="147" spans="1:3" hidden="1" x14ac:dyDescent="0.25">
      <c r="A147" s="60" t="s">
        <v>192</v>
      </c>
      <c r="B147" s="61" t="s">
        <v>612</v>
      </c>
      <c r="C147" s="62">
        <v>4986.0833333299997</v>
      </c>
    </row>
    <row r="148" spans="1:3" hidden="1" x14ac:dyDescent="0.25">
      <c r="A148" s="60" t="s">
        <v>730</v>
      </c>
      <c r="B148" s="61" t="s">
        <v>608</v>
      </c>
      <c r="C148" s="62">
        <v>12</v>
      </c>
    </row>
    <row r="149" spans="1:3" hidden="1" x14ac:dyDescent="0.25">
      <c r="A149" s="61" t="s">
        <v>193</v>
      </c>
      <c r="B149" s="61" t="s">
        <v>615</v>
      </c>
      <c r="C149" s="62">
        <v>2036.91666667</v>
      </c>
    </row>
    <row r="150" spans="1:3" hidden="1" x14ac:dyDescent="0.25">
      <c r="A150" s="61" t="s">
        <v>690</v>
      </c>
      <c r="B150" s="61" t="s">
        <v>615</v>
      </c>
      <c r="C150" s="15">
        <v>2137.5</v>
      </c>
    </row>
    <row r="151" spans="1:3" hidden="1" x14ac:dyDescent="0.25">
      <c r="A151" s="60" t="s">
        <v>589</v>
      </c>
      <c r="B151" s="61" t="s">
        <v>608</v>
      </c>
      <c r="C151" s="62">
        <v>24.513999999999999</v>
      </c>
    </row>
    <row r="152" spans="1:3" hidden="1" x14ac:dyDescent="0.25">
      <c r="A152" s="60" t="s">
        <v>1170</v>
      </c>
      <c r="B152" s="61" t="s">
        <v>608</v>
      </c>
      <c r="C152" s="62">
        <v>178.06399999999999</v>
      </c>
    </row>
    <row r="153" spans="1:3" hidden="1" x14ac:dyDescent="0.25">
      <c r="A153" s="61" t="s">
        <v>99</v>
      </c>
      <c r="B153" s="61" t="s">
        <v>608</v>
      </c>
      <c r="C153" s="62">
        <v>49.977947020000002</v>
      </c>
    </row>
    <row r="154" spans="1:3" hidden="1" x14ac:dyDescent="0.25">
      <c r="A154" s="60" t="s">
        <v>194</v>
      </c>
      <c r="B154" s="61" t="s">
        <v>608</v>
      </c>
      <c r="C154" s="62">
        <v>27.466702179999999</v>
      </c>
    </row>
    <row r="155" spans="1:3" hidden="1" x14ac:dyDescent="0.25">
      <c r="A155" s="61" t="s">
        <v>195</v>
      </c>
      <c r="B155" s="61" t="s">
        <v>612</v>
      </c>
      <c r="C155" s="62">
        <v>4126.8333333299997</v>
      </c>
    </row>
    <row r="156" spans="1:3" hidden="1" x14ac:dyDescent="0.25">
      <c r="A156" s="60" t="s">
        <v>311</v>
      </c>
      <c r="B156" s="61" t="s">
        <v>612</v>
      </c>
      <c r="C156" s="62">
        <v>2284.1208333300001</v>
      </c>
    </row>
    <row r="157" spans="1:3" hidden="1" x14ac:dyDescent="0.25">
      <c r="A157" s="61" t="s">
        <v>196</v>
      </c>
      <c r="B157" s="61" t="s">
        <v>612</v>
      </c>
      <c r="C157" s="62">
        <v>2119.6875</v>
      </c>
    </row>
    <row r="158" spans="1:3" hidden="1" x14ac:dyDescent="0.25">
      <c r="A158" s="61" t="s">
        <v>86</v>
      </c>
      <c r="B158" s="61" t="s">
        <v>608</v>
      </c>
      <c r="C158" s="65">
        <v>37.630499999999998</v>
      </c>
    </row>
    <row r="159" spans="1:3" hidden="1" x14ac:dyDescent="0.25">
      <c r="A159" s="61" t="s">
        <v>640</v>
      </c>
      <c r="B159" s="61" t="s">
        <v>608</v>
      </c>
      <c r="C159" s="62">
        <v>8.1999999999999993</v>
      </c>
    </row>
    <row r="160" spans="1:3" hidden="1" x14ac:dyDescent="0.25">
      <c r="A160" s="61" t="s">
        <v>945</v>
      </c>
      <c r="B160" s="61" t="s">
        <v>608</v>
      </c>
      <c r="C160" s="62">
        <v>46.15576197</v>
      </c>
    </row>
    <row r="161" spans="1:3" hidden="1" x14ac:dyDescent="0.25">
      <c r="A161" s="61" t="s">
        <v>96</v>
      </c>
      <c r="B161" s="61" t="s">
        <v>612</v>
      </c>
      <c r="C161" s="62">
        <v>4986</v>
      </c>
    </row>
    <row r="162" spans="1:3" hidden="1" x14ac:dyDescent="0.25">
      <c r="A162" s="61" t="s">
        <v>744</v>
      </c>
      <c r="B162" s="61" t="s">
        <v>608</v>
      </c>
      <c r="C162" s="62">
        <v>24</v>
      </c>
    </row>
    <row r="163" spans="1:3" hidden="1" x14ac:dyDescent="0.25">
      <c r="A163" s="60" t="s">
        <v>823</v>
      </c>
      <c r="B163" s="61" t="s">
        <v>612</v>
      </c>
      <c r="C163" s="62">
        <v>19000</v>
      </c>
    </row>
    <row r="164" spans="1:3" hidden="1" x14ac:dyDescent="0.25">
      <c r="A164" s="61" t="s">
        <v>1171</v>
      </c>
      <c r="B164" s="61" t="s">
        <v>612</v>
      </c>
      <c r="C164" s="62">
        <v>16502.75</v>
      </c>
    </row>
    <row r="165" spans="1:3" hidden="1" x14ac:dyDescent="0.25">
      <c r="A165" s="61" t="s">
        <v>302</v>
      </c>
      <c r="B165" s="61" t="s">
        <v>608</v>
      </c>
      <c r="C165" s="62">
        <v>152.9372381</v>
      </c>
    </row>
    <row r="166" spans="1:3" hidden="1" x14ac:dyDescent="0.25">
      <c r="A166" s="61" t="s">
        <v>197</v>
      </c>
      <c r="B166" s="61" t="s">
        <v>612</v>
      </c>
      <c r="C166" s="62">
        <v>3750</v>
      </c>
    </row>
    <row r="167" spans="1:3" hidden="1" x14ac:dyDescent="0.25">
      <c r="A167" s="61" t="s">
        <v>198</v>
      </c>
      <c r="B167" s="61" t="s">
        <v>608</v>
      </c>
      <c r="C167" s="62">
        <v>350.00099999999998</v>
      </c>
    </row>
    <row r="168" spans="1:3" hidden="1" x14ac:dyDescent="0.25">
      <c r="A168" s="63" t="s">
        <v>1172</v>
      </c>
      <c r="B168" s="61" t="s">
        <v>608</v>
      </c>
      <c r="C168" s="62">
        <v>131.25037499999999</v>
      </c>
    </row>
    <row r="169" spans="1:3" hidden="1" x14ac:dyDescent="0.25">
      <c r="A169" s="61" t="s">
        <v>336</v>
      </c>
      <c r="B169" s="61" t="s">
        <v>608</v>
      </c>
      <c r="C169" s="62">
        <v>350.0009804</v>
      </c>
    </row>
    <row r="170" spans="1:3" hidden="1" x14ac:dyDescent="0.25">
      <c r="A170" s="60" t="s">
        <v>1059</v>
      </c>
      <c r="B170" s="61" t="s">
        <v>608</v>
      </c>
      <c r="C170" s="62">
        <v>0</v>
      </c>
    </row>
    <row r="171" spans="1:3" hidden="1" x14ac:dyDescent="0.25">
      <c r="A171" s="60" t="s">
        <v>1056</v>
      </c>
      <c r="B171" s="61" t="s">
        <v>608</v>
      </c>
      <c r="C171" s="62">
        <v>0</v>
      </c>
    </row>
    <row r="172" spans="1:3" hidden="1" x14ac:dyDescent="0.25">
      <c r="A172" s="60" t="s">
        <v>688</v>
      </c>
      <c r="B172" s="61" t="s">
        <v>612</v>
      </c>
      <c r="C172" s="62">
        <v>0</v>
      </c>
    </row>
    <row r="173" spans="1:3" hidden="1" x14ac:dyDescent="0.25">
      <c r="A173" s="60" t="s">
        <v>103</v>
      </c>
      <c r="B173" s="61" t="s">
        <v>612</v>
      </c>
      <c r="C173" s="62">
        <v>2800</v>
      </c>
    </row>
    <row r="174" spans="1:3" hidden="1" x14ac:dyDescent="0.25">
      <c r="A174" s="60" t="s">
        <v>199</v>
      </c>
      <c r="B174" s="61" t="s">
        <v>608</v>
      </c>
      <c r="C174" s="62">
        <v>60.010800000000003</v>
      </c>
    </row>
    <row r="175" spans="1:3" hidden="1" x14ac:dyDescent="0.25">
      <c r="A175" s="61" t="s">
        <v>1173</v>
      </c>
      <c r="B175" s="61" t="s">
        <v>612</v>
      </c>
      <c r="C175" s="62">
        <v>0</v>
      </c>
    </row>
    <row r="176" spans="1:3" hidden="1" x14ac:dyDescent="0.25">
      <c r="A176" s="60" t="s">
        <v>757</v>
      </c>
      <c r="B176" s="61" t="s">
        <v>612</v>
      </c>
      <c r="C176" s="62">
        <v>51.289000000000001</v>
      </c>
    </row>
    <row r="177" spans="1:3" hidden="1" x14ac:dyDescent="0.25">
      <c r="A177" s="60" t="s">
        <v>670</v>
      </c>
      <c r="B177" s="61" t="s">
        <v>608</v>
      </c>
      <c r="C177" s="62">
        <v>10</v>
      </c>
    </row>
    <row r="178" spans="1:3" hidden="1" x14ac:dyDescent="0.25">
      <c r="A178" s="61" t="s">
        <v>1174</v>
      </c>
      <c r="B178" s="61" t="s">
        <v>883</v>
      </c>
      <c r="C178" s="62">
        <v>101308.95</v>
      </c>
    </row>
    <row r="179" spans="1:3" hidden="1" x14ac:dyDescent="0.25">
      <c r="A179" s="60" t="s">
        <v>1175</v>
      </c>
      <c r="B179" s="61" t="s">
        <v>612</v>
      </c>
      <c r="C179" s="62">
        <v>0</v>
      </c>
    </row>
    <row r="180" spans="1:3" hidden="1" x14ac:dyDescent="0.25">
      <c r="A180" s="61" t="s">
        <v>679</v>
      </c>
      <c r="B180" s="61" t="s">
        <v>612</v>
      </c>
      <c r="C180" s="62">
        <v>13615</v>
      </c>
    </row>
    <row r="181" spans="1:3" hidden="1" x14ac:dyDescent="0.25">
      <c r="A181" s="61" t="s">
        <v>200</v>
      </c>
      <c r="B181" s="61" t="s">
        <v>608</v>
      </c>
      <c r="C181" s="62">
        <v>64.050030000000007</v>
      </c>
    </row>
    <row r="182" spans="1:3" hidden="1" x14ac:dyDescent="0.25">
      <c r="A182" s="61" t="s">
        <v>682</v>
      </c>
      <c r="B182" s="61" t="s">
        <v>608</v>
      </c>
      <c r="C182" s="62">
        <v>39.071701390000001</v>
      </c>
    </row>
    <row r="183" spans="1:3" hidden="1" x14ac:dyDescent="0.25">
      <c r="A183" s="61" t="s">
        <v>106</v>
      </c>
      <c r="B183" s="61" t="s">
        <v>608</v>
      </c>
      <c r="C183" s="62">
        <v>19.804166670000001</v>
      </c>
    </row>
    <row r="184" spans="1:3" hidden="1" x14ac:dyDescent="0.25">
      <c r="A184" s="60" t="s">
        <v>731</v>
      </c>
      <c r="B184" s="61" t="s">
        <v>615</v>
      </c>
      <c r="C184" s="62">
        <v>1425.6293103400001</v>
      </c>
    </row>
    <row r="185" spans="1:3" hidden="1" x14ac:dyDescent="0.25">
      <c r="A185" s="61" t="s">
        <v>1176</v>
      </c>
      <c r="B185" s="61" t="s">
        <v>883</v>
      </c>
      <c r="C185" s="62">
        <v>0</v>
      </c>
    </row>
    <row r="186" spans="1:3" hidden="1" x14ac:dyDescent="0.25">
      <c r="A186" s="8" t="s">
        <v>788</v>
      </c>
      <c r="B186" s="61" t="s">
        <v>612</v>
      </c>
      <c r="C186" s="15">
        <v>0</v>
      </c>
    </row>
    <row r="187" spans="1:3" hidden="1" x14ac:dyDescent="0.25">
      <c r="A187" s="61" t="s">
        <v>974</v>
      </c>
      <c r="B187" s="61" t="s">
        <v>608</v>
      </c>
      <c r="C187" s="62">
        <v>33.159999999999997</v>
      </c>
    </row>
    <row r="188" spans="1:3" hidden="1" x14ac:dyDescent="0.25">
      <c r="A188" s="60" t="s">
        <v>201</v>
      </c>
      <c r="B188" s="61" t="s">
        <v>608</v>
      </c>
      <c r="C188" s="62">
        <v>23</v>
      </c>
    </row>
    <row r="189" spans="1:3" hidden="1" x14ac:dyDescent="0.25">
      <c r="A189" s="60" t="s">
        <v>1100</v>
      </c>
      <c r="B189" s="61" t="s">
        <v>612</v>
      </c>
      <c r="C189" s="62">
        <v>59.55</v>
      </c>
    </row>
    <row r="190" spans="1:3" hidden="1" x14ac:dyDescent="0.25">
      <c r="A190" s="61" t="s">
        <v>787</v>
      </c>
      <c r="B190" s="61" t="s">
        <v>608</v>
      </c>
      <c r="C190" s="62">
        <v>0</v>
      </c>
    </row>
    <row r="191" spans="1:3" hidden="1" x14ac:dyDescent="0.25">
      <c r="A191" s="61" t="s">
        <v>1177</v>
      </c>
      <c r="B191" s="61" t="s">
        <v>608</v>
      </c>
      <c r="C191" s="62">
        <v>5.8</v>
      </c>
    </row>
    <row r="192" spans="1:3" hidden="1" x14ac:dyDescent="0.25">
      <c r="A192" s="61" t="s">
        <v>950</v>
      </c>
      <c r="B192" s="61" t="s">
        <v>612</v>
      </c>
      <c r="C192" s="62">
        <v>0</v>
      </c>
    </row>
    <row r="193" spans="1:3" hidden="1" x14ac:dyDescent="0.25">
      <c r="A193" s="61" t="s">
        <v>706</v>
      </c>
      <c r="B193" s="61" t="s">
        <v>612</v>
      </c>
      <c r="C193" s="62">
        <v>895.52100840000003</v>
      </c>
    </row>
    <row r="194" spans="1:3" hidden="1" x14ac:dyDescent="0.25">
      <c r="A194" s="60" t="s">
        <v>691</v>
      </c>
      <c r="B194" s="61" t="s">
        <v>608</v>
      </c>
      <c r="C194" s="62">
        <v>0</v>
      </c>
    </row>
    <row r="195" spans="1:3" hidden="1" x14ac:dyDescent="0.25">
      <c r="A195" s="61" t="s">
        <v>970</v>
      </c>
      <c r="B195" s="61" t="s">
        <v>608</v>
      </c>
      <c r="C195" s="62">
        <v>0</v>
      </c>
    </row>
    <row r="196" spans="1:3" hidden="1" x14ac:dyDescent="0.25">
      <c r="A196" s="61" t="s">
        <v>701</v>
      </c>
      <c r="B196" s="61" t="s">
        <v>608</v>
      </c>
      <c r="C196" s="62">
        <v>10.9412</v>
      </c>
    </row>
    <row r="197" spans="1:3" hidden="1" x14ac:dyDescent="0.25">
      <c r="A197" s="61" t="s">
        <v>972</v>
      </c>
      <c r="B197" s="61" t="s">
        <v>612</v>
      </c>
      <c r="C197" s="62">
        <v>5089.6666666700003</v>
      </c>
    </row>
    <row r="198" spans="1:3" hidden="1" x14ac:dyDescent="0.25">
      <c r="A198" s="60" t="s">
        <v>756</v>
      </c>
      <c r="B198" s="61" t="s">
        <v>615</v>
      </c>
      <c r="C198" s="62">
        <v>12833.33333333</v>
      </c>
    </row>
    <row r="199" spans="1:3" hidden="1" x14ac:dyDescent="0.25">
      <c r="A199" s="61" t="s">
        <v>929</v>
      </c>
      <c r="B199" s="61" t="s">
        <v>615</v>
      </c>
      <c r="C199" s="62">
        <v>15769.5</v>
      </c>
    </row>
    <row r="200" spans="1:3" hidden="1" x14ac:dyDescent="0.25">
      <c r="A200" s="61" t="s">
        <v>767</v>
      </c>
      <c r="B200" s="61" t="s">
        <v>615</v>
      </c>
      <c r="C200" s="62">
        <v>11532.86363636</v>
      </c>
    </row>
    <row r="201" spans="1:3" hidden="1" x14ac:dyDescent="0.25">
      <c r="A201" s="61" t="s">
        <v>1178</v>
      </c>
      <c r="B201" s="61" t="s">
        <v>615</v>
      </c>
      <c r="C201" s="62">
        <v>11532.86363636</v>
      </c>
    </row>
    <row r="202" spans="1:3" hidden="1" x14ac:dyDescent="0.25">
      <c r="A202" s="61" t="s">
        <v>94</v>
      </c>
      <c r="B202" s="61" t="s">
        <v>608</v>
      </c>
      <c r="C202" s="62">
        <v>21.002127659999999</v>
      </c>
    </row>
    <row r="203" spans="1:3" hidden="1" x14ac:dyDescent="0.25">
      <c r="A203" s="61" t="s">
        <v>707</v>
      </c>
      <c r="B203" s="61" t="s">
        <v>612</v>
      </c>
      <c r="C203" s="62">
        <v>4986.1393557499996</v>
      </c>
    </row>
    <row r="204" spans="1:3" hidden="1" x14ac:dyDescent="0.25">
      <c r="A204" s="61" t="s">
        <v>1179</v>
      </c>
      <c r="B204" s="61" t="s">
        <v>883</v>
      </c>
      <c r="C204" s="62">
        <v>8099.9227000000001</v>
      </c>
    </row>
    <row r="205" spans="1:3" hidden="1" x14ac:dyDescent="0.25">
      <c r="A205" s="61" t="s">
        <v>973</v>
      </c>
      <c r="B205" s="61" t="s">
        <v>612</v>
      </c>
      <c r="C205" s="62">
        <v>3109</v>
      </c>
    </row>
    <row r="206" spans="1:3" hidden="1" x14ac:dyDescent="0.25">
      <c r="A206" s="60" t="s">
        <v>1180</v>
      </c>
      <c r="B206" s="61" t="s">
        <v>612</v>
      </c>
      <c r="C206" s="62">
        <v>81616</v>
      </c>
    </row>
    <row r="207" spans="1:3" hidden="1" x14ac:dyDescent="0.25">
      <c r="A207" s="61" t="s">
        <v>202</v>
      </c>
      <c r="B207" s="61" t="s">
        <v>608</v>
      </c>
      <c r="C207" s="62">
        <v>15.965999999999999</v>
      </c>
    </row>
    <row r="208" spans="1:3" hidden="1" x14ac:dyDescent="0.25">
      <c r="A208" s="61" t="s">
        <v>819</v>
      </c>
      <c r="B208" s="61" t="s">
        <v>608</v>
      </c>
      <c r="C208" s="62">
        <v>21.363943110000001</v>
      </c>
    </row>
    <row r="209" spans="1:3" hidden="1" x14ac:dyDescent="0.25">
      <c r="A209" s="61" t="s">
        <v>1032</v>
      </c>
      <c r="B209" s="61" t="s">
        <v>608</v>
      </c>
      <c r="C209" s="62">
        <v>0</v>
      </c>
    </row>
    <row r="210" spans="1:3" hidden="1" x14ac:dyDescent="0.25">
      <c r="A210" s="61" t="s">
        <v>663</v>
      </c>
      <c r="B210" s="61" t="s">
        <v>612</v>
      </c>
      <c r="C210" s="62">
        <v>1886.2</v>
      </c>
    </row>
    <row r="211" spans="1:3" hidden="1" x14ac:dyDescent="0.25">
      <c r="A211" s="60" t="s">
        <v>735</v>
      </c>
      <c r="B211" s="61" t="s">
        <v>612</v>
      </c>
      <c r="C211" s="62">
        <v>0</v>
      </c>
    </row>
    <row r="212" spans="1:3" hidden="1" x14ac:dyDescent="0.25">
      <c r="A212" s="61" t="s">
        <v>1181</v>
      </c>
      <c r="B212" s="61" t="s">
        <v>612</v>
      </c>
      <c r="C212" s="62">
        <v>0</v>
      </c>
    </row>
    <row r="213" spans="1:3" hidden="1" x14ac:dyDescent="0.25">
      <c r="A213" s="60" t="s">
        <v>971</v>
      </c>
      <c r="B213" s="61" t="s">
        <v>612</v>
      </c>
      <c r="C213" s="62">
        <v>0</v>
      </c>
    </row>
    <row r="214" spans="1:3" hidden="1" x14ac:dyDescent="0.25">
      <c r="A214" s="61" t="s">
        <v>715</v>
      </c>
      <c r="B214" s="61" t="s">
        <v>612</v>
      </c>
      <c r="C214" s="62">
        <v>0</v>
      </c>
    </row>
    <row r="215" spans="1:3" hidden="1" x14ac:dyDescent="0.25">
      <c r="A215" s="61" t="s">
        <v>951</v>
      </c>
      <c r="B215" s="61" t="s">
        <v>612</v>
      </c>
      <c r="C215" s="62">
        <v>0</v>
      </c>
    </row>
    <row r="216" spans="1:3" hidden="1" x14ac:dyDescent="0.25">
      <c r="A216" s="61" t="s">
        <v>203</v>
      </c>
      <c r="B216" s="61" t="s">
        <v>615</v>
      </c>
      <c r="C216" s="62">
        <v>1395.1416666699999</v>
      </c>
    </row>
    <row r="217" spans="1:3" hidden="1" x14ac:dyDescent="0.25">
      <c r="A217" s="61" t="s">
        <v>1182</v>
      </c>
      <c r="B217" s="61" t="s">
        <v>883</v>
      </c>
      <c r="C217" s="62">
        <v>0</v>
      </c>
    </row>
    <row r="218" spans="1:3" hidden="1" x14ac:dyDescent="0.25">
      <c r="A218" s="60" t="s">
        <v>700</v>
      </c>
      <c r="B218" s="61" t="s">
        <v>612</v>
      </c>
      <c r="C218" s="62">
        <v>0</v>
      </c>
    </row>
    <row r="219" spans="1:3" hidden="1" x14ac:dyDescent="0.25">
      <c r="A219" s="60" t="s">
        <v>97</v>
      </c>
      <c r="B219" s="61" t="s">
        <v>612</v>
      </c>
      <c r="C219" s="62">
        <v>1590.9</v>
      </c>
    </row>
    <row r="220" spans="1:3" hidden="1" x14ac:dyDescent="0.25">
      <c r="A220" s="60" t="s">
        <v>1370</v>
      </c>
      <c r="B220" s="61" t="s">
        <v>608</v>
      </c>
      <c r="C220" s="62">
        <v>4.8041983300000002</v>
      </c>
    </row>
    <row r="221" spans="1:3" hidden="1" x14ac:dyDescent="0.25">
      <c r="A221" s="61" t="s">
        <v>93</v>
      </c>
      <c r="B221" s="61" t="s">
        <v>608</v>
      </c>
      <c r="C221" s="62">
        <v>15.153499999999999</v>
      </c>
    </row>
    <row r="222" spans="1:3" hidden="1" x14ac:dyDescent="0.25">
      <c r="A222" s="60" t="s">
        <v>667</v>
      </c>
      <c r="B222" s="61" t="s">
        <v>612</v>
      </c>
      <c r="C222" s="62">
        <v>0</v>
      </c>
    </row>
    <row r="223" spans="1:3" hidden="1" x14ac:dyDescent="0.25">
      <c r="A223" s="61" t="s">
        <v>666</v>
      </c>
      <c r="B223" s="61" t="s">
        <v>612</v>
      </c>
      <c r="C223" s="62">
        <v>3250</v>
      </c>
    </row>
    <row r="224" spans="1:3" hidden="1" x14ac:dyDescent="0.25">
      <c r="A224" s="60" t="s">
        <v>1183</v>
      </c>
      <c r="B224" s="61" t="s">
        <v>612</v>
      </c>
      <c r="C224" s="62">
        <v>0</v>
      </c>
    </row>
    <row r="225" spans="1:3" hidden="1" x14ac:dyDescent="0.25">
      <c r="A225" s="60" t="s">
        <v>602</v>
      </c>
      <c r="B225" s="61" t="s">
        <v>612</v>
      </c>
      <c r="C225" s="62">
        <v>12500</v>
      </c>
    </row>
    <row r="226" spans="1:3" hidden="1" x14ac:dyDescent="0.25">
      <c r="A226" s="60" t="s">
        <v>622</v>
      </c>
      <c r="B226" s="61" t="s">
        <v>612</v>
      </c>
      <c r="C226" s="62">
        <v>11800</v>
      </c>
    </row>
    <row r="227" spans="1:3" hidden="1" x14ac:dyDescent="0.25">
      <c r="A227" s="61" t="s">
        <v>620</v>
      </c>
      <c r="B227" s="61" t="s">
        <v>608</v>
      </c>
      <c r="C227" s="62">
        <v>39</v>
      </c>
    </row>
    <row r="228" spans="1:3" hidden="1" x14ac:dyDescent="0.25">
      <c r="A228" s="61" t="s">
        <v>1184</v>
      </c>
      <c r="B228" s="61" t="s">
        <v>612</v>
      </c>
      <c r="C228" s="62">
        <v>68412</v>
      </c>
    </row>
    <row r="229" spans="1:3" hidden="1" x14ac:dyDescent="0.25">
      <c r="A229" s="60" t="s">
        <v>791</v>
      </c>
      <c r="B229" s="61" t="s">
        <v>612</v>
      </c>
      <c r="C229" s="62">
        <v>108000</v>
      </c>
    </row>
    <row r="230" spans="1:3" hidden="1" x14ac:dyDescent="0.25">
      <c r="A230" s="61" t="s">
        <v>944</v>
      </c>
      <c r="B230" s="61" t="s">
        <v>612</v>
      </c>
      <c r="C230" s="62">
        <v>0</v>
      </c>
    </row>
    <row r="231" spans="1:3" hidden="1" x14ac:dyDescent="0.25">
      <c r="A231" s="60" t="s">
        <v>1185</v>
      </c>
      <c r="B231" s="61" t="s">
        <v>883</v>
      </c>
      <c r="C231" s="62">
        <v>47643.35</v>
      </c>
    </row>
    <row r="232" spans="1:3" hidden="1" x14ac:dyDescent="0.25">
      <c r="A232" s="61" t="s">
        <v>1035</v>
      </c>
      <c r="B232" s="61" t="s">
        <v>615</v>
      </c>
      <c r="C232" s="62">
        <v>0</v>
      </c>
    </row>
    <row r="233" spans="1:3" hidden="1" x14ac:dyDescent="0.25">
      <c r="A233" s="60" t="s">
        <v>721</v>
      </c>
      <c r="B233" s="61" t="s">
        <v>608</v>
      </c>
      <c r="C233" s="62">
        <v>90</v>
      </c>
    </row>
    <row r="234" spans="1:3" hidden="1" x14ac:dyDescent="0.25">
      <c r="A234" s="61" t="s">
        <v>827</v>
      </c>
      <c r="B234" s="61" t="s">
        <v>608</v>
      </c>
      <c r="C234" s="62">
        <v>511</v>
      </c>
    </row>
    <row r="235" spans="1:3" hidden="1" x14ac:dyDescent="0.25">
      <c r="A235" s="60" t="s">
        <v>799</v>
      </c>
      <c r="B235" s="61" t="s">
        <v>608</v>
      </c>
      <c r="C235" s="62">
        <v>12.5</v>
      </c>
    </row>
    <row r="236" spans="1:3" hidden="1" x14ac:dyDescent="0.25">
      <c r="A236" s="61" t="s">
        <v>711</v>
      </c>
      <c r="B236" s="61" t="s">
        <v>608</v>
      </c>
      <c r="C236" s="62">
        <v>12.5</v>
      </c>
    </row>
    <row r="237" spans="1:3" hidden="1" x14ac:dyDescent="0.25">
      <c r="A237" s="61" t="s">
        <v>1130</v>
      </c>
      <c r="B237" s="61" t="s">
        <v>608</v>
      </c>
      <c r="C237" s="62">
        <v>4.2533333300000002</v>
      </c>
    </row>
    <row r="238" spans="1:3" hidden="1" x14ac:dyDescent="0.25">
      <c r="A238" s="61" t="s">
        <v>1022</v>
      </c>
      <c r="B238" s="61" t="s">
        <v>608</v>
      </c>
      <c r="C238" s="62">
        <v>0</v>
      </c>
    </row>
    <row r="239" spans="1:3" hidden="1" x14ac:dyDescent="0.25">
      <c r="A239" s="61" t="s">
        <v>1186</v>
      </c>
      <c r="B239" s="61" t="s">
        <v>608</v>
      </c>
      <c r="C239" s="62">
        <v>0</v>
      </c>
    </row>
    <row r="240" spans="1:3" hidden="1" x14ac:dyDescent="0.25">
      <c r="A240" s="61" t="s">
        <v>1187</v>
      </c>
      <c r="B240" s="61" t="s">
        <v>608</v>
      </c>
      <c r="C240" s="62">
        <v>0</v>
      </c>
    </row>
    <row r="241" spans="1:3" hidden="1" x14ac:dyDescent="0.25">
      <c r="A241" s="61" t="s">
        <v>960</v>
      </c>
      <c r="B241" s="61" t="s">
        <v>608</v>
      </c>
      <c r="C241" s="62">
        <v>47.6</v>
      </c>
    </row>
    <row r="242" spans="1:3" hidden="1" x14ac:dyDescent="0.25">
      <c r="A242" s="60" t="s">
        <v>204</v>
      </c>
      <c r="B242" s="61" t="s">
        <v>615</v>
      </c>
      <c r="C242" s="62">
        <v>9738</v>
      </c>
    </row>
    <row r="243" spans="1:3" hidden="1" x14ac:dyDescent="0.25">
      <c r="A243" s="61" t="s">
        <v>574</v>
      </c>
      <c r="B243" s="61" t="s">
        <v>615</v>
      </c>
      <c r="C243" s="62">
        <v>4320.1818181799999</v>
      </c>
    </row>
    <row r="244" spans="1:3" hidden="1" x14ac:dyDescent="0.25">
      <c r="A244" s="60" t="s">
        <v>664</v>
      </c>
      <c r="B244" s="60" t="s">
        <v>615</v>
      </c>
      <c r="C244" s="65">
        <v>6227.3181818200001</v>
      </c>
    </row>
    <row r="245" spans="1:3" hidden="1" x14ac:dyDescent="0.25">
      <c r="A245" s="61" t="s">
        <v>95</v>
      </c>
      <c r="B245" s="61" t="s">
        <v>612</v>
      </c>
      <c r="C245" s="62">
        <v>5133.6666666700003</v>
      </c>
    </row>
    <row r="246" spans="1:3" hidden="1" x14ac:dyDescent="0.25">
      <c r="A246" s="60" t="s">
        <v>1050</v>
      </c>
      <c r="B246" s="61" t="s">
        <v>615</v>
      </c>
      <c r="C246" s="62">
        <v>0</v>
      </c>
    </row>
    <row r="247" spans="1:3" hidden="1" x14ac:dyDescent="0.25">
      <c r="A247" s="61" t="s">
        <v>993</v>
      </c>
      <c r="B247" s="61" t="s">
        <v>615</v>
      </c>
      <c r="C247" s="62">
        <v>0</v>
      </c>
    </row>
    <row r="248" spans="1:3" hidden="1" x14ac:dyDescent="0.25">
      <c r="A248" s="60" t="s">
        <v>1027</v>
      </c>
      <c r="B248" s="61" t="s">
        <v>608</v>
      </c>
      <c r="C248" s="62">
        <v>0</v>
      </c>
    </row>
    <row r="249" spans="1:3" hidden="1" x14ac:dyDescent="0.25">
      <c r="A249" s="61" t="s">
        <v>660</v>
      </c>
      <c r="B249" s="61" t="s">
        <v>615</v>
      </c>
      <c r="C249" s="62">
        <v>3359</v>
      </c>
    </row>
    <row r="250" spans="1:3" hidden="1" x14ac:dyDescent="0.25">
      <c r="A250" s="61" t="s">
        <v>780</v>
      </c>
      <c r="B250" s="61" t="s">
        <v>612</v>
      </c>
      <c r="C250" s="62">
        <v>0</v>
      </c>
    </row>
    <row r="251" spans="1:3" hidden="1" x14ac:dyDescent="0.25">
      <c r="A251" s="60" t="s">
        <v>948</v>
      </c>
      <c r="B251" s="61" t="s">
        <v>612</v>
      </c>
      <c r="C251" s="62">
        <v>4703</v>
      </c>
    </row>
    <row r="252" spans="1:3" hidden="1" x14ac:dyDescent="0.25">
      <c r="A252" s="60" t="s">
        <v>661</v>
      </c>
      <c r="B252" s="61" t="s">
        <v>608</v>
      </c>
      <c r="C252" s="62">
        <v>358.54340000000002</v>
      </c>
    </row>
    <row r="253" spans="1:3" hidden="1" x14ac:dyDescent="0.25">
      <c r="A253" s="61" t="s">
        <v>784</v>
      </c>
      <c r="B253" s="61" t="s">
        <v>612</v>
      </c>
      <c r="C253" s="66">
        <v>0</v>
      </c>
    </row>
    <row r="254" spans="1:3" hidden="1" x14ac:dyDescent="0.25">
      <c r="A254" s="60" t="s">
        <v>632</v>
      </c>
      <c r="B254" s="61" t="s">
        <v>612</v>
      </c>
      <c r="C254" s="62">
        <v>34803.218486999998</v>
      </c>
    </row>
    <row r="255" spans="1:3" hidden="1" x14ac:dyDescent="0.25">
      <c r="A255" s="60" t="s">
        <v>681</v>
      </c>
      <c r="B255" s="61" t="s">
        <v>612</v>
      </c>
      <c r="C255" s="62">
        <v>0</v>
      </c>
    </row>
    <row r="256" spans="1:3" hidden="1" x14ac:dyDescent="0.25">
      <c r="A256" s="61" t="s">
        <v>889</v>
      </c>
      <c r="B256" s="61" t="s">
        <v>612</v>
      </c>
      <c r="C256" s="62">
        <v>34803.218486999998</v>
      </c>
    </row>
    <row r="257" spans="1:3" hidden="1" x14ac:dyDescent="0.25">
      <c r="A257" s="61" t="s">
        <v>814</v>
      </c>
      <c r="B257" s="61" t="s">
        <v>608</v>
      </c>
      <c r="C257" s="62">
        <v>2.8</v>
      </c>
    </row>
    <row r="258" spans="1:3" hidden="1" x14ac:dyDescent="0.25">
      <c r="A258" s="61" t="s">
        <v>1188</v>
      </c>
      <c r="B258" s="61" t="s">
        <v>608</v>
      </c>
      <c r="C258" s="62">
        <v>9</v>
      </c>
    </row>
    <row r="259" spans="1:3" hidden="1" x14ac:dyDescent="0.25">
      <c r="A259" s="61" t="s">
        <v>1189</v>
      </c>
      <c r="B259" s="61" t="s">
        <v>608</v>
      </c>
      <c r="C259" s="62">
        <v>0</v>
      </c>
    </row>
    <row r="260" spans="1:3" hidden="1" x14ac:dyDescent="0.25">
      <c r="A260" s="61" t="s">
        <v>312</v>
      </c>
      <c r="B260" s="61" t="s">
        <v>608</v>
      </c>
      <c r="C260" s="62">
        <v>4.2671999999999999</v>
      </c>
    </row>
    <row r="261" spans="1:3" hidden="1" x14ac:dyDescent="0.25">
      <c r="A261" s="61" t="s">
        <v>1190</v>
      </c>
      <c r="B261" s="61" t="s">
        <v>608</v>
      </c>
      <c r="C261" s="62">
        <v>0</v>
      </c>
    </row>
    <row r="262" spans="1:3" hidden="1" x14ac:dyDescent="0.25">
      <c r="A262" s="61" t="s">
        <v>87</v>
      </c>
      <c r="B262" s="61" t="s">
        <v>608</v>
      </c>
      <c r="C262" s="62">
        <v>3.718</v>
      </c>
    </row>
    <row r="263" spans="1:3" hidden="1" x14ac:dyDescent="0.25">
      <c r="A263" s="60" t="s">
        <v>205</v>
      </c>
      <c r="B263" s="61" t="s">
        <v>612</v>
      </c>
      <c r="C263" s="62">
        <v>3601.6666666699998</v>
      </c>
    </row>
    <row r="264" spans="1:3" hidden="1" x14ac:dyDescent="0.25">
      <c r="A264" s="61" t="s">
        <v>923</v>
      </c>
      <c r="B264" s="61" t="s">
        <v>608</v>
      </c>
      <c r="C264" s="62">
        <v>25</v>
      </c>
    </row>
    <row r="265" spans="1:3" ht="15.75" hidden="1" customHeight="1" x14ac:dyDescent="0.25">
      <c r="A265" s="60" t="s">
        <v>751</v>
      </c>
      <c r="B265" s="61" t="s">
        <v>608</v>
      </c>
      <c r="C265" s="62">
        <v>16</v>
      </c>
    </row>
    <row r="266" spans="1:3" ht="15.75" hidden="1" customHeight="1" x14ac:dyDescent="0.25">
      <c r="A266" s="60" t="s">
        <v>653</v>
      </c>
      <c r="B266" s="61" t="s">
        <v>608</v>
      </c>
      <c r="C266" s="62">
        <v>3.8076315799999998</v>
      </c>
    </row>
    <row r="267" spans="1:3" hidden="1" x14ac:dyDescent="0.25">
      <c r="A267" s="60" t="s">
        <v>1191</v>
      </c>
      <c r="B267" s="61" t="s">
        <v>612</v>
      </c>
      <c r="C267" s="62">
        <v>0</v>
      </c>
    </row>
    <row r="268" spans="1:3" ht="16.5" hidden="1" customHeight="1" x14ac:dyDescent="0.25">
      <c r="A268" s="60" t="s">
        <v>1192</v>
      </c>
      <c r="B268" s="61" t="s">
        <v>608</v>
      </c>
      <c r="C268" s="62">
        <v>0</v>
      </c>
    </row>
    <row r="269" spans="1:3" ht="15.75" hidden="1" customHeight="1" x14ac:dyDescent="0.25">
      <c r="A269" s="61" t="s">
        <v>941</v>
      </c>
      <c r="B269" s="61" t="s">
        <v>608</v>
      </c>
      <c r="C269" s="62">
        <v>69.02</v>
      </c>
    </row>
    <row r="270" spans="1:3" ht="15.75" hidden="1" customHeight="1" x14ac:dyDescent="0.25">
      <c r="A270" s="60" t="s">
        <v>699</v>
      </c>
      <c r="B270" s="61" t="s">
        <v>608</v>
      </c>
      <c r="C270" s="62">
        <v>9.5</v>
      </c>
    </row>
    <row r="271" spans="1:3" ht="15.75" hidden="1" customHeight="1" x14ac:dyDescent="0.25">
      <c r="A271" s="61" t="s">
        <v>1193</v>
      </c>
      <c r="B271" s="61" t="s">
        <v>612</v>
      </c>
      <c r="C271" s="62">
        <v>0</v>
      </c>
    </row>
    <row r="272" spans="1:3" hidden="1" x14ac:dyDescent="0.25">
      <c r="A272" s="60" t="s">
        <v>1194</v>
      </c>
      <c r="B272" s="61" t="s">
        <v>612</v>
      </c>
      <c r="C272" s="62">
        <v>726.66666667000004</v>
      </c>
    </row>
    <row r="273" spans="1:3" ht="15.75" hidden="1" customHeight="1" x14ac:dyDescent="0.25">
      <c r="A273" s="60" t="s">
        <v>697</v>
      </c>
      <c r="B273" s="61" t="s">
        <v>612</v>
      </c>
      <c r="C273" s="62">
        <v>68049</v>
      </c>
    </row>
    <row r="274" spans="1:3" ht="15.75" hidden="1" customHeight="1" x14ac:dyDescent="0.25">
      <c r="A274" s="61" t="s">
        <v>671</v>
      </c>
      <c r="B274" s="61" t="s">
        <v>612</v>
      </c>
      <c r="C274" s="62">
        <v>25521.008403</v>
      </c>
    </row>
    <row r="275" spans="1:3" hidden="1" x14ac:dyDescent="0.25">
      <c r="A275" s="61" t="s">
        <v>1003</v>
      </c>
      <c r="B275" s="61" t="s">
        <v>612</v>
      </c>
      <c r="C275" s="62">
        <v>0</v>
      </c>
    </row>
    <row r="276" spans="1:3" hidden="1" x14ac:dyDescent="0.25">
      <c r="A276" s="61" t="s">
        <v>1195</v>
      </c>
      <c r="B276" s="61" t="s">
        <v>612</v>
      </c>
      <c r="C276" s="62">
        <v>0</v>
      </c>
    </row>
    <row r="277" spans="1:3" hidden="1" x14ac:dyDescent="0.25">
      <c r="A277" s="60" t="s">
        <v>742</v>
      </c>
      <c r="B277" s="61" t="s">
        <v>608</v>
      </c>
      <c r="C277" s="62">
        <v>12</v>
      </c>
    </row>
    <row r="278" spans="1:3" hidden="1" x14ac:dyDescent="0.25">
      <c r="A278" s="61" t="s">
        <v>1042</v>
      </c>
      <c r="B278" s="61" t="s">
        <v>608</v>
      </c>
      <c r="C278" s="62">
        <v>0</v>
      </c>
    </row>
    <row r="279" spans="1:3" hidden="1" x14ac:dyDescent="0.25">
      <c r="A279" s="60" t="s">
        <v>906</v>
      </c>
      <c r="B279" s="61" t="s">
        <v>608</v>
      </c>
      <c r="C279" s="62">
        <v>92</v>
      </c>
    </row>
    <row r="280" spans="1:3" hidden="1" x14ac:dyDescent="0.25">
      <c r="A280" s="60" t="s">
        <v>1014</v>
      </c>
      <c r="B280" s="61" t="s">
        <v>608</v>
      </c>
      <c r="C280" s="62">
        <v>10.199999999999999</v>
      </c>
    </row>
    <row r="281" spans="1:3" hidden="1" x14ac:dyDescent="0.25">
      <c r="A281" s="60" t="s">
        <v>668</v>
      </c>
      <c r="B281" s="61" t="s">
        <v>615</v>
      </c>
      <c r="C281" s="62">
        <v>6134.2727272700004</v>
      </c>
    </row>
    <row r="282" spans="1:3" hidden="1" x14ac:dyDescent="0.25">
      <c r="A282" s="60" t="s">
        <v>990</v>
      </c>
      <c r="B282" s="61" t="s">
        <v>615</v>
      </c>
      <c r="C282" s="62">
        <v>2902.5454545500002</v>
      </c>
    </row>
    <row r="283" spans="1:3" hidden="1" x14ac:dyDescent="0.25">
      <c r="A283" s="60" t="s">
        <v>1196</v>
      </c>
      <c r="B283" s="61" t="s">
        <v>612</v>
      </c>
      <c r="C283" s="62">
        <v>5940.0966385000002</v>
      </c>
    </row>
    <row r="284" spans="1:3" ht="15.75" hidden="1" customHeight="1" x14ac:dyDescent="0.25">
      <c r="A284" s="61" t="s">
        <v>1197</v>
      </c>
      <c r="B284" s="61" t="s">
        <v>612</v>
      </c>
      <c r="C284" s="62">
        <v>0</v>
      </c>
    </row>
    <row r="285" spans="1:3" ht="15.75" hidden="1" customHeight="1" x14ac:dyDescent="0.25">
      <c r="A285" s="61" t="s">
        <v>206</v>
      </c>
      <c r="B285" s="61" t="s">
        <v>612</v>
      </c>
      <c r="C285" s="62">
        <v>0</v>
      </c>
    </row>
    <row r="286" spans="1:3" ht="15.75" hidden="1" customHeight="1" x14ac:dyDescent="0.25">
      <c r="A286" s="60" t="s">
        <v>568</v>
      </c>
      <c r="B286" s="61" t="s">
        <v>612</v>
      </c>
      <c r="C286" s="62">
        <v>5023</v>
      </c>
    </row>
    <row r="287" spans="1:3" ht="15.75" hidden="1" customHeight="1" x14ac:dyDescent="0.25">
      <c r="A287" s="60" t="s">
        <v>1198</v>
      </c>
      <c r="B287" s="61" t="s">
        <v>608</v>
      </c>
      <c r="C287" s="62">
        <v>65.333333330000002</v>
      </c>
    </row>
    <row r="288" spans="1:3" ht="15.75" hidden="1" customHeight="1" x14ac:dyDescent="0.25">
      <c r="A288" s="60" t="s">
        <v>116</v>
      </c>
      <c r="B288" s="61" t="s">
        <v>615</v>
      </c>
      <c r="C288" s="62">
        <v>2012.98701299</v>
      </c>
    </row>
    <row r="289" spans="1:3" ht="15.75" hidden="1" customHeight="1" x14ac:dyDescent="0.25">
      <c r="A289" s="60" t="s">
        <v>831</v>
      </c>
      <c r="B289" s="61" t="s">
        <v>612</v>
      </c>
      <c r="C289" s="62">
        <v>1600</v>
      </c>
    </row>
    <row r="290" spans="1:3" hidden="1" x14ac:dyDescent="0.25">
      <c r="A290" s="60" t="s">
        <v>703</v>
      </c>
      <c r="B290" s="61" t="s">
        <v>612</v>
      </c>
      <c r="C290" s="62">
        <v>49268.9</v>
      </c>
    </row>
    <row r="291" spans="1:3" hidden="1" x14ac:dyDescent="0.25">
      <c r="A291" s="61" t="s">
        <v>976</v>
      </c>
      <c r="B291" s="61" t="s">
        <v>608</v>
      </c>
      <c r="C291" s="62">
        <v>25</v>
      </c>
    </row>
    <row r="292" spans="1:3" ht="15.75" hidden="1" customHeight="1" x14ac:dyDescent="0.25">
      <c r="A292" s="61" t="s">
        <v>652</v>
      </c>
      <c r="B292" s="61" t="s">
        <v>612</v>
      </c>
      <c r="C292" s="62">
        <v>0</v>
      </c>
    </row>
    <row r="293" spans="1:3" ht="15.75" hidden="1" customHeight="1" x14ac:dyDescent="0.25">
      <c r="A293" s="60" t="s">
        <v>207</v>
      </c>
      <c r="B293" s="61" t="s">
        <v>608</v>
      </c>
      <c r="C293" s="62">
        <v>12.17853483</v>
      </c>
    </row>
    <row r="294" spans="1:3" hidden="1" x14ac:dyDescent="0.25">
      <c r="A294" s="60" t="s">
        <v>1113</v>
      </c>
      <c r="B294" s="61" t="s">
        <v>608</v>
      </c>
      <c r="C294" s="62">
        <v>9.9206088000000001</v>
      </c>
    </row>
    <row r="295" spans="1:3" hidden="1" x14ac:dyDescent="0.25">
      <c r="A295" s="60" t="s">
        <v>724</v>
      </c>
      <c r="B295" s="61" t="s">
        <v>608</v>
      </c>
      <c r="C295" s="62">
        <v>17.88</v>
      </c>
    </row>
    <row r="296" spans="1:3" ht="15.75" hidden="1" customHeight="1" x14ac:dyDescent="0.25">
      <c r="A296" s="60" t="s">
        <v>727</v>
      </c>
      <c r="B296" s="61" t="s">
        <v>608</v>
      </c>
      <c r="C296" s="62">
        <v>8</v>
      </c>
    </row>
    <row r="297" spans="1:3" ht="15.75" hidden="1" customHeight="1" x14ac:dyDescent="0.25">
      <c r="A297" s="60" t="s">
        <v>613</v>
      </c>
      <c r="B297" s="61" t="s">
        <v>608</v>
      </c>
      <c r="C297" s="62">
        <v>8</v>
      </c>
    </row>
    <row r="298" spans="1:3" hidden="1" x14ac:dyDescent="0.25">
      <c r="A298" s="60" t="s">
        <v>1026</v>
      </c>
      <c r="B298" s="61" t="s">
        <v>608</v>
      </c>
      <c r="C298" s="62">
        <v>148</v>
      </c>
    </row>
    <row r="299" spans="1:3" ht="15.75" hidden="1" customHeight="1" x14ac:dyDescent="0.25">
      <c r="A299" s="60" t="s">
        <v>1029</v>
      </c>
      <c r="B299" s="61" t="s">
        <v>612</v>
      </c>
      <c r="C299" s="62">
        <v>0</v>
      </c>
    </row>
    <row r="300" spans="1:3" ht="15.75" hidden="1" customHeight="1" x14ac:dyDescent="0.25">
      <c r="A300" s="60" t="s">
        <v>1199</v>
      </c>
      <c r="B300" s="61" t="s">
        <v>608</v>
      </c>
      <c r="C300" s="62">
        <v>0</v>
      </c>
    </row>
    <row r="301" spans="1:3" ht="15.75" hidden="1" customHeight="1" x14ac:dyDescent="0.25">
      <c r="A301" s="61" t="s">
        <v>1200</v>
      </c>
      <c r="B301" s="61" t="s">
        <v>615</v>
      </c>
      <c r="C301" s="62">
        <v>5465.125</v>
      </c>
    </row>
    <row r="302" spans="1:3" ht="15.75" hidden="1" customHeight="1" x14ac:dyDescent="0.25">
      <c r="A302" s="61" t="s">
        <v>798</v>
      </c>
      <c r="B302" s="61" t="s">
        <v>608</v>
      </c>
      <c r="C302" s="62">
        <v>4.5</v>
      </c>
    </row>
    <row r="303" spans="1:3" ht="15.75" hidden="1" customHeight="1" x14ac:dyDescent="0.25">
      <c r="A303" s="60" t="s">
        <v>606</v>
      </c>
      <c r="B303" s="61" t="s">
        <v>608</v>
      </c>
      <c r="C303" s="62">
        <v>4.5</v>
      </c>
    </row>
    <row r="304" spans="1:3" ht="15.75" hidden="1" customHeight="1" x14ac:dyDescent="0.25">
      <c r="A304" s="60" t="s">
        <v>835</v>
      </c>
      <c r="B304" s="61" t="s">
        <v>608</v>
      </c>
      <c r="C304" s="62">
        <v>4.5</v>
      </c>
    </row>
    <row r="305" spans="1:3" ht="15.75" hidden="1" customHeight="1" x14ac:dyDescent="0.25">
      <c r="A305" s="61" t="s">
        <v>1101</v>
      </c>
      <c r="B305" s="61" t="s">
        <v>612</v>
      </c>
      <c r="C305" s="62">
        <v>0</v>
      </c>
    </row>
    <row r="306" spans="1:3" hidden="1" x14ac:dyDescent="0.25">
      <c r="A306" s="61" t="s">
        <v>1046</v>
      </c>
      <c r="B306" s="61" t="s">
        <v>612</v>
      </c>
      <c r="C306" s="62">
        <v>12605</v>
      </c>
    </row>
    <row r="307" spans="1:3" hidden="1" x14ac:dyDescent="0.25">
      <c r="A307" s="8" t="s">
        <v>1201</v>
      </c>
      <c r="B307" s="61" t="s">
        <v>612</v>
      </c>
      <c r="C307" s="62">
        <v>0</v>
      </c>
    </row>
    <row r="308" spans="1:3" hidden="1" x14ac:dyDescent="0.25">
      <c r="A308" s="61" t="s">
        <v>635</v>
      </c>
      <c r="B308" s="61" t="s">
        <v>612</v>
      </c>
      <c r="C308" s="62">
        <v>76558.5</v>
      </c>
    </row>
    <row r="309" spans="1:3" hidden="1" x14ac:dyDescent="0.25">
      <c r="A309" s="61" t="s">
        <v>1202</v>
      </c>
      <c r="B309" s="61" t="s">
        <v>883</v>
      </c>
      <c r="C309" s="62">
        <v>76559</v>
      </c>
    </row>
    <row r="310" spans="1:3" hidden="1" x14ac:dyDescent="0.25">
      <c r="A310" s="60" t="s">
        <v>717</v>
      </c>
      <c r="B310" s="61" t="s">
        <v>608</v>
      </c>
      <c r="C310" s="62">
        <v>6.5</v>
      </c>
    </row>
    <row r="311" spans="1:3" hidden="1" x14ac:dyDescent="0.25">
      <c r="A311" s="61" t="s">
        <v>449</v>
      </c>
      <c r="B311" s="61" t="s">
        <v>608</v>
      </c>
      <c r="C311" s="15">
        <v>46.669166670000003</v>
      </c>
    </row>
    <row r="312" spans="1:3" hidden="1" x14ac:dyDescent="0.25">
      <c r="A312" s="60" t="s">
        <v>1102</v>
      </c>
      <c r="B312" s="61" t="s">
        <v>612</v>
      </c>
      <c r="C312" s="62">
        <v>0</v>
      </c>
    </row>
    <row r="313" spans="1:3" ht="15.75" hidden="1" customHeight="1" x14ac:dyDescent="0.25">
      <c r="A313" s="61" t="s">
        <v>1036</v>
      </c>
      <c r="B313" s="61" t="s">
        <v>608</v>
      </c>
      <c r="C313" s="62">
        <v>0</v>
      </c>
    </row>
    <row r="314" spans="1:3" hidden="1" x14ac:dyDescent="0.25">
      <c r="A314" s="60" t="s">
        <v>692</v>
      </c>
      <c r="B314" s="61" t="s">
        <v>608</v>
      </c>
      <c r="C314" s="62">
        <v>18.698499999999999</v>
      </c>
    </row>
    <row r="315" spans="1:3" ht="15.75" hidden="1" customHeight="1" x14ac:dyDescent="0.25">
      <c r="A315" s="60" t="s">
        <v>1008</v>
      </c>
      <c r="B315" s="61" t="s">
        <v>608</v>
      </c>
      <c r="C315" s="62">
        <v>0</v>
      </c>
    </row>
    <row r="316" spans="1:3" hidden="1" x14ac:dyDescent="0.25">
      <c r="A316" s="60" t="s">
        <v>811</v>
      </c>
      <c r="B316" s="61" t="s">
        <v>608</v>
      </c>
      <c r="C316" s="62">
        <v>18.698499999999999</v>
      </c>
    </row>
    <row r="317" spans="1:3" hidden="1" x14ac:dyDescent="0.25">
      <c r="A317" s="61" t="s">
        <v>208</v>
      </c>
      <c r="B317" s="61" t="s">
        <v>612</v>
      </c>
      <c r="C317" s="62">
        <v>1234.3916666699999</v>
      </c>
    </row>
    <row r="318" spans="1:3" ht="15.75" hidden="1" customHeight="1" x14ac:dyDescent="0.25">
      <c r="A318" s="61" t="s">
        <v>209</v>
      </c>
      <c r="B318" s="61" t="s">
        <v>612</v>
      </c>
      <c r="C318" s="62">
        <v>1654.21666667</v>
      </c>
    </row>
    <row r="319" spans="1:3" ht="15.75" hidden="1" customHeight="1" x14ac:dyDescent="0.25">
      <c r="A319" s="60" t="s">
        <v>1045</v>
      </c>
      <c r="B319" s="61" t="s">
        <v>612</v>
      </c>
      <c r="C319" s="62">
        <v>0</v>
      </c>
    </row>
    <row r="320" spans="1:3" ht="15.75" hidden="1" customHeight="1" x14ac:dyDescent="0.25">
      <c r="A320" s="60" t="s">
        <v>714</v>
      </c>
      <c r="B320" s="61" t="s">
        <v>608</v>
      </c>
      <c r="C320" s="65">
        <v>5.5</v>
      </c>
    </row>
    <row r="321" spans="1:3" ht="15.75" hidden="1" customHeight="1" x14ac:dyDescent="0.25">
      <c r="A321" s="60" t="s">
        <v>676</v>
      </c>
      <c r="B321" s="60" t="s">
        <v>612</v>
      </c>
      <c r="C321" s="65">
        <v>0</v>
      </c>
    </row>
    <row r="322" spans="1:3" ht="15.75" hidden="1" customHeight="1" x14ac:dyDescent="0.25">
      <c r="A322" s="61" t="s">
        <v>677</v>
      </c>
      <c r="B322" s="61" t="s">
        <v>608</v>
      </c>
      <c r="C322" s="62">
        <v>2.5</v>
      </c>
    </row>
    <row r="323" spans="1:3" ht="16.5" hidden="1" customHeight="1" x14ac:dyDescent="0.25">
      <c r="A323" s="60" t="s">
        <v>672</v>
      </c>
      <c r="B323" s="61" t="s">
        <v>608</v>
      </c>
      <c r="C323" s="62">
        <v>2.5</v>
      </c>
    </row>
    <row r="324" spans="1:3" ht="16.5" hidden="1" customHeight="1" x14ac:dyDescent="0.25">
      <c r="A324" s="60" t="s">
        <v>1028</v>
      </c>
      <c r="B324" s="61" t="s">
        <v>608</v>
      </c>
      <c r="C324" s="62">
        <v>0</v>
      </c>
    </row>
    <row r="325" spans="1:3" ht="16.5" hidden="1" customHeight="1" x14ac:dyDescent="0.25">
      <c r="A325" s="61" t="s">
        <v>631</v>
      </c>
      <c r="B325" s="61" t="s">
        <v>608</v>
      </c>
      <c r="C325" s="62">
        <v>34.714285709999999</v>
      </c>
    </row>
    <row r="326" spans="1:3" ht="16.5" hidden="1" customHeight="1" x14ac:dyDescent="0.25">
      <c r="A326" s="61" t="s">
        <v>812</v>
      </c>
      <c r="B326" s="61" t="s">
        <v>608</v>
      </c>
      <c r="C326" s="62">
        <v>10.5</v>
      </c>
    </row>
    <row r="327" spans="1:3" ht="16.5" hidden="1" customHeight="1" x14ac:dyDescent="0.25">
      <c r="A327" s="60" t="s">
        <v>789</v>
      </c>
      <c r="B327" s="61" t="s">
        <v>608</v>
      </c>
      <c r="C327" s="62">
        <v>0</v>
      </c>
    </row>
    <row r="328" spans="1:3" ht="16.5" hidden="1" customHeight="1" x14ac:dyDescent="0.25">
      <c r="A328" s="60" t="s">
        <v>732</v>
      </c>
      <c r="B328" s="61" t="s">
        <v>608</v>
      </c>
      <c r="C328" s="62">
        <v>0</v>
      </c>
    </row>
    <row r="329" spans="1:3" ht="16.5" hidden="1" customHeight="1" x14ac:dyDescent="0.25">
      <c r="A329" s="60" t="s">
        <v>1009</v>
      </c>
      <c r="B329" s="61" t="s">
        <v>608</v>
      </c>
      <c r="C329" s="62">
        <v>0</v>
      </c>
    </row>
    <row r="330" spans="1:3" ht="16.5" hidden="1" customHeight="1" x14ac:dyDescent="0.25">
      <c r="A330" s="61" t="s">
        <v>998</v>
      </c>
      <c r="B330" s="61" t="s">
        <v>608</v>
      </c>
      <c r="C330" s="62">
        <v>0</v>
      </c>
    </row>
    <row r="331" spans="1:3" ht="16.5" hidden="1" customHeight="1" x14ac:dyDescent="0.25">
      <c r="A331" s="60" t="s">
        <v>673</v>
      </c>
      <c r="B331" s="61" t="s">
        <v>608</v>
      </c>
      <c r="C331" s="62">
        <v>5.5</v>
      </c>
    </row>
    <row r="332" spans="1:3" hidden="1" x14ac:dyDescent="0.25">
      <c r="A332" s="60" t="s">
        <v>1203</v>
      </c>
      <c r="B332" s="61" t="s">
        <v>608</v>
      </c>
      <c r="C332" s="62">
        <v>0</v>
      </c>
    </row>
    <row r="333" spans="1:3" hidden="1" x14ac:dyDescent="0.25">
      <c r="A333" s="60" t="s">
        <v>1051</v>
      </c>
      <c r="B333" s="61" t="s">
        <v>608</v>
      </c>
      <c r="C333" s="62">
        <v>0</v>
      </c>
    </row>
    <row r="334" spans="1:3" ht="16.5" hidden="1" customHeight="1" x14ac:dyDescent="0.25">
      <c r="A334" s="61" t="s">
        <v>210</v>
      </c>
      <c r="B334" s="61" t="s">
        <v>608</v>
      </c>
      <c r="C334" s="15">
        <v>2.99</v>
      </c>
    </row>
    <row r="335" spans="1:3" ht="16.5" hidden="1" customHeight="1" x14ac:dyDescent="0.25">
      <c r="A335" s="61" t="s">
        <v>1204</v>
      </c>
      <c r="B335" s="8" t="s">
        <v>608</v>
      </c>
      <c r="C335" s="15">
        <v>44.21052632</v>
      </c>
    </row>
    <row r="336" spans="1:3" ht="16.5" hidden="1" customHeight="1" x14ac:dyDescent="0.25">
      <c r="A336" s="60" t="s">
        <v>1067</v>
      </c>
      <c r="B336" s="61" t="s">
        <v>608</v>
      </c>
      <c r="C336" s="62">
        <v>26.703749999999999</v>
      </c>
    </row>
    <row r="337" spans="1:3" ht="16.5" hidden="1" customHeight="1" x14ac:dyDescent="0.25">
      <c r="A337" s="60" t="s">
        <v>619</v>
      </c>
      <c r="B337" s="61" t="s">
        <v>608</v>
      </c>
      <c r="C337" s="65">
        <v>26.27257651</v>
      </c>
    </row>
    <row r="338" spans="1:3" ht="16.5" hidden="1" customHeight="1" x14ac:dyDescent="0.25">
      <c r="A338" s="61" t="s">
        <v>678</v>
      </c>
      <c r="B338" s="61" t="s">
        <v>608</v>
      </c>
      <c r="C338" s="62">
        <v>8</v>
      </c>
    </row>
    <row r="339" spans="1:3" ht="16.5" hidden="1" customHeight="1" x14ac:dyDescent="0.25">
      <c r="A339" s="60" t="s">
        <v>114</v>
      </c>
      <c r="B339" s="61" t="s">
        <v>612</v>
      </c>
      <c r="C339" s="62">
        <v>436</v>
      </c>
    </row>
    <row r="340" spans="1:3" ht="16.5" hidden="1" customHeight="1" x14ac:dyDescent="0.25">
      <c r="A340" s="60" t="s">
        <v>1064</v>
      </c>
      <c r="B340" s="61" t="s">
        <v>608</v>
      </c>
      <c r="C340" s="62">
        <v>12.5</v>
      </c>
    </row>
    <row r="341" spans="1:3" ht="16.5" hidden="1" customHeight="1" x14ac:dyDescent="0.25">
      <c r="A341" s="60" t="s">
        <v>618</v>
      </c>
      <c r="B341" s="61" t="s">
        <v>612</v>
      </c>
      <c r="C341" s="62">
        <v>171.97888889000001</v>
      </c>
    </row>
    <row r="342" spans="1:3" ht="16.5" hidden="1" customHeight="1" x14ac:dyDescent="0.25">
      <c r="A342" s="61" t="s">
        <v>211</v>
      </c>
      <c r="B342" s="61" t="s">
        <v>615</v>
      </c>
      <c r="C342" s="62">
        <f>221000/22</f>
        <v>10045.454545454546</v>
      </c>
    </row>
    <row r="343" spans="1:3" ht="16.5" hidden="1" customHeight="1" x14ac:dyDescent="0.25">
      <c r="A343" s="60" t="s">
        <v>1205</v>
      </c>
      <c r="B343" s="61" t="s">
        <v>615</v>
      </c>
      <c r="C343" s="62">
        <f>156675/20</f>
        <v>7833.75</v>
      </c>
    </row>
    <row r="344" spans="1:3" ht="16.5" hidden="1" customHeight="1" x14ac:dyDescent="0.25">
      <c r="A344" s="60" t="s">
        <v>1103</v>
      </c>
      <c r="B344" s="61" t="s">
        <v>612</v>
      </c>
      <c r="C344" s="62">
        <v>17.309378150000001</v>
      </c>
    </row>
    <row r="345" spans="1:3" ht="16.5" hidden="1" customHeight="1" x14ac:dyDescent="0.25">
      <c r="A345" s="60" t="s">
        <v>1070</v>
      </c>
      <c r="B345" s="61" t="s">
        <v>612</v>
      </c>
      <c r="C345" s="65">
        <v>86.55</v>
      </c>
    </row>
    <row r="346" spans="1:3" ht="16.5" hidden="1" customHeight="1" x14ac:dyDescent="0.25">
      <c r="A346" s="61" t="s">
        <v>321</v>
      </c>
      <c r="B346" s="61" t="s">
        <v>608</v>
      </c>
      <c r="C346" s="62">
        <v>12</v>
      </c>
    </row>
    <row r="347" spans="1:3" ht="16.5" hidden="1" customHeight="1" x14ac:dyDescent="0.25">
      <c r="A347" s="60" t="s">
        <v>212</v>
      </c>
      <c r="B347" s="61" t="s">
        <v>608</v>
      </c>
      <c r="C347" s="62">
        <v>40.047916669999999</v>
      </c>
    </row>
    <row r="348" spans="1:3" ht="16.5" hidden="1" customHeight="1" x14ac:dyDescent="0.25">
      <c r="A348" s="61" t="s">
        <v>213</v>
      </c>
      <c r="B348" s="61" t="s">
        <v>608</v>
      </c>
      <c r="C348" s="62">
        <v>18.571208330000001</v>
      </c>
    </row>
    <row r="349" spans="1:3" ht="16.5" hidden="1" customHeight="1" x14ac:dyDescent="0.25">
      <c r="A349" s="61" t="s">
        <v>214</v>
      </c>
      <c r="B349" s="61" t="s">
        <v>608</v>
      </c>
      <c r="C349" s="62">
        <v>13.02</v>
      </c>
    </row>
    <row r="350" spans="1:3" ht="16.5" hidden="1" customHeight="1" x14ac:dyDescent="0.25">
      <c r="A350" s="60" t="s">
        <v>759</v>
      </c>
      <c r="B350" s="61" t="s">
        <v>608</v>
      </c>
      <c r="C350" s="62">
        <v>66.665742300000005</v>
      </c>
    </row>
    <row r="351" spans="1:3" ht="16.5" hidden="1" customHeight="1" x14ac:dyDescent="0.25">
      <c r="A351" s="60" t="s">
        <v>623</v>
      </c>
      <c r="B351" s="61" t="s">
        <v>612</v>
      </c>
      <c r="C351" s="62">
        <v>176000</v>
      </c>
    </row>
    <row r="352" spans="1:3" ht="16.5" hidden="1" customHeight="1" x14ac:dyDescent="0.25">
      <c r="A352" s="60" t="s">
        <v>769</v>
      </c>
      <c r="B352" s="61" t="s">
        <v>612</v>
      </c>
      <c r="C352" s="62">
        <v>97685.185184999995</v>
      </c>
    </row>
    <row r="353" spans="1:3" ht="16.5" hidden="1" customHeight="1" x14ac:dyDescent="0.25">
      <c r="A353" s="61" t="s">
        <v>680</v>
      </c>
      <c r="B353" s="61" t="s">
        <v>608</v>
      </c>
      <c r="C353" s="62">
        <v>7.8</v>
      </c>
    </row>
    <row r="354" spans="1:3" ht="16.5" hidden="1" customHeight="1" x14ac:dyDescent="0.25">
      <c r="A354" s="61" t="s">
        <v>88</v>
      </c>
      <c r="B354" s="61" t="s">
        <v>608</v>
      </c>
      <c r="C354" s="62">
        <v>45.428217600000004</v>
      </c>
    </row>
    <row r="355" spans="1:3" hidden="1" x14ac:dyDescent="0.25">
      <c r="A355" s="61" t="s">
        <v>215</v>
      </c>
      <c r="B355" s="61" t="s">
        <v>608</v>
      </c>
      <c r="C355" s="62">
        <v>9.4001596599999999</v>
      </c>
    </row>
    <row r="356" spans="1:3" hidden="1" x14ac:dyDescent="0.25">
      <c r="A356" s="60" t="s">
        <v>100</v>
      </c>
      <c r="B356" s="61" t="s">
        <v>608</v>
      </c>
      <c r="C356" s="62">
        <v>29</v>
      </c>
    </row>
    <row r="357" spans="1:3" hidden="1" x14ac:dyDescent="0.25">
      <c r="A357" s="61" t="s">
        <v>709</v>
      </c>
      <c r="B357" s="61" t="s">
        <v>608</v>
      </c>
      <c r="C357" s="62">
        <v>3.2</v>
      </c>
    </row>
    <row r="358" spans="1:3" ht="17.25" hidden="1" customHeight="1" x14ac:dyDescent="0.25">
      <c r="A358" s="61" t="s">
        <v>1084</v>
      </c>
      <c r="B358" s="61" t="s">
        <v>608</v>
      </c>
      <c r="C358" s="62">
        <v>39.333333330000002</v>
      </c>
    </row>
    <row r="359" spans="1:3" ht="17.25" hidden="1" customHeight="1" x14ac:dyDescent="0.25">
      <c r="A359" s="61" t="s">
        <v>216</v>
      </c>
      <c r="B359" s="61" t="s">
        <v>612</v>
      </c>
      <c r="C359" s="62">
        <v>40936</v>
      </c>
    </row>
    <row r="360" spans="1:3" ht="17.25" hidden="1" customHeight="1" x14ac:dyDescent="0.25">
      <c r="A360" s="61" t="s">
        <v>217</v>
      </c>
      <c r="B360" s="61" t="s">
        <v>612</v>
      </c>
      <c r="C360" s="62">
        <v>80870</v>
      </c>
    </row>
    <row r="361" spans="1:3" ht="17.25" hidden="1" customHeight="1" x14ac:dyDescent="0.25">
      <c r="A361" s="60" t="s">
        <v>942</v>
      </c>
      <c r="B361" s="61" t="s">
        <v>612</v>
      </c>
      <c r="C361" s="62">
        <v>80870</v>
      </c>
    </row>
    <row r="362" spans="1:3" ht="17.25" hidden="1" customHeight="1" x14ac:dyDescent="0.25">
      <c r="A362" s="61" t="s">
        <v>781</v>
      </c>
      <c r="B362" s="61" t="s">
        <v>612</v>
      </c>
      <c r="C362" s="62">
        <v>80870</v>
      </c>
    </row>
    <row r="363" spans="1:3" ht="17.25" hidden="1" customHeight="1" x14ac:dyDescent="0.25">
      <c r="A363" s="61" t="s">
        <v>1206</v>
      </c>
      <c r="B363" s="61" t="s">
        <v>612</v>
      </c>
      <c r="C363" s="62">
        <v>0</v>
      </c>
    </row>
    <row r="364" spans="1:3" hidden="1" x14ac:dyDescent="0.25">
      <c r="A364" s="61" t="s">
        <v>1207</v>
      </c>
      <c r="B364" s="61" t="s">
        <v>608</v>
      </c>
      <c r="C364" s="62">
        <v>11.8</v>
      </c>
    </row>
    <row r="365" spans="1:3" hidden="1" x14ac:dyDescent="0.25">
      <c r="A365" s="8" t="s">
        <v>344</v>
      </c>
      <c r="B365" s="61" t="s">
        <v>608</v>
      </c>
      <c r="C365" s="15">
        <v>7.5</v>
      </c>
    </row>
    <row r="366" spans="1:3" hidden="1" x14ac:dyDescent="0.25">
      <c r="A366" s="61" t="s">
        <v>641</v>
      </c>
      <c r="B366" s="61" t="s">
        <v>608</v>
      </c>
      <c r="C366" s="62">
        <v>8.9</v>
      </c>
    </row>
    <row r="367" spans="1:3" hidden="1" x14ac:dyDescent="0.25">
      <c r="A367" s="61" t="s">
        <v>954</v>
      </c>
      <c r="B367" s="61" t="s">
        <v>608</v>
      </c>
      <c r="C367" s="62">
        <v>114.62</v>
      </c>
    </row>
    <row r="368" spans="1:3" hidden="1" x14ac:dyDescent="0.25">
      <c r="A368" s="61" t="s">
        <v>218</v>
      </c>
      <c r="B368" s="61" t="s">
        <v>608</v>
      </c>
      <c r="C368" s="62">
        <v>9</v>
      </c>
    </row>
    <row r="369" spans="1:3" hidden="1" x14ac:dyDescent="0.25">
      <c r="A369" s="60" t="s">
        <v>937</v>
      </c>
      <c r="B369" s="61" t="s">
        <v>612</v>
      </c>
      <c r="C369" s="62">
        <v>93956</v>
      </c>
    </row>
    <row r="370" spans="1:3" hidden="1" x14ac:dyDescent="0.25">
      <c r="A370" s="61" t="s">
        <v>219</v>
      </c>
      <c r="B370" s="61" t="s">
        <v>608</v>
      </c>
      <c r="C370" s="62">
        <v>30.77</v>
      </c>
    </row>
    <row r="371" spans="1:3" hidden="1" x14ac:dyDescent="0.25">
      <c r="A371" s="60" t="s">
        <v>738</v>
      </c>
      <c r="B371" s="61" t="s">
        <v>612</v>
      </c>
      <c r="C371" s="62">
        <v>8.9458333299999993</v>
      </c>
    </row>
    <row r="372" spans="1:3" hidden="1" x14ac:dyDescent="0.25">
      <c r="A372" s="60" t="s">
        <v>1208</v>
      </c>
      <c r="B372" s="61" t="s">
        <v>612</v>
      </c>
      <c r="C372" s="62">
        <v>107.3</v>
      </c>
    </row>
    <row r="373" spans="1:3" hidden="1" x14ac:dyDescent="0.25">
      <c r="A373" s="60" t="s">
        <v>797</v>
      </c>
      <c r="B373" s="61" t="s">
        <v>612</v>
      </c>
      <c r="C373" s="62">
        <v>506</v>
      </c>
    </row>
    <row r="374" spans="1:3" hidden="1" x14ac:dyDescent="0.25">
      <c r="A374" s="60" t="s">
        <v>716</v>
      </c>
      <c r="B374" s="61" t="s">
        <v>612</v>
      </c>
      <c r="C374" s="62">
        <v>809.99</v>
      </c>
    </row>
    <row r="375" spans="1:3" hidden="1" x14ac:dyDescent="0.25">
      <c r="A375" s="61" t="s">
        <v>910</v>
      </c>
      <c r="B375" s="61" t="s">
        <v>612</v>
      </c>
      <c r="C375" s="62">
        <v>1088.3</v>
      </c>
    </row>
    <row r="376" spans="1:3" hidden="1" x14ac:dyDescent="0.25">
      <c r="A376" s="61" t="s">
        <v>907</v>
      </c>
      <c r="B376" s="61" t="s">
        <v>612</v>
      </c>
      <c r="C376" s="62">
        <v>1750</v>
      </c>
    </row>
    <row r="377" spans="1:3" hidden="1" x14ac:dyDescent="0.25">
      <c r="A377" s="61" t="s">
        <v>345</v>
      </c>
      <c r="B377" s="61" t="s">
        <v>612</v>
      </c>
      <c r="C377" s="62">
        <v>1600</v>
      </c>
    </row>
    <row r="378" spans="1:3" hidden="1" x14ac:dyDescent="0.25">
      <c r="A378" s="61" t="s">
        <v>987</v>
      </c>
      <c r="B378" s="61" t="s">
        <v>612</v>
      </c>
      <c r="C378" s="62">
        <v>0</v>
      </c>
    </row>
    <row r="379" spans="1:3" hidden="1" x14ac:dyDescent="0.25">
      <c r="A379" s="60" t="s">
        <v>309</v>
      </c>
      <c r="B379" s="61" t="s">
        <v>612</v>
      </c>
      <c r="C379" s="62">
        <v>1892.5</v>
      </c>
    </row>
    <row r="380" spans="1:3" hidden="1" x14ac:dyDescent="0.25">
      <c r="A380" s="60" t="s">
        <v>1209</v>
      </c>
      <c r="B380" s="61" t="s">
        <v>612</v>
      </c>
      <c r="C380" s="62">
        <v>90.245000000000005</v>
      </c>
    </row>
    <row r="381" spans="1:3" hidden="1" x14ac:dyDescent="0.25">
      <c r="A381" s="60" t="s">
        <v>719</v>
      </c>
      <c r="B381" s="61" t="s">
        <v>608</v>
      </c>
      <c r="C381" s="62">
        <v>6.2119999999999997</v>
      </c>
    </row>
    <row r="382" spans="1:3" hidden="1" x14ac:dyDescent="0.25">
      <c r="A382" s="8" t="s">
        <v>843</v>
      </c>
      <c r="B382" s="61" t="s">
        <v>608</v>
      </c>
      <c r="C382" s="62">
        <v>1.5</v>
      </c>
    </row>
    <row r="383" spans="1:3" hidden="1" x14ac:dyDescent="0.25">
      <c r="A383" s="60" t="s">
        <v>220</v>
      </c>
      <c r="B383" s="61" t="s">
        <v>608</v>
      </c>
      <c r="C383" s="62">
        <v>4.5</v>
      </c>
    </row>
    <row r="384" spans="1:3" hidden="1" x14ac:dyDescent="0.25">
      <c r="A384" s="60" t="s">
        <v>639</v>
      </c>
      <c r="B384" s="61" t="s">
        <v>608</v>
      </c>
      <c r="C384" s="62">
        <v>21.062408219999998</v>
      </c>
    </row>
    <row r="385" spans="1:3" hidden="1" x14ac:dyDescent="0.25">
      <c r="A385" s="60" t="s">
        <v>616</v>
      </c>
      <c r="B385" s="61" t="s">
        <v>608</v>
      </c>
      <c r="C385" s="62">
        <v>7.8</v>
      </c>
    </row>
    <row r="386" spans="1:3" hidden="1" x14ac:dyDescent="0.25">
      <c r="A386" s="60" t="s">
        <v>1001</v>
      </c>
      <c r="B386" s="61" t="s">
        <v>608</v>
      </c>
      <c r="C386" s="62">
        <v>0</v>
      </c>
    </row>
    <row r="387" spans="1:3" hidden="1" x14ac:dyDescent="0.25">
      <c r="A387" s="61" t="s">
        <v>1041</v>
      </c>
      <c r="B387" s="61" t="s">
        <v>612</v>
      </c>
      <c r="C387" s="62">
        <v>0</v>
      </c>
    </row>
    <row r="388" spans="1:3" hidden="1" x14ac:dyDescent="0.25">
      <c r="A388" s="61" t="s">
        <v>967</v>
      </c>
      <c r="B388" s="61" t="s">
        <v>612</v>
      </c>
      <c r="C388" s="62">
        <v>35649.980000000003</v>
      </c>
    </row>
    <row r="389" spans="1:3" hidden="1" x14ac:dyDescent="0.25">
      <c r="A389" s="61" t="s">
        <v>1033</v>
      </c>
      <c r="B389" s="61" t="s">
        <v>608</v>
      </c>
      <c r="C389" s="62">
        <v>17.410252100000001</v>
      </c>
    </row>
    <row r="390" spans="1:3" hidden="1" x14ac:dyDescent="0.25">
      <c r="A390" s="61" t="s">
        <v>1210</v>
      </c>
      <c r="B390" s="61" t="s">
        <v>608</v>
      </c>
      <c r="C390" s="62">
        <v>25.531333329999999</v>
      </c>
    </row>
    <row r="391" spans="1:3" hidden="1" x14ac:dyDescent="0.25">
      <c r="A391" s="60" t="s">
        <v>947</v>
      </c>
      <c r="B391" s="61" t="s">
        <v>608</v>
      </c>
      <c r="C391" s="62">
        <v>0</v>
      </c>
    </row>
    <row r="392" spans="1:3" hidden="1" x14ac:dyDescent="0.25">
      <c r="A392" s="60" t="s">
        <v>936</v>
      </c>
      <c r="B392" s="61" t="s">
        <v>612</v>
      </c>
      <c r="C392" s="62">
        <v>105046</v>
      </c>
    </row>
    <row r="393" spans="1:3" hidden="1" x14ac:dyDescent="0.25">
      <c r="A393" s="60" t="s">
        <v>1075</v>
      </c>
      <c r="B393" s="61" t="s">
        <v>608</v>
      </c>
      <c r="C393" s="62">
        <v>0</v>
      </c>
    </row>
    <row r="394" spans="1:3" hidden="1" x14ac:dyDescent="0.25">
      <c r="A394" s="60" t="s">
        <v>754</v>
      </c>
      <c r="B394" s="61" t="s">
        <v>608</v>
      </c>
      <c r="C394" s="62">
        <v>2.7</v>
      </c>
    </row>
    <row r="395" spans="1:3" hidden="1" x14ac:dyDescent="0.25">
      <c r="A395" s="60" t="s">
        <v>1211</v>
      </c>
      <c r="B395" s="61" t="s">
        <v>608</v>
      </c>
      <c r="C395" s="62">
        <v>9.8000000000000007</v>
      </c>
    </row>
    <row r="396" spans="1:3" hidden="1" x14ac:dyDescent="0.25">
      <c r="A396" s="60" t="s">
        <v>818</v>
      </c>
      <c r="B396" s="61" t="s">
        <v>608</v>
      </c>
      <c r="C396" s="62">
        <v>8</v>
      </c>
    </row>
    <row r="397" spans="1:3" hidden="1" x14ac:dyDescent="0.25">
      <c r="A397" s="60" t="s">
        <v>886</v>
      </c>
      <c r="B397" s="61" t="s">
        <v>608</v>
      </c>
      <c r="C397" s="62">
        <v>350</v>
      </c>
    </row>
    <row r="398" spans="1:3" hidden="1" x14ac:dyDescent="0.25">
      <c r="A398" s="61" t="s">
        <v>636</v>
      </c>
      <c r="B398" s="61" t="s">
        <v>612</v>
      </c>
      <c r="C398" s="62">
        <v>42865</v>
      </c>
    </row>
    <row r="399" spans="1:3" hidden="1" x14ac:dyDescent="0.25">
      <c r="A399" s="60" t="s">
        <v>832</v>
      </c>
      <c r="B399" s="61" t="s">
        <v>608</v>
      </c>
      <c r="C399" s="62">
        <v>4.8</v>
      </c>
    </row>
    <row r="400" spans="1:3" hidden="1" x14ac:dyDescent="0.25">
      <c r="A400" s="60" t="s">
        <v>943</v>
      </c>
      <c r="B400" s="61" t="s">
        <v>612</v>
      </c>
      <c r="C400" s="62">
        <v>0</v>
      </c>
    </row>
    <row r="401" spans="1:3" hidden="1" x14ac:dyDescent="0.25">
      <c r="A401" s="52" t="s">
        <v>817</v>
      </c>
      <c r="B401" s="67" t="s">
        <v>608</v>
      </c>
      <c r="C401" s="68">
        <v>6</v>
      </c>
    </row>
    <row r="402" spans="1:3" hidden="1" x14ac:dyDescent="0.25">
      <c r="A402" s="69" t="s">
        <v>840</v>
      </c>
      <c r="B402" s="67" t="s">
        <v>608</v>
      </c>
      <c r="C402" s="68">
        <v>57.218061669999997</v>
      </c>
    </row>
    <row r="403" spans="1:3" hidden="1" x14ac:dyDescent="0.25">
      <c r="A403" s="60" t="s">
        <v>992</v>
      </c>
      <c r="B403" s="61" t="s">
        <v>615</v>
      </c>
      <c r="C403" s="62">
        <v>6303.0416666700003</v>
      </c>
    </row>
    <row r="404" spans="1:3" hidden="1" x14ac:dyDescent="0.25">
      <c r="A404" s="60" t="s">
        <v>651</v>
      </c>
      <c r="B404" s="61" t="s">
        <v>615</v>
      </c>
      <c r="C404" s="62">
        <v>3103.4482758600002</v>
      </c>
    </row>
    <row r="405" spans="1:3" hidden="1" x14ac:dyDescent="0.25">
      <c r="A405" s="60" t="s">
        <v>1055</v>
      </c>
      <c r="B405" s="61" t="s">
        <v>608</v>
      </c>
      <c r="C405" s="62">
        <v>89.67</v>
      </c>
    </row>
    <row r="406" spans="1:3" hidden="1" x14ac:dyDescent="0.25">
      <c r="A406" s="60" t="s">
        <v>958</v>
      </c>
      <c r="B406" s="61" t="s">
        <v>612</v>
      </c>
      <c r="C406" s="62">
        <v>84.99</v>
      </c>
    </row>
    <row r="407" spans="1:3" hidden="1" x14ac:dyDescent="0.25">
      <c r="A407" s="60" t="s">
        <v>56</v>
      </c>
      <c r="B407" s="61" t="s">
        <v>608</v>
      </c>
      <c r="C407" s="62">
        <v>3.5</v>
      </c>
    </row>
    <row r="408" spans="1:3" hidden="1" x14ac:dyDescent="0.25">
      <c r="A408" s="60" t="s">
        <v>627</v>
      </c>
      <c r="B408" s="61" t="s">
        <v>608</v>
      </c>
      <c r="C408" s="62">
        <v>3.3</v>
      </c>
    </row>
    <row r="409" spans="1:3" hidden="1" x14ac:dyDescent="0.25">
      <c r="A409" s="60" t="s">
        <v>1212</v>
      </c>
      <c r="B409" s="61" t="s">
        <v>612</v>
      </c>
      <c r="C409" s="62">
        <v>0</v>
      </c>
    </row>
    <row r="410" spans="1:3" hidden="1" x14ac:dyDescent="0.25">
      <c r="A410" s="60" t="s">
        <v>595</v>
      </c>
      <c r="B410" s="61" t="s">
        <v>608</v>
      </c>
      <c r="C410" s="62">
        <v>0</v>
      </c>
    </row>
    <row r="411" spans="1:3" hidden="1" x14ac:dyDescent="0.25">
      <c r="A411" s="61" t="s">
        <v>221</v>
      </c>
      <c r="B411" s="61" t="s">
        <v>608</v>
      </c>
      <c r="C411" s="62">
        <v>8.8172437000000006</v>
      </c>
    </row>
    <row r="412" spans="1:3" hidden="1" x14ac:dyDescent="0.25">
      <c r="A412" s="60" t="s">
        <v>1023</v>
      </c>
      <c r="B412" s="61" t="s">
        <v>612</v>
      </c>
      <c r="C412" s="65">
        <v>0</v>
      </c>
    </row>
    <row r="413" spans="1:3" hidden="1" x14ac:dyDescent="0.25">
      <c r="A413" s="60" t="s">
        <v>626</v>
      </c>
      <c r="B413" s="61" t="s">
        <v>612</v>
      </c>
      <c r="C413" s="62">
        <v>0</v>
      </c>
    </row>
    <row r="414" spans="1:3" hidden="1" x14ac:dyDescent="0.25">
      <c r="A414" s="61" t="s">
        <v>637</v>
      </c>
      <c r="B414" s="61" t="s">
        <v>612</v>
      </c>
      <c r="C414" s="62">
        <v>3300</v>
      </c>
    </row>
    <row r="415" spans="1:3" hidden="1" x14ac:dyDescent="0.25">
      <c r="A415" s="69" t="s">
        <v>656</v>
      </c>
      <c r="B415" s="67" t="s">
        <v>612</v>
      </c>
      <c r="C415" s="68">
        <v>1900</v>
      </c>
    </row>
    <row r="416" spans="1:3" hidden="1" x14ac:dyDescent="0.25">
      <c r="A416" s="69" t="s">
        <v>977</v>
      </c>
      <c r="B416" s="67" t="s">
        <v>608</v>
      </c>
      <c r="C416" s="68">
        <v>0</v>
      </c>
    </row>
    <row r="417" spans="1:3" hidden="1" x14ac:dyDescent="0.25">
      <c r="A417" s="69" t="s">
        <v>104</v>
      </c>
      <c r="B417" s="67" t="s">
        <v>612</v>
      </c>
      <c r="C417" s="68">
        <v>1800</v>
      </c>
    </row>
    <row r="418" spans="1:3" hidden="1" x14ac:dyDescent="0.25">
      <c r="A418" s="69" t="s">
        <v>105</v>
      </c>
      <c r="B418" s="67" t="s">
        <v>612</v>
      </c>
      <c r="C418" s="68">
        <v>2714.2857142900002</v>
      </c>
    </row>
    <row r="419" spans="1:3" hidden="1" x14ac:dyDescent="0.25">
      <c r="A419" s="67" t="s">
        <v>115</v>
      </c>
      <c r="B419" s="67" t="s">
        <v>608</v>
      </c>
      <c r="C419" s="68">
        <v>64.855000000000004</v>
      </c>
    </row>
    <row r="420" spans="1:3" hidden="1" x14ac:dyDescent="0.25">
      <c r="A420" s="69" t="s">
        <v>1057</v>
      </c>
      <c r="B420" s="67" t="s">
        <v>612</v>
      </c>
      <c r="C420" s="68">
        <v>0</v>
      </c>
    </row>
    <row r="421" spans="1:3" hidden="1" x14ac:dyDescent="0.25">
      <c r="A421" s="61" t="s">
        <v>777</v>
      </c>
      <c r="B421" s="61" t="s">
        <v>608</v>
      </c>
      <c r="C421" s="62">
        <v>0</v>
      </c>
    </row>
    <row r="422" spans="1:3" hidden="1" x14ac:dyDescent="0.25">
      <c r="A422" s="60" t="s">
        <v>760</v>
      </c>
      <c r="B422" s="61" t="s">
        <v>608</v>
      </c>
      <c r="C422" s="62">
        <v>71.281041669999993</v>
      </c>
    </row>
    <row r="423" spans="1:3" hidden="1" x14ac:dyDescent="0.25">
      <c r="A423" s="60" t="s">
        <v>451</v>
      </c>
      <c r="B423" s="61" t="s">
        <v>608</v>
      </c>
      <c r="C423" s="62">
        <v>60.987499999999997</v>
      </c>
    </row>
    <row r="424" spans="1:3" hidden="1" x14ac:dyDescent="0.25">
      <c r="A424" s="61" t="s">
        <v>624</v>
      </c>
      <c r="B424" s="61" t="s">
        <v>608</v>
      </c>
      <c r="C424" s="62">
        <v>32.29</v>
      </c>
    </row>
    <row r="425" spans="1:3" hidden="1" x14ac:dyDescent="0.25">
      <c r="A425" s="60" t="s">
        <v>107</v>
      </c>
      <c r="B425" s="61" t="s">
        <v>608</v>
      </c>
      <c r="C425" s="62">
        <v>19.747499999999999</v>
      </c>
    </row>
    <row r="426" spans="1:3" x14ac:dyDescent="0.25">
      <c r="A426" s="60" t="s">
        <v>905</v>
      </c>
      <c r="B426" s="61" t="s">
        <v>608</v>
      </c>
      <c r="C426" s="62">
        <v>67</v>
      </c>
    </row>
    <row r="427" spans="1:3" x14ac:dyDescent="0.25">
      <c r="A427" s="60" t="s">
        <v>308</v>
      </c>
      <c r="B427" s="61" t="s">
        <v>608</v>
      </c>
      <c r="C427" s="62">
        <v>24.115200000000002</v>
      </c>
    </row>
    <row r="428" spans="1:3" hidden="1" x14ac:dyDescent="0.25">
      <c r="A428" s="60" t="s">
        <v>1213</v>
      </c>
      <c r="B428" s="61" t="s">
        <v>883</v>
      </c>
      <c r="C428" s="62">
        <v>35899.067227</v>
      </c>
    </row>
    <row r="429" spans="1:3" hidden="1" x14ac:dyDescent="0.25">
      <c r="A429" s="60" t="s">
        <v>1214</v>
      </c>
      <c r="B429" s="61" t="s">
        <v>608</v>
      </c>
      <c r="C429" s="62">
        <v>133.01733333000001</v>
      </c>
    </row>
    <row r="430" spans="1:3" hidden="1" x14ac:dyDescent="0.25">
      <c r="A430" s="61" t="s">
        <v>1104</v>
      </c>
      <c r="B430" s="61" t="s">
        <v>608</v>
      </c>
      <c r="C430" s="62">
        <v>2.2000000000000002</v>
      </c>
    </row>
    <row r="431" spans="1:3" hidden="1" x14ac:dyDescent="0.25">
      <c r="A431" s="60" t="s">
        <v>975</v>
      </c>
      <c r="B431" s="61" t="s">
        <v>608</v>
      </c>
      <c r="C431" s="62">
        <v>0</v>
      </c>
    </row>
    <row r="432" spans="1:3" hidden="1" x14ac:dyDescent="0.25">
      <c r="A432" s="61" t="s">
        <v>1060</v>
      </c>
      <c r="B432" s="61" t="s">
        <v>608</v>
      </c>
      <c r="C432" s="62">
        <v>0</v>
      </c>
    </row>
    <row r="433" spans="1:3" hidden="1" x14ac:dyDescent="0.25">
      <c r="A433" s="60" t="s">
        <v>310</v>
      </c>
      <c r="B433" s="61" t="s">
        <v>615</v>
      </c>
      <c r="C433" s="62">
        <v>9268</v>
      </c>
    </row>
    <row r="434" spans="1:3" hidden="1" x14ac:dyDescent="0.25">
      <c r="A434" s="60" t="s">
        <v>421</v>
      </c>
      <c r="B434" s="61" t="s">
        <v>612</v>
      </c>
      <c r="C434" s="62">
        <v>0</v>
      </c>
    </row>
    <row r="435" spans="1:3" hidden="1" x14ac:dyDescent="0.25">
      <c r="A435" s="60" t="s">
        <v>968</v>
      </c>
      <c r="B435" s="61" t="s">
        <v>608</v>
      </c>
      <c r="C435" s="62">
        <v>44.497999999999998</v>
      </c>
    </row>
    <row r="436" spans="1:3" hidden="1" x14ac:dyDescent="0.25">
      <c r="A436" s="60" t="s">
        <v>940</v>
      </c>
      <c r="B436" s="61" t="s">
        <v>608</v>
      </c>
      <c r="C436" s="62">
        <v>155.31</v>
      </c>
    </row>
    <row r="437" spans="1:3" hidden="1" x14ac:dyDescent="0.25">
      <c r="A437" s="60" t="s">
        <v>979</v>
      </c>
      <c r="B437" s="61" t="s">
        <v>612</v>
      </c>
      <c r="C437" s="62">
        <v>0</v>
      </c>
    </row>
    <row r="438" spans="1:3" hidden="1" x14ac:dyDescent="0.25">
      <c r="A438" s="60" t="s">
        <v>938</v>
      </c>
      <c r="B438" s="61" t="s">
        <v>612</v>
      </c>
      <c r="C438" s="62">
        <v>0</v>
      </c>
    </row>
    <row r="439" spans="1:3" hidden="1" x14ac:dyDescent="0.25">
      <c r="A439" s="60" t="s">
        <v>946</v>
      </c>
      <c r="B439" s="61" t="s">
        <v>612</v>
      </c>
      <c r="C439" s="62">
        <v>0</v>
      </c>
    </row>
    <row r="440" spans="1:3" hidden="1" x14ac:dyDescent="0.25">
      <c r="A440" s="60" t="s">
        <v>748</v>
      </c>
      <c r="B440" s="61" t="s">
        <v>608</v>
      </c>
      <c r="C440" s="62">
        <v>10.5</v>
      </c>
    </row>
    <row r="441" spans="1:3" hidden="1" x14ac:dyDescent="0.25">
      <c r="A441" s="60" t="s">
        <v>1215</v>
      </c>
      <c r="B441" s="61" t="s">
        <v>615</v>
      </c>
      <c r="C441" s="62">
        <v>1934.05172414</v>
      </c>
    </row>
    <row r="442" spans="1:3" hidden="1" x14ac:dyDescent="0.25">
      <c r="A442" s="60" t="s">
        <v>102</v>
      </c>
      <c r="B442" s="61" t="s">
        <v>615</v>
      </c>
      <c r="C442" s="62">
        <v>2471.7916666699998</v>
      </c>
    </row>
    <row r="443" spans="1:3" hidden="1" x14ac:dyDescent="0.25">
      <c r="A443" s="60" t="s">
        <v>702</v>
      </c>
      <c r="B443" s="61" t="s">
        <v>612</v>
      </c>
      <c r="C443" s="62">
        <v>41205</v>
      </c>
    </row>
    <row r="444" spans="1:3" hidden="1" x14ac:dyDescent="0.25">
      <c r="A444" s="60" t="s">
        <v>794</v>
      </c>
      <c r="B444" s="61" t="s">
        <v>612</v>
      </c>
      <c r="C444" s="62">
        <v>24583</v>
      </c>
    </row>
    <row r="445" spans="1:3" hidden="1" x14ac:dyDescent="0.25">
      <c r="A445" s="60" t="s">
        <v>644</v>
      </c>
      <c r="B445" s="61" t="s">
        <v>615</v>
      </c>
      <c r="C445" s="62">
        <v>2082.9166666699998</v>
      </c>
    </row>
    <row r="446" spans="1:3" hidden="1" x14ac:dyDescent="0.25">
      <c r="A446" s="60" t="s">
        <v>1216</v>
      </c>
      <c r="B446" s="61" t="s">
        <v>615</v>
      </c>
      <c r="C446" s="62">
        <v>2919.9166666699998</v>
      </c>
    </row>
    <row r="447" spans="1:3" hidden="1" x14ac:dyDescent="0.25">
      <c r="A447" s="60" t="s">
        <v>763</v>
      </c>
      <c r="B447" s="61" t="s">
        <v>615</v>
      </c>
      <c r="C447" s="62">
        <v>0</v>
      </c>
    </row>
    <row r="448" spans="1:3" hidden="1" x14ac:dyDescent="0.25">
      <c r="A448" s="69" t="s">
        <v>770</v>
      </c>
      <c r="B448" s="67" t="s">
        <v>615</v>
      </c>
      <c r="C448" s="68">
        <v>0</v>
      </c>
    </row>
    <row r="449" spans="1:3" hidden="1" x14ac:dyDescent="0.25">
      <c r="A449" s="69" t="s">
        <v>776</v>
      </c>
      <c r="B449" s="67" t="s">
        <v>615</v>
      </c>
      <c r="C449" s="68">
        <v>0</v>
      </c>
    </row>
    <row r="450" spans="1:3" hidden="1" x14ac:dyDescent="0.25">
      <c r="A450" s="69" t="s">
        <v>304</v>
      </c>
      <c r="B450" s="67" t="s">
        <v>615</v>
      </c>
      <c r="C450" s="62">
        <v>3771.9545454499998</v>
      </c>
    </row>
    <row r="451" spans="1:3" hidden="1" x14ac:dyDescent="0.25">
      <c r="A451" s="60" t="s">
        <v>961</v>
      </c>
      <c r="B451" s="61" t="s">
        <v>615</v>
      </c>
      <c r="C451" s="62">
        <v>1919.45833333</v>
      </c>
    </row>
    <row r="452" spans="1:3" ht="12.6" hidden="1" customHeight="1" x14ac:dyDescent="0.25">
      <c r="A452" s="69" t="s">
        <v>665</v>
      </c>
      <c r="B452" s="67" t="s">
        <v>615</v>
      </c>
      <c r="C452" s="68">
        <v>2082.9166666699998</v>
      </c>
    </row>
    <row r="453" spans="1:3" hidden="1" x14ac:dyDescent="0.25">
      <c r="A453" s="69" t="s">
        <v>643</v>
      </c>
      <c r="B453" s="67" t="s">
        <v>615</v>
      </c>
      <c r="C453" s="68">
        <v>12350</v>
      </c>
    </row>
    <row r="454" spans="1:3" hidden="1" x14ac:dyDescent="0.25">
      <c r="A454" s="60" t="s">
        <v>638</v>
      </c>
      <c r="B454" s="61" t="s">
        <v>615</v>
      </c>
      <c r="C454" s="62">
        <v>5292</v>
      </c>
    </row>
    <row r="455" spans="1:3" hidden="1" x14ac:dyDescent="0.25">
      <c r="A455" s="69" t="s">
        <v>1005</v>
      </c>
      <c r="B455" s="67" t="s">
        <v>608</v>
      </c>
      <c r="C455" s="68">
        <v>19.178414100000001</v>
      </c>
    </row>
    <row r="456" spans="1:3" hidden="1" x14ac:dyDescent="0.25">
      <c r="A456" s="69" t="s">
        <v>89</v>
      </c>
      <c r="B456" s="67" t="s">
        <v>608</v>
      </c>
      <c r="C456" s="68">
        <v>2.4009999999999998</v>
      </c>
    </row>
    <row r="457" spans="1:3" hidden="1" x14ac:dyDescent="0.25">
      <c r="A457" s="60" t="s">
        <v>1025</v>
      </c>
      <c r="B457" s="61" t="s">
        <v>608</v>
      </c>
      <c r="C457" s="62">
        <v>49.53</v>
      </c>
    </row>
    <row r="458" spans="1:3" hidden="1" x14ac:dyDescent="0.25">
      <c r="A458" s="60" t="s">
        <v>675</v>
      </c>
      <c r="B458" s="61" t="s">
        <v>608</v>
      </c>
      <c r="C458" s="62">
        <v>35.274999999999999</v>
      </c>
    </row>
    <row r="459" spans="1:3" hidden="1" x14ac:dyDescent="0.25">
      <c r="A459" s="69" t="s">
        <v>222</v>
      </c>
      <c r="B459" s="67" t="s">
        <v>608</v>
      </c>
      <c r="C459" s="68">
        <v>10.749943330000001</v>
      </c>
    </row>
    <row r="460" spans="1:3" hidden="1" x14ac:dyDescent="0.25">
      <c r="A460" s="60" t="s">
        <v>985</v>
      </c>
      <c r="B460" s="61" t="s">
        <v>608</v>
      </c>
      <c r="C460" s="62">
        <v>0</v>
      </c>
    </row>
    <row r="461" spans="1:3" hidden="1" x14ac:dyDescent="0.25">
      <c r="A461" s="60" t="s">
        <v>634</v>
      </c>
      <c r="B461" s="61" t="s">
        <v>608</v>
      </c>
      <c r="C461" s="62">
        <v>8.9250000000000007</v>
      </c>
    </row>
    <row r="462" spans="1:3" hidden="1" x14ac:dyDescent="0.25">
      <c r="A462" s="60" t="s">
        <v>1217</v>
      </c>
      <c r="B462" s="61" t="s">
        <v>612</v>
      </c>
      <c r="C462" s="62">
        <v>409.51</v>
      </c>
    </row>
    <row r="463" spans="1:3" hidden="1" x14ac:dyDescent="0.25">
      <c r="A463" s="60" t="s">
        <v>90</v>
      </c>
      <c r="B463" s="61" t="s">
        <v>608</v>
      </c>
      <c r="C463" s="62">
        <v>18.828045979999999</v>
      </c>
    </row>
    <row r="464" spans="1:3" hidden="1" x14ac:dyDescent="0.25">
      <c r="A464" s="60" t="s">
        <v>223</v>
      </c>
      <c r="B464" s="61" t="s">
        <v>608</v>
      </c>
      <c r="C464" s="62">
        <v>61.682499999999997</v>
      </c>
    </row>
    <row r="465" spans="1:3" hidden="1" x14ac:dyDescent="0.25">
      <c r="A465" s="60" t="s">
        <v>305</v>
      </c>
      <c r="B465" s="61" t="s">
        <v>608</v>
      </c>
      <c r="C465" s="62">
        <v>0</v>
      </c>
    </row>
    <row r="466" spans="1:3" hidden="1" x14ac:dyDescent="0.25">
      <c r="A466" s="60" t="s">
        <v>991</v>
      </c>
      <c r="B466" s="61" t="s">
        <v>608</v>
      </c>
      <c r="C466" s="62">
        <v>0</v>
      </c>
    </row>
    <row r="467" spans="1:3" hidden="1" x14ac:dyDescent="0.25">
      <c r="A467" s="60" t="s">
        <v>704</v>
      </c>
      <c r="B467" s="61" t="s">
        <v>608</v>
      </c>
      <c r="C467" s="62">
        <v>2.1</v>
      </c>
    </row>
    <row r="468" spans="1:3" hidden="1" x14ac:dyDescent="0.25">
      <c r="A468" s="60" t="s">
        <v>786</v>
      </c>
      <c r="B468" s="61" t="s">
        <v>612</v>
      </c>
      <c r="C468" s="62">
        <v>62806</v>
      </c>
    </row>
    <row r="469" spans="1:3" hidden="1" x14ac:dyDescent="0.25">
      <c r="A469" s="60" t="s">
        <v>792</v>
      </c>
      <c r="B469" s="61" t="s">
        <v>612</v>
      </c>
      <c r="C469" s="62">
        <v>113953</v>
      </c>
    </row>
    <row r="470" spans="1:3" hidden="1" x14ac:dyDescent="0.25">
      <c r="A470" s="60" t="s">
        <v>224</v>
      </c>
      <c r="B470" s="61" t="s">
        <v>612</v>
      </c>
      <c r="C470" s="62">
        <v>55000</v>
      </c>
    </row>
    <row r="471" spans="1:3" hidden="1" x14ac:dyDescent="0.25">
      <c r="A471" s="60" t="s">
        <v>271</v>
      </c>
      <c r="B471" s="61" t="s">
        <v>612</v>
      </c>
      <c r="C471" s="62">
        <v>0</v>
      </c>
    </row>
    <row r="472" spans="1:3" hidden="1" x14ac:dyDescent="0.25">
      <c r="A472" s="60" t="s">
        <v>225</v>
      </c>
      <c r="B472" s="61" t="s">
        <v>612</v>
      </c>
      <c r="C472" s="62">
        <v>90057</v>
      </c>
    </row>
    <row r="473" spans="1:3" hidden="1" x14ac:dyDescent="0.25">
      <c r="A473" s="60" t="s">
        <v>226</v>
      </c>
      <c r="B473" s="61" t="s">
        <v>612</v>
      </c>
      <c r="C473" s="62">
        <v>1497.59166667</v>
      </c>
    </row>
    <row r="474" spans="1:3" hidden="1" x14ac:dyDescent="0.25">
      <c r="A474" s="60" t="s">
        <v>713</v>
      </c>
      <c r="B474" s="61" t="s">
        <v>612</v>
      </c>
      <c r="C474" s="62">
        <v>788</v>
      </c>
    </row>
    <row r="475" spans="1:3" hidden="1" x14ac:dyDescent="0.25">
      <c r="A475" s="60" t="s">
        <v>1066</v>
      </c>
      <c r="B475" s="61" t="s">
        <v>612</v>
      </c>
      <c r="C475" s="62">
        <v>52.87620682</v>
      </c>
    </row>
    <row r="476" spans="1:3" hidden="1" x14ac:dyDescent="0.25">
      <c r="A476" s="60" t="s">
        <v>1218</v>
      </c>
      <c r="B476" s="61" t="s">
        <v>612</v>
      </c>
      <c r="C476" s="62">
        <v>377</v>
      </c>
    </row>
    <row r="477" spans="1:3" hidden="1" x14ac:dyDescent="0.25">
      <c r="A477" s="60" t="s">
        <v>986</v>
      </c>
      <c r="B477" s="61" t="s">
        <v>612</v>
      </c>
      <c r="C477" s="62">
        <v>0</v>
      </c>
    </row>
    <row r="478" spans="1:3" hidden="1" x14ac:dyDescent="0.25">
      <c r="A478" s="60" t="s">
        <v>1219</v>
      </c>
      <c r="B478" s="61" t="s">
        <v>615</v>
      </c>
      <c r="C478" s="62">
        <v>8818</v>
      </c>
    </row>
    <row r="479" spans="1:3" hidden="1" x14ac:dyDescent="0.25">
      <c r="A479" s="60" t="s">
        <v>662</v>
      </c>
      <c r="B479" s="61" t="s">
        <v>608</v>
      </c>
      <c r="C479" s="62">
        <v>32</v>
      </c>
    </row>
    <row r="480" spans="1:3" hidden="1" x14ac:dyDescent="0.25">
      <c r="A480" s="60" t="s">
        <v>1031</v>
      </c>
      <c r="B480" s="61" t="s">
        <v>612</v>
      </c>
      <c r="C480" s="62">
        <v>0</v>
      </c>
    </row>
    <row r="481" spans="1:3" hidden="1" x14ac:dyDescent="0.25">
      <c r="A481" s="60" t="s">
        <v>1220</v>
      </c>
      <c r="B481" s="61" t="s">
        <v>612</v>
      </c>
      <c r="C481" s="62">
        <v>0</v>
      </c>
    </row>
    <row r="482" spans="1:3" hidden="1" x14ac:dyDescent="0.25">
      <c r="A482" s="60" t="s">
        <v>917</v>
      </c>
      <c r="B482" s="61" t="s">
        <v>612</v>
      </c>
      <c r="C482" s="62">
        <v>11140.90909091</v>
      </c>
    </row>
    <row r="483" spans="1:3" hidden="1" x14ac:dyDescent="0.25">
      <c r="A483" s="60" t="s">
        <v>933</v>
      </c>
      <c r="B483" s="61" t="s">
        <v>612</v>
      </c>
      <c r="C483" s="62">
        <v>0</v>
      </c>
    </row>
    <row r="484" spans="1:3" hidden="1" x14ac:dyDescent="0.25">
      <c r="A484" s="60" t="s">
        <v>1221</v>
      </c>
      <c r="B484" s="61" t="s">
        <v>883</v>
      </c>
      <c r="C484" s="62">
        <v>21500.08473635</v>
      </c>
    </row>
    <row r="485" spans="1:3" hidden="1" x14ac:dyDescent="0.25">
      <c r="A485" s="60" t="s">
        <v>796</v>
      </c>
      <c r="B485" s="61" t="s">
        <v>612</v>
      </c>
      <c r="C485" s="62">
        <v>0</v>
      </c>
    </row>
    <row r="486" spans="1:3" hidden="1" x14ac:dyDescent="0.25">
      <c r="A486" s="60" t="s">
        <v>307</v>
      </c>
      <c r="B486" s="61" t="s">
        <v>612</v>
      </c>
      <c r="C486" s="62">
        <v>0</v>
      </c>
    </row>
    <row r="487" spans="1:3" hidden="1" x14ac:dyDescent="0.25">
      <c r="A487" s="60" t="s">
        <v>227</v>
      </c>
      <c r="B487" s="61" t="s">
        <v>612</v>
      </c>
      <c r="C487" s="62">
        <v>709.24</v>
      </c>
    </row>
    <row r="488" spans="1:3" hidden="1" x14ac:dyDescent="0.25">
      <c r="A488" s="60" t="s">
        <v>228</v>
      </c>
      <c r="B488" s="61" t="s">
        <v>612</v>
      </c>
      <c r="C488" s="62">
        <v>1569.05</v>
      </c>
    </row>
    <row r="489" spans="1:3" hidden="1" x14ac:dyDescent="0.25">
      <c r="A489" s="60" t="s">
        <v>753</v>
      </c>
      <c r="B489" s="67" t="s">
        <v>608</v>
      </c>
      <c r="C489" s="68">
        <v>39.31131019</v>
      </c>
    </row>
    <row r="490" spans="1:3" hidden="1" x14ac:dyDescent="0.25">
      <c r="A490" s="60" t="s">
        <v>126</v>
      </c>
      <c r="B490" s="61" t="s">
        <v>608</v>
      </c>
      <c r="C490" s="62">
        <v>22.061498180000001</v>
      </c>
    </row>
    <row r="491" spans="1:3" hidden="1" x14ac:dyDescent="0.25">
      <c r="A491" s="60" t="s">
        <v>51</v>
      </c>
      <c r="B491" s="61" t="s">
        <v>608</v>
      </c>
      <c r="C491" s="62">
        <v>11.3849874</v>
      </c>
    </row>
    <row r="492" spans="1:3" hidden="1" x14ac:dyDescent="0.25">
      <c r="A492" s="60" t="s">
        <v>136</v>
      </c>
      <c r="B492" s="61" t="s">
        <v>608</v>
      </c>
      <c r="C492" s="62">
        <v>26.416184560000001</v>
      </c>
    </row>
    <row r="493" spans="1:3" hidden="1" x14ac:dyDescent="0.25">
      <c r="A493" s="60" t="s">
        <v>750</v>
      </c>
      <c r="B493" s="61" t="s">
        <v>608</v>
      </c>
      <c r="C493" s="62">
        <v>0</v>
      </c>
    </row>
    <row r="494" spans="1:3" hidden="1" x14ac:dyDescent="0.25">
      <c r="A494" s="60" t="s">
        <v>779</v>
      </c>
      <c r="B494" s="67" t="s">
        <v>608</v>
      </c>
      <c r="C494" s="68">
        <v>0</v>
      </c>
    </row>
    <row r="495" spans="1:3" hidden="1" x14ac:dyDescent="0.25">
      <c r="A495" s="60" t="s">
        <v>36</v>
      </c>
      <c r="B495" s="61" t="s">
        <v>608</v>
      </c>
      <c r="C495" s="62">
        <v>11.13732628</v>
      </c>
    </row>
    <row r="496" spans="1:3" hidden="1" x14ac:dyDescent="0.25">
      <c r="A496" s="60" t="s">
        <v>125</v>
      </c>
      <c r="B496" s="67" t="s">
        <v>608</v>
      </c>
      <c r="C496" s="68">
        <v>4</v>
      </c>
    </row>
    <row r="497" spans="1:3" hidden="1" x14ac:dyDescent="0.25">
      <c r="A497" s="60" t="s">
        <v>53</v>
      </c>
      <c r="B497" s="67" t="s">
        <v>608</v>
      </c>
      <c r="C497" s="68">
        <v>0</v>
      </c>
    </row>
    <row r="498" spans="1:3" hidden="1" x14ac:dyDescent="0.25">
      <c r="A498" s="69" t="s">
        <v>1058</v>
      </c>
      <c r="B498" s="67" t="s">
        <v>608</v>
      </c>
      <c r="C498" s="68">
        <v>0</v>
      </c>
    </row>
    <row r="499" spans="1:3" hidden="1" x14ac:dyDescent="0.25">
      <c r="A499" s="69" t="s">
        <v>167</v>
      </c>
      <c r="B499" s="67" t="s">
        <v>612</v>
      </c>
      <c r="C499" s="68">
        <v>1735.8</v>
      </c>
    </row>
    <row r="500" spans="1:3" hidden="1" x14ac:dyDescent="0.25">
      <c r="A500" s="69" t="s">
        <v>628</v>
      </c>
      <c r="B500" s="67" t="s">
        <v>608</v>
      </c>
      <c r="C500" s="68">
        <v>0</v>
      </c>
    </row>
    <row r="501" spans="1:3" hidden="1" x14ac:dyDescent="0.25">
      <c r="A501" s="69" t="s">
        <v>134</v>
      </c>
      <c r="B501" s="67" t="s">
        <v>608</v>
      </c>
      <c r="C501" s="68">
        <v>5.7702915900000002</v>
      </c>
    </row>
    <row r="502" spans="1:3" hidden="1" x14ac:dyDescent="0.25">
      <c r="A502" s="69" t="s">
        <v>580</v>
      </c>
      <c r="B502" s="67" t="s">
        <v>608</v>
      </c>
      <c r="C502" s="68">
        <v>4.0495165699999998</v>
      </c>
    </row>
    <row r="503" spans="1:3" hidden="1" x14ac:dyDescent="0.25">
      <c r="A503" s="69" t="s">
        <v>1222</v>
      </c>
      <c r="B503" s="67" t="s">
        <v>608</v>
      </c>
      <c r="C503" s="68">
        <v>9.6142748499999993</v>
      </c>
    </row>
    <row r="504" spans="1:3" hidden="1" x14ac:dyDescent="0.25">
      <c r="A504" s="69" t="s">
        <v>591</v>
      </c>
      <c r="B504" s="67" t="s">
        <v>608</v>
      </c>
      <c r="C504" s="68">
        <v>9.6142748499999993</v>
      </c>
    </row>
    <row r="505" spans="1:3" hidden="1" x14ac:dyDescent="0.25">
      <c r="A505" s="69" t="s">
        <v>891</v>
      </c>
      <c r="B505" s="67" t="s">
        <v>608</v>
      </c>
      <c r="C505" s="68">
        <v>9.6142748499999993</v>
      </c>
    </row>
    <row r="506" spans="1:3" hidden="1" x14ac:dyDescent="0.25">
      <c r="A506" s="69" t="s">
        <v>55</v>
      </c>
      <c r="B506" s="67" t="s">
        <v>612</v>
      </c>
      <c r="C506" s="68">
        <v>4964</v>
      </c>
    </row>
    <row r="507" spans="1:3" hidden="1" x14ac:dyDescent="0.25">
      <c r="A507" s="69" t="s">
        <v>772</v>
      </c>
      <c r="B507" s="67" t="s">
        <v>612</v>
      </c>
      <c r="C507" s="68">
        <v>0</v>
      </c>
    </row>
    <row r="508" spans="1:3" hidden="1" x14ac:dyDescent="0.25">
      <c r="A508" s="69" t="s">
        <v>144</v>
      </c>
      <c r="B508" s="67" t="s">
        <v>608</v>
      </c>
      <c r="C508" s="68">
        <v>12.23679763</v>
      </c>
    </row>
    <row r="509" spans="1:3" hidden="1" x14ac:dyDescent="0.25">
      <c r="A509" s="69" t="s">
        <v>119</v>
      </c>
      <c r="B509" s="67" t="s">
        <v>608</v>
      </c>
      <c r="C509" s="68">
        <v>5.8053971600000001</v>
      </c>
    </row>
    <row r="510" spans="1:3" hidden="1" x14ac:dyDescent="0.25">
      <c r="A510" s="69" t="s">
        <v>996</v>
      </c>
      <c r="B510" s="67" t="s">
        <v>608</v>
      </c>
      <c r="C510" s="68">
        <v>0</v>
      </c>
    </row>
    <row r="511" spans="1:3" hidden="1" x14ac:dyDescent="0.25">
      <c r="A511" s="69" t="s">
        <v>765</v>
      </c>
      <c r="B511" s="67" t="s">
        <v>608</v>
      </c>
      <c r="C511" s="68">
        <v>0</v>
      </c>
    </row>
    <row r="512" spans="1:3" hidden="1" x14ac:dyDescent="0.25">
      <c r="A512" s="69" t="s">
        <v>1063</v>
      </c>
      <c r="B512" s="67" t="s">
        <v>608</v>
      </c>
      <c r="C512" s="68">
        <v>5.2701411900000004</v>
      </c>
    </row>
    <row r="513" spans="1:3" hidden="1" x14ac:dyDescent="0.25">
      <c r="A513" s="69" t="s">
        <v>1223</v>
      </c>
      <c r="B513" s="67" t="s">
        <v>608</v>
      </c>
      <c r="C513" s="68">
        <v>8.6245170299999998</v>
      </c>
    </row>
    <row r="514" spans="1:3" hidden="1" x14ac:dyDescent="0.25">
      <c r="A514" s="60" t="s">
        <v>1224</v>
      </c>
      <c r="B514" s="61" t="s">
        <v>608</v>
      </c>
      <c r="C514" s="62">
        <v>0</v>
      </c>
    </row>
    <row r="515" spans="1:3" hidden="1" x14ac:dyDescent="0.25">
      <c r="A515" s="69" t="s">
        <v>338</v>
      </c>
      <c r="B515" s="67" t="s">
        <v>608</v>
      </c>
      <c r="C515" s="68">
        <v>0</v>
      </c>
    </row>
    <row r="516" spans="1:3" hidden="1" x14ac:dyDescent="0.25">
      <c r="A516" s="69" t="s">
        <v>154</v>
      </c>
      <c r="B516" s="67" t="s">
        <v>608</v>
      </c>
      <c r="C516" s="68">
        <v>17.50215524</v>
      </c>
    </row>
    <row r="517" spans="1:3" hidden="1" x14ac:dyDescent="0.25">
      <c r="A517" s="69" t="s">
        <v>131</v>
      </c>
      <c r="B517" s="67" t="s">
        <v>608</v>
      </c>
      <c r="C517" s="68">
        <v>20.196748509999999</v>
      </c>
    </row>
    <row r="518" spans="1:3" hidden="1" x14ac:dyDescent="0.25">
      <c r="A518" s="69" t="s">
        <v>698</v>
      </c>
      <c r="B518" s="67" t="s">
        <v>608</v>
      </c>
      <c r="C518" s="68">
        <v>0</v>
      </c>
    </row>
    <row r="519" spans="1:3" hidden="1" x14ac:dyDescent="0.25">
      <c r="A519" s="69" t="s">
        <v>822</v>
      </c>
      <c r="B519" s="67" t="s">
        <v>608</v>
      </c>
      <c r="C519" s="68">
        <v>5.0634950099999996</v>
      </c>
    </row>
    <row r="520" spans="1:3" hidden="1" x14ac:dyDescent="0.25">
      <c r="A520" s="69" t="s">
        <v>150</v>
      </c>
      <c r="B520" s="67" t="s">
        <v>612</v>
      </c>
      <c r="C520" s="68">
        <v>1367.79290229</v>
      </c>
    </row>
    <row r="521" spans="1:3" hidden="1" x14ac:dyDescent="0.25">
      <c r="A521" s="69" t="s">
        <v>158</v>
      </c>
      <c r="B521" s="67" t="s">
        <v>612</v>
      </c>
      <c r="C521" s="68">
        <v>1853.5411051599999</v>
      </c>
    </row>
    <row r="522" spans="1:3" hidden="1" x14ac:dyDescent="0.25">
      <c r="A522" s="69" t="s">
        <v>151</v>
      </c>
      <c r="B522" s="67" t="s">
        <v>612</v>
      </c>
      <c r="C522" s="68">
        <v>1041.0608032600001</v>
      </c>
    </row>
    <row r="523" spans="1:3" hidden="1" x14ac:dyDescent="0.25">
      <c r="A523" s="69" t="s">
        <v>685</v>
      </c>
      <c r="B523" s="67" t="s">
        <v>608</v>
      </c>
      <c r="C523" s="68">
        <v>16.472813330000001</v>
      </c>
    </row>
    <row r="524" spans="1:3" hidden="1" x14ac:dyDescent="0.25">
      <c r="A524" s="60" t="s">
        <v>1225</v>
      </c>
      <c r="B524" s="61" t="s">
        <v>608</v>
      </c>
      <c r="C524" s="62">
        <v>0</v>
      </c>
    </row>
    <row r="525" spans="1:3" hidden="1" x14ac:dyDescent="0.25">
      <c r="A525" s="69" t="s">
        <v>1000</v>
      </c>
      <c r="B525" s="67" t="s">
        <v>608</v>
      </c>
      <c r="C525" s="68">
        <v>0</v>
      </c>
    </row>
    <row r="526" spans="1:3" hidden="1" x14ac:dyDescent="0.25">
      <c r="A526" s="69" t="s">
        <v>826</v>
      </c>
      <c r="B526" s="67" t="s">
        <v>612</v>
      </c>
      <c r="C526" s="68">
        <v>1427.12905</v>
      </c>
    </row>
    <row r="527" spans="1:3" hidden="1" x14ac:dyDescent="0.25">
      <c r="A527" s="69" t="s">
        <v>1127</v>
      </c>
      <c r="B527" s="67" t="s">
        <v>612</v>
      </c>
      <c r="C527" s="68">
        <v>1573.1819324799999</v>
      </c>
    </row>
    <row r="528" spans="1:3" hidden="1" x14ac:dyDescent="0.25">
      <c r="A528" s="69" t="s">
        <v>768</v>
      </c>
      <c r="B528" s="67" t="s">
        <v>608</v>
      </c>
      <c r="C528" s="68">
        <v>0</v>
      </c>
    </row>
    <row r="529" spans="1:3" hidden="1" x14ac:dyDescent="0.25">
      <c r="A529" s="69" t="s">
        <v>143</v>
      </c>
      <c r="B529" s="67" t="s">
        <v>608</v>
      </c>
      <c r="C529" s="62">
        <v>6.3326451500000003</v>
      </c>
    </row>
    <row r="530" spans="1:3" hidden="1" x14ac:dyDescent="0.25">
      <c r="A530" s="69" t="s">
        <v>790</v>
      </c>
      <c r="B530" s="67" t="s">
        <v>608</v>
      </c>
      <c r="C530" s="68">
        <v>0</v>
      </c>
    </row>
    <row r="531" spans="1:3" hidden="1" x14ac:dyDescent="0.25">
      <c r="A531" s="69" t="s">
        <v>842</v>
      </c>
      <c r="B531" s="67" t="s">
        <v>608</v>
      </c>
      <c r="C531" s="68">
        <v>114.03509</v>
      </c>
    </row>
    <row r="532" spans="1:3" hidden="1" x14ac:dyDescent="0.25">
      <c r="A532" s="69" t="s">
        <v>152</v>
      </c>
      <c r="B532" s="67" t="s">
        <v>608</v>
      </c>
      <c r="C532" s="68">
        <v>20.646680409999998</v>
      </c>
    </row>
    <row r="533" spans="1:3" hidden="1" x14ac:dyDescent="0.25">
      <c r="A533" s="69" t="s">
        <v>1126</v>
      </c>
      <c r="B533" s="67" t="s">
        <v>612</v>
      </c>
      <c r="C533" s="68">
        <v>0</v>
      </c>
    </row>
    <row r="534" spans="1:3" hidden="1" x14ac:dyDescent="0.25">
      <c r="A534" s="69" t="s">
        <v>1083</v>
      </c>
      <c r="B534" s="67" t="s">
        <v>612</v>
      </c>
      <c r="C534" s="68">
        <v>2581.9174509899999</v>
      </c>
    </row>
    <row r="535" spans="1:3" hidden="1" x14ac:dyDescent="0.25">
      <c r="A535" s="69" t="s">
        <v>1128</v>
      </c>
      <c r="B535" s="67" t="s">
        <v>612</v>
      </c>
      <c r="C535" s="68">
        <v>1290.95872549</v>
      </c>
    </row>
    <row r="536" spans="1:3" hidden="1" x14ac:dyDescent="0.25">
      <c r="A536" s="69" t="s">
        <v>315</v>
      </c>
      <c r="B536" s="67" t="s">
        <v>612</v>
      </c>
      <c r="C536" s="68">
        <v>9017.9941012300005</v>
      </c>
    </row>
    <row r="537" spans="1:3" hidden="1" x14ac:dyDescent="0.25">
      <c r="A537" s="69" t="s">
        <v>122</v>
      </c>
      <c r="B537" s="67" t="s">
        <v>608</v>
      </c>
      <c r="C537" s="68">
        <v>20.160619029999999</v>
      </c>
    </row>
    <row r="538" spans="1:3" hidden="1" x14ac:dyDescent="0.25">
      <c r="A538" s="69" t="s">
        <v>42</v>
      </c>
      <c r="B538" s="67" t="s">
        <v>608</v>
      </c>
      <c r="C538" s="68">
        <v>12.66172066</v>
      </c>
    </row>
    <row r="539" spans="1:3" hidden="1" x14ac:dyDescent="0.25">
      <c r="A539" s="69" t="s">
        <v>142</v>
      </c>
      <c r="B539" s="67" t="s">
        <v>608</v>
      </c>
      <c r="C539" s="68">
        <v>8.4010542600000004</v>
      </c>
    </row>
    <row r="540" spans="1:3" hidden="1" x14ac:dyDescent="0.25">
      <c r="A540" s="69" t="s">
        <v>127</v>
      </c>
      <c r="B540" s="67" t="s">
        <v>608</v>
      </c>
      <c r="C540" s="68">
        <v>15.69091749</v>
      </c>
    </row>
    <row r="541" spans="1:3" hidden="1" x14ac:dyDescent="0.25">
      <c r="A541" s="69" t="s">
        <v>162</v>
      </c>
      <c r="B541" s="67" t="s">
        <v>608</v>
      </c>
      <c r="C541" s="68">
        <v>11.044796529999999</v>
      </c>
    </row>
    <row r="542" spans="1:3" hidden="1" x14ac:dyDescent="0.25">
      <c r="A542" s="69" t="s">
        <v>816</v>
      </c>
      <c r="B542" s="67" t="s">
        <v>608</v>
      </c>
      <c r="C542" s="68">
        <v>45.040723980000003</v>
      </c>
    </row>
    <row r="543" spans="1:3" hidden="1" x14ac:dyDescent="0.25">
      <c r="A543" s="69" t="s">
        <v>885</v>
      </c>
      <c r="B543" s="67" t="s">
        <v>608</v>
      </c>
      <c r="C543" s="68">
        <v>16.46164018</v>
      </c>
    </row>
    <row r="544" spans="1:3" hidden="1" x14ac:dyDescent="0.25">
      <c r="A544" s="69" t="s">
        <v>333</v>
      </c>
      <c r="B544" s="67" t="s">
        <v>612</v>
      </c>
      <c r="C544" s="62">
        <v>13905.503857879999</v>
      </c>
    </row>
    <row r="545" spans="1:3" hidden="1" x14ac:dyDescent="0.25">
      <c r="A545" s="69" t="s">
        <v>1013</v>
      </c>
      <c r="B545" s="67" t="s">
        <v>612</v>
      </c>
      <c r="C545" s="68">
        <v>0</v>
      </c>
    </row>
    <row r="546" spans="1:3" hidden="1" x14ac:dyDescent="0.25">
      <c r="A546" s="69" t="s">
        <v>659</v>
      </c>
      <c r="B546" s="67" t="s">
        <v>612</v>
      </c>
      <c r="C546" s="68">
        <v>0</v>
      </c>
    </row>
    <row r="547" spans="1:3" hidden="1" x14ac:dyDescent="0.25">
      <c r="A547" s="69" t="s">
        <v>898</v>
      </c>
      <c r="B547" s="67" t="s">
        <v>608</v>
      </c>
      <c r="C547" s="68">
        <v>22.421210869999999</v>
      </c>
    </row>
    <row r="548" spans="1:3" hidden="1" x14ac:dyDescent="0.25">
      <c r="A548" s="69" t="s">
        <v>1226</v>
      </c>
      <c r="B548" s="67" t="s">
        <v>608</v>
      </c>
      <c r="C548" s="68">
        <v>19.70676082</v>
      </c>
    </row>
    <row r="549" spans="1:3" hidden="1" x14ac:dyDescent="0.25">
      <c r="A549" s="69" t="s">
        <v>159</v>
      </c>
      <c r="B549" s="67" t="s">
        <v>608</v>
      </c>
      <c r="C549" s="68">
        <v>10.416297739999999</v>
      </c>
    </row>
    <row r="550" spans="1:3" hidden="1" x14ac:dyDescent="0.25">
      <c r="A550" s="69" t="s">
        <v>165</v>
      </c>
      <c r="B550" s="67" t="s">
        <v>612</v>
      </c>
      <c r="C550" s="68">
        <v>455.97436293999999</v>
      </c>
    </row>
    <row r="551" spans="1:3" hidden="1" x14ac:dyDescent="0.25">
      <c r="A551" s="60" t="s">
        <v>830</v>
      </c>
      <c r="B551" s="61" t="s">
        <v>608</v>
      </c>
      <c r="C551" s="62">
        <v>31.5345288</v>
      </c>
    </row>
    <row r="552" spans="1:3" hidden="1" x14ac:dyDescent="0.25">
      <c r="A552" s="69" t="s">
        <v>839</v>
      </c>
      <c r="B552" s="67" t="s">
        <v>612</v>
      </c>
      <c r="C552" s="68">
        <v>0</v>
      </c>
    </row>
    <row r="553" spans="1:3" hidden="1" x14ac:dyDescent="0.25">
      <c r="A553" s="69" t="s">
        <v>1227</v>
      </c>
      <c r="B553" s="67" t="s">
        <v>612</v>
      </c>
      <c r="C553" s="68">
        <v>0</v>
      </c>
    </row>
    <row r="554" spans="1:3" hidden="1" x14ac:dyDescent="0.25">
      <c r="A554" s="69" t="s">
        <v>804</v>
      </c>
      <c r="B554" s="67" t="s">
        <v>608</v>
      </c>
      <c r="C554" s="68">
        <v>90.990210590000004</v>
      </c>
    </row>
    <row r="555" spans="1:3" hidden="1" x14ac:dyDescent="0.25">
      <c r="A555" s="69" t="s">
        <v>1228</v>
      </c>
      <c r="B555" s="67" t="s">
        <v>608</v>
      </c>
      <c r="C555" s="68">
        <v>2.3070469999999998</v>
      </c>
    </row>
    <row r="556" spans="1:3" hidden="1" x14ac:dyDescent="0.25">
      <c r="A556" s="69" t="s">
        <v>123</v>
      </c>
      <c r="B556" s="67" t="s">
        <v>608</v>
      </c>
      <c r="C556" s="68">
        <v>7.0783486</v>
      </c>
    </row>
    <row r="557" spans="1:3" hidden="1" x14ac:dyDescent="0.25">
      <c r="A557" s="69" t="s">
        <v>918</v>
      </c>
      <c r="B557" s="67" t="s">
        <v>612</v>
      </c>
      <c r="C557" s="68">
        <v>0</v>
      </c>
    </row>
    <row r="558" spans="1:3" hidden="1" x14ac:dyDescent="0.25">
      <c r="A558" s="69" t="s">
        <v>149</v>
      </c>
      <c r="B558" s="67" t="s">
        <v>612</v>
      </c>
      <c r="C558" s="68">
        <v>1109.8487711299999</v>
      </c>
    </row>
    <row r="559" spans="1:3" hidden="1" x14ac:dyDescent="0.25">
      <c r="A559" s="60" t="s">
        <v>836</v>
      </c>
      <c r="B559" s="61" t="s">
        <v>612</v>
      </c>
      <c r="C559" s="62">
        <v>0</v>
      </c>
    </row>
    <row r="560" spans="1:3" hidden="1" x14ac:dyDescent="0.25">
      <c r="A560" s="60" t="s">
        <v>1229</v>
      </c>
      <c r="B560" s="61" t="s">
        <v>608</v>
      </c>
      <c r="C560" s="62">
        <v>1.71968633</v>
      </c>
    </row>
    <row r="561" spans="1:3" hidden="1" x14ac:dyDescent="0.25">
      <c r="A561" s="60" t="s">
        <v>1019</v>
      </c>
      <c r="B561" s="61" t="s">
        <v>608</v>
      </c>
      <c r="C561" s="62">
        <v>0</v>
      </c>
    </row>
    <row r="562" spans="1:3" hidden="1" x14ac:dyDescent="0.25">
      <c r="A562" s="60" t="s">
        <v>1230</v>
      </c>
      <c r="B562" s="61" t="s">
        <v>608</v>
      </c>
      <c r="C562" s="62">
        <v>2.3696000000000002</v>
      </c>
    </row>
    <row r="563" spans="1:3" hidden="1" x14ac:dyDescent="0.25">
      <c r="A563" s="60" t="s">
        <v>335</v>
      </c>
      <c r="B563" s="61" t="s">
        <v>608</v>
      </c>
      <c r="C563" s="62">
        <v>16.841633210000001</v>
      </c>
    </row>
    <row r="564" spans="1:3" hidden="1" x14ac:dyDescent="0.25">
      <c r="A564" s="60" t="s">
        <v>1231</v>
      </c>
      <c r="B564" s="61" t="s">
        <v>608</v>
      </c>
      <c r="C564" s="62">
        <v>187.5</v>
      </c>
    </row>
    <row r="565" spans="1:3" hidden="1" x14ac:dyDescent="0.25">
      <c r="A565" s="60" t="s">
        <v>1015</v>
      </c>
      <c r="B565" s="61" t="s">
        <v>608</v>
      </c>
      <c r="C565" s="62">
        <v>0</v>
      </c>
    </row>
    <row r="566" spans="1:3" hidden="1" x14ac:dyDescent="0.25">
      <c r="A566" s="60" t="s">
        <v>337</v>
      </c>
      <c r="B566" s="61" t="s">
        <v>608</v>
      </c>
      <c r="C566" s="62">
        <v>5.1748148699999996</v>
      </c>
    </row>
    <row r="567" spans="1:3" hidden="1" x14ac:dyDescent="0.25">
      <c r="A567" s="60" t="s">
        <v>139</v>
      </c>
      <c r="B567" s="61" t="s">
        <v>608</v>
      </c>
      <c r="C567" s="62">
        <v>7.2928998700000003</v>
      </c>
    </row>
    <row r="568" spans="1:3" hidden="1" x14ac:dyDescent="0.25">
      <c r="A568" s="60" t="s">
        <v>1079</v>
      </c>
      <c r="B568" s="61" t="s">
        <v>608</v>
      </c>
      <c r="C568" s="62">
        <v>0</v>
      </c>
    </row>
    <row r="569" spans="1:3" hidden="1" x14ac:dyDescent="0.25">
      <c r="A569" s="60" t="s">
        <v>1232</v>
      </c>
      <c r="B569" s="61" t="s">
        <v>608</v>
      </c>
      <c r="C569" s="62">
        <v>13</v>
      </c>
    </row>
    <row r="570" spans="1:3" hidden="1" x14ac:dyDescent="0.25">
      <c r="A570" s="60" t="s">
        <v>603</v>
      </c>
      <c r="B570" s="61" t="s">
        <v>612</v>
      </c>
      <c r="C570" s="62">
        <v>35.176443370000001</v>
      </c>
    </row>
    <row r="571" spans="1:3" hidden="1" x14ac:dyDescent="0.25">
      <c r="A571" s="60" t="s">
        <v>50</v>
      </c>
      <c r="B571" s="61" t="s">
        <v>608</v>
      </c>
      <c r="C571" s="62">
        <v>15.28420193</v>
      </c>
    </row>
    <row r="572" spans="1:3" hidden="1" x14ac:dyDescent="0.25">
      <c r="A572" s="60" t="s">
        <v>994</v>
      </c>
      <c r="B572" s="61" t="s">
        <v>608</v>
      </c>
      <c r="C572" s="62">
        <v>0</v>
      </c>
    </row>
    <row r="573" spans="1:3" hidden="1" x14ac:dyDescent="0.25">
      <c r="A573" s="60" t="s">
        <v>132</v>
      </c>
      <c r="B573" s="61" t="s">
        <v>608</v>
      </c>
      <c r="C573" s="62">
        <v>9.1207600099999997</v>
      </c>
    </row>
    <row r="574" spans="1:3" hidden="1" x14ac:dyDescent="0.25">
      <c r="A574" s="60" t="s">
        <v>813</v>
      </c>
      <c r="B574" s="61" t="s">
        <v>612</v>
      </c>
      <c r="C574" s="62">
        <v>57.928456439999998</v>
      </c>
    </row>
    <row r="575" spans="1:3" hidden="1" x14ac:dyDescent="0.25">
      <c r="A575" s="60" t="s">
        <v>785</v>
      </c>
      <c r="B575" s="61" t="s">
        <v>608</v>
      </c>
      <c r="C575" s="62">
        <v>14.30478447</v>
      </c>
    </row>
    <row r="576" spans="1:3" hidden="1" x14ac:dyDescent="0.25">
      <c r="A576" s="60" t="s">
        <v>57</v>
      </c>
      <c r="B576" s="61" t="s">
        <v>608</v>
      </c>
      <c r="C576" s="62">
        <v>18.782608700000001</v>
      </c>
    </row>
    <row r="577" spans="1:3" hidden="1" x14ac:dyDescent="0.25">
      <c r="A577" s="60" t="s">
        <v>1054</v>
      </c>
      <c r="B577" s="61" t="s">
        <v>612</v>
      </c>
      <c r="C577" s="62">
        <v>0</v>
      </c>
    </row>
    <row r="578" spans="1:3" hidden="1" x14ac:dyDescent="0.25">
      <c r="A578" s="60" t="s">
        <v>984</v>
      </c>
      <c r="B578" s="61" t="s">
        <v>612</v>
      </c>
      <c r="C578" s="62">
        <v>0</v>
      </c>
    </row>
    <row r="579" spans="1:3" hidden="1" x14ac:dyDescent="0.25">
      <c r="A579" s="60" t="s">
        <v>124</v>
      </c>
      <c r="B579" s="61" t="s">
        <v>608</v>
      </c>
      <c r="C579" s="62">
        <v>3.1357552800000001</v>
      </c>
    </row>
    <row r="580" spans="1:3" hidden="1" x14ac:dyDescent="0.25">
      <c r="A580" s="60" t="s">
        <v>40</v>
      </c>
      <c r="B580" s="61" t="s">
        <v>608</v>
      </c>
      <c r="C580" s="62">
        <v>0</v>
      </c>
    </row>
    <row r="581" spans="1:3" hidden="1" x14ac:dyDescent="0.25">
      <c r="A581" s="60" t="s">
        <v>887</v>
      </c>
      <c r="B581" s="61" t="s">
        <v>608</v>
      </c>
      <c r="C581" s="62">
        <v>46.232876699999998</v>
      </c>
    </row>
    <row r="582" spans="1:3" hidden="1" x14ac:dyDescent="0.25">
      <c r="A582" s="60" t="s">
        <v>810</v>
      </c>
      <c r="B582" s="61" t="s">
        <v>608</v>
      </c>
      <c r="C582" s="62">
        <v>6</v>
      </c>
    </row>
    <row r="583" spans="1:3" hidden="1" x14ac:dyDescent="0.25">
      <c r="A583" s="60" t="s">
        <v>1233</v>
      </c>
      <c r="B583" s="61" t="s">
        <v>615</v>
      </c>
      <c r="C583" s="62">
        <v>0</v>
      </c>
    </row>
    <row r="584" spans="1:3" hidden="1" x14ac:dyDescent="0.25">
      <c r="A584" s="60" t="s">
        <v>1234</v>
      </c>
      <c r="B584" s="61" t="s">
        <v>615</v>
      </c>
      <c r="C584" s="62">
        <v>0</v>
      </c>
    </row>
    <row r="585" spans="1:3" hidden="1" x14ac:dyDescent="0.25">
      <c r="A585" s="60" t="s">
        <v>1235</v>
      </c>
      <c r="B585" s="61" t="s">
        <v>615</v>
      </c>
      <c r="C585" s="62">
        <v>0</v>
      </c>
    </row>
    <row r="586" spans="1:3" hidden="1" x14ac:dyDescent="0.25">
      <c r="A586" s="60" t="s">
        <v>1236</v>
      </c>
      <c r="B586" s="61" t="s">
        <v>615</v>
      </c>
      <c r="C586" s="62">
        <v>0</v>
      </c>
    </row>
    <row r="587" spans="1:3" hidden="1" x14ac:dyDescent="0.25">
      <c r="A587" s="60" t="s">
        <v>808</v>
      </c>
      <c r="B587" s="61" t="s">
        <v>608</v>
      </c>
      <c r="C587" s="62">
        <v>22.671052629999998</v>
      </c>
    </row>
    <row r="588" spans="1:3" hidden="1" x14ac:dyDescent="0.25">
      <c r="A588" s="60" t="s">
        <v>54</v>
      </c>
      <c r="B588" s="61" t="s">
        <v>608</v>
      </c>
      <c r="C588" s="62">
        <v>1.50866101</v>
      </c>
    </row>
    <row r="589" spans="1:3" hidden="1" x14ac:dyDescent="0.25">
      <c r="A589" s="60" t="s">
        <v>130</v>
      </c>
      <c r="B589" s="61" t="s">
        <v>608</v>
      </c>
      <c r="C589" s="62">
        <v>20.152086659999998</v>
      </c>
    </row>
    <row r="590" spans="1:3" hidden="1" x14ac:dyDescent="0.25">
      <c r="A590" s="60" t="s">
        <v>147</v>
      </c>
      <c r="B590" s="61" t="s">
        <v>608</v>
      </c>
      <c r="C590" s="62">
        <v>13.41970912</v>
      </c>
    </row>
    <row r="591" spans="1:3" hidden="1" x14ac:dyDescent="0.25">
      <c r="A591" s="60" t="s">
        <v>1237</v>
      </c>
      <c r="B591" s="61" t="s">
        <v>608</v>
      </c>
      <c r="C591" s="62">
        <v>0</v>
      </c>
    </row>
    <row r="592" spans="1:3" hidden="1" x14ac:dyDescent="0.25">
      <c r="A592" s="60" t="s">
        <v>1078</v>
      </c>
      <c r="B592" s="61" t="s">
        <v>608</v>
      </c>
      <c r="C592" s="62">
        <v>23.5806589</v>
      </c>
    </row>
    <row r="593" spans="1:3" hidden="1" x14ac:dyDescent="0.25">
      <c r="A593" s="60" t="s">
        <v>129</v>
      </c>
      <c r="B593" s="61" t="s">
        <v>608</v>
      </c>
      <c r="C593" s="62">
        <v>24</v>
      </c>
    </row>
    <row r="594" spans="1:3" hidden="1" x14ac:dyDescent="0.25">
      <c r="A594" s="60" t="s">
        <v>118</v>
      </c>
      <c r="B594" s="61" t="s">
        <v>608</v>
      </c>
      <c r="C594" s="62">
        <v>30.25466445</v>
      </c>
    </row>
    <row r="595" spans="1:3" hidden="1" x14ac:dyDescent="0.25">
      <c r="A595" s="60" t="s">
        <v>133</v>
      </c>
      <c r="B595" s="61" t="s">
        <v>608</v>
      </c>
      <c r="C595" s="62">
        <v>18.115946780000002</v>
      </c>
    </row>
    <row r="596" spans="1:3" hidden="1" x14ac:dyDescent="0.25">
      <c r="A596" s="60" t="s">
        <v>161</v>
      </c>
      <c r="B596" s="61" t="s">
        <v>608</v>
      </c>
      <c r="C596" s="62">
        <v>0</v>
      </c>
    </row>
    <row r="597" spans="1:3" hidden="1" x14ac:dyDescent="0.25">
      <c r="A597" s="60" t="s">
        <v>897</v>
      </c>
      <c r="B597" s="61" t="s">
        <v>608</v>
      </c>
      <c r="C597" s="62">
        <v>21.931591279999999</v>
      </c>
    </row>
    <row r="598" spans="1:3" hidden="1" x14ac:dyDescent="0.25">
      <c r="A598" s="60" t="s">
        <v>39</v>
      </c>
      <c r="B598" s="61" t="s">
        <v>608</v>
      </c>
      <c r="C598" s="62">
        <v>9.5229410600000008</v>
      </c>
    </row>
    <row r="599" spans="1:3" hidden="1" x14ac:dyDescent="0.25">
      <c r="A599" s="60" t="s">
        <v>1238</v>
      </c>
      <c r="B599" s="61" t="s">
        <v>608</v>
      </c>
      <c r="C599" s="62">
        <v>0</v>
      </c>
    </row>
    <row r="600" spans="1:3" hidden="1" x14ac:dyDescent="0.25">
      <c r="A600" s="60" t="s">
        <v>1030</v>
      </c>
      <c r="B600" s="61" t="s">
        <v>612</v>
      </c>
      <c r="C600" s="62">
        <v>0</v>
      </c>
    </row>
    <row r="601" spans="1:3" hidden="1" x14ac:dyDescent="0.25">
      <c r="A601" s="60" t="s">
        <v>148</v>
      </c>
      <c r="B601" s="61" t="s">
        <v>608</v>
      </c>
      <c r="C601" s="62">
        <v>30.440150389999999</v>
      </c>
    </row>
    <row r="602" spans="1:3" hidden="1" x14ac:dyDescent="0.25">
      <c r="A602" s="60" t="s">
        <v>166</v>
      </c>
      <c r="B602" s="61" t="s">
        <v>612</v>
      </c>
      <c r="C602" s="62">
        <v>0</v>
      </c>
    </row>
    <row r="603" spans="1:3" hidden="1" x14ac:dyDescent="0.25">
      <c r="A603" s="60" t="s">
        <v>1239</v>
      </c>
      <c r="B603" s="61" t="s">
        <v>612</v>
      </c>
      <c r="C603" s="62">
        <v>0</v>
      </c>
    </row>
    <row r="604" spans="1:3" hidden="1" x14ac:dyDescent="0.25">
      <c r="A604" s="60" t="s">
        <v>587</v>
      </c>
      <c r="B604" s="61" t="s">
        <v>612</v>
      </c>
      <c r="C604" s="62">
        <v>91.930254820000002</v>
      </c>
    </row>
    <row r="605" spans="1:3" hidden="1" x14ac:dyDescent="0.25">
      <c r="A605" s="60" t="s">
        <v>64</v>
      </c>
      <c r="B605" s="61" t="s">
        <v>612</v>
      </c>
      <c r="C605" s="62">
        <v>612.85</v>
      </c>
    </row>
    <row r="606" spans="1:3" hidden="1" x14ac:dyDescent="0.25">
      <c r="A606" s="60" t="s">
        <v>283</v>
      </c>
      <c r="B606" s="61" t="s">
        <v>612</v>
      </c>
      <c r="C606" s="62">
        <v>272.31950964999999</v>
      </c>
    </row>
    <row r="607" spans="1:3" hidden="1" x14ac:dyDescent="0.25">
      <c r="A607" s="60" t="s">
        <v>926</v>
      </c>
      <c r="B607" s="61" t="s">
        <v>612</v>
      </c>
      <c r="C607" s="62">
        <v>1333.3333333200001</v>
      </c>
    </row>
    <row r="608" spans="1:3" hidden="1" x14ac:dyDescent="0.25">
      <c r="A608" s="60" t="s">
        <v>52</v>
      </c>
      <c r="B608" s="61" t="s">
        <v>608</v>
      </c>
      <c r="C608" s="62">
        <v>27.651436050000001</v>
      </c>
    </row>
    <row r="609" spans="1:3" hidden="1" x14ac:dyDescent="0.25">
      <c r="A609" s="60" t="s">
        <v>1062</v>
      </c>
      <c r="B609" s="61" t="s">
        <v>608</v>
      </c>
      <c r="C609" s="62">
        <v>0</v>
      </c>
    </row>
    <row r="610" spans="1:3" hidden="1" x14ac:dyDescent="0.25">
      <c r="A610" s="60" t="s">
        <v>983</v>
      </c>
      <c r="B610" s="61" t="s">
        <v>608</v>
      </c>
      <c r="C610" s="62">
        <v>0</v>
      </c>
    </row>
    <row r="611" spans="1:3" hidden="1" x14ac:dyDescent="0.25">
      <c r="A611" s="60" t="s">
        <v>37</v>
      </c>
      <c r="B611" s="61" t="s">
        <v>608</v>
      </c>
      <c r="C611" s="62">
        <v>14.25783539</v>
      </c>
    </row>
    <row r="612" spans="1:3" hidden="1" x14ac:dyDescent="0.25">
      <c r="A612" s="60" t="s">
        <v>135</v>
      </c>
      <c r="B612" s="61" t="s">
        <v>608</v>
      </c>
      <c r="C612" s="62">
        <v>10.28067705</v>
      </c>
    </row>
    <row r="613" spans="1:3" hidden="1" x14ac:dyDescent="0.25">
      <c r="A613" s="60" t="s">
        <v>764</v>
      </c>
      <c r="B613" s="61" t="s">
        <v>608</v>
      </c>
      <c r="C613" s="62">
        <v>0</v>
      </c>
    </row>
    <row r="614" spans="1:3" hidden="1" x14ac:dyDescent="0.25">
      <c r="A614" s="60" t="s">
        <v>138</v>
      </c>
      <c r="B614" s="61" t="s">
        <v>608</v>
      </c>
      <c r="C614" s="62">
        <v>14.714642169999999</v>
      </c>
    </row>
    <row r="615" spans="1:3" hidden="1" x14ac:dyDescent="0.25">
      <c r="A615" s="60" t="s">
        <v>145</v>
      </c>
      <c r="B615" s="61" t="s">
        <v>608</v>
      </c>
      <c r="C615" s="62">
        <v>40.425119780000003</v>
      </c>
    </row>
    <row r="616" spans="1:3" hidden="1" x14ac:dyDescent="0.25">
      <c r="A616" s="60" t="s">
        <v>1425</v>
      </c>
      <c r="B616" s="61" t="s">
        <v>612</v>
      </c>
      <c r="C616" s="62">
        <v>500</v>
      </c>
    </row>
    <row r="617" spans="1:3" hidden="1" x14ac:dyDescent="0.25">
      <c r="A617" s="60" t="s">
        <v>140</v>
      </c>
      <c r="B617" s="61" t="s">
        <v>608</v>
      </c>
      <c r="C617" s="62">
        <v>75.731252760000004</v>
      </c>
    </row>
    <row r="618" spans="1:3" hidden="1" x14ac:dyDescent="0.25">
      <c r="A618" s="60" t="s">
        <v>844</v>
      </c>
      <c r="B618" s="61" t="s">
        <v>608</v>
      </c>
      <c r="C618" s="62">
        <v>4.7923322800000001</v>
      </c>
    </row>
    <row r="619" spans="1:3" hidden="1" x14ac:dyDescent="0.25">
      <c r="A619" s="60" t="s">
        <v>153</v>
      </c>
      <c r="B619" s="61" t="s">
        <v>608</v>
      </c>
      <c r="C619" s="62">
        <v>6.8023849399999996</v>
      </c>
    </row>
    <row r="620" spans="1:3" hidden="1" x14ac:dyDescent="0.25">
      <c r="A620" s="60" t="s">
        <v>890</v>
      </c>
      <c r="B620" s="61" t="s">
        <v>608</v>
      </c>
      <c r="C620" s="62">
        <v>0</v>
      </c>
    </row>
    <row r="621" spans="1:3" hidden="1" x14ac:dyDescent="0.25">
      <c r="A621" s="60" t="s">
        <v>1240</v>
      </c>
      <c r="B621" s="61" t="s">
        <v>612</v>
      </c>
      <c r="C621" s="62">
        <v>0</v>
      </c>
    </row>
    <row r="622" spans="1:3" hidden="1" x14ac:dyDescent="0.25">
      <c r="A622" s="60" t="s">
        <v>155</v>
      </c>
      <c r="B622" s="61" t="s">
        <v>612</v>
      </c>
      <c r="C622" s="62">
        <v>13895.99832975</v>
      </c>
    </row>
    <row r="623" spans="1:3" hidden="1" x14ac:dyDescent="0.25">
      <c r="A623" s="60" t="s">
        <v>141</v>
      </c>
      <c r="B623" s="61" t="s">
        <v>608</v>
      </c>
      <c r="C623" s="62">
        <v>18.392951490000002</v>
      </c>
    </row>
    <row r="624" spans="1:3" hidden="1" x14ac:dyDescent="0.25">
      <c r="A624" s="60" t="s">
        <v>829</v>
      </c>
      <c r="B624" s="61" t="s">
        <v>612</v>
      </c>
      <c r="C624" s="62">
        <v>16247.637500000001</v>
      </c>
    </row>
    <row r="625" spans="1:3" hidden="1" x14ac:dyDescent="0.25">
      <c r="A625" s="60" t="s">
        <v>339</v>
      </c>
      <c r="B625" s="61" t="s">
        <v>612</v>
      </c>
      <c r="C625" s="62">
        <v>848.48484846999997</v>
      </c>
    </row>
    <row r="626" spans="1:3" hidden="1" x14ac:dyDescent="0.25">
      <c r="A626" s="60" t="s">
        <v>137</v>
      </c>
      <c r="B626" s="61" t="s">
        <v>608</v>
      </c>
      <c r="C626" s="62">
        <v>16.730960419999999</v>
      </c>
    </row>
    <row r="627" spans="1:3" hidden="1" x14ac:dyDescent="0.25">
      <c r="A627" s="60" t="s">
        <v>771</v>
      </c>
      <c r="B627" s="61" t="s">
        <v>608</v>
      </c>
      <c r="C627" s="62">
        <v>0</v>
      </c>
    </row>
    <row r="628" spans="1:3" hidden="1" x14ac:dyDescent="0.25">
      <c r="A628" s="60" t="s">
        <v>1076</v>
      </c>
      <c r="B628" s="61" t="s">
        <v>608</v>
      </c>
      <c r="C628" s="62">
        <v>0</v>
      </c>
    </row>
    <row r="629" spans="1:3" hidden="1" x14ac:dyDescent="0.25">
      <c r="A629" s="60" t="s">
        <v>128</v>
      </c>
      <c r="B629" s="61" t="s">
        <v>608</v>
      </c>
      <c r="C629" s="62">
        <v>18.434479750000001</v>
      </c>
    </row>
    <row r="630" spans="1:3" hidden="1" x14ac:dyDescent="0.25">
      <c r="A630" s="60" t="s">
        <v>146</v>
      </c>
      <c r="B630" s="61" t="s">
        <v>608</v>
      </c>
      <c r="C630" s="62">
        <v>11.36127894</v>
      </c>
    </row>
    <row r="631" spans="1:3" hidden="1" x14ac:dyDescent="0.25">
      <c r="A631" s="60" t="s">
        <v>164</v>
      </c>
      <c r="B631" s="61" t="s">
        <v>608</v>
      </c>
      <c r="C631" s="62">
        <v>11.370124929999999</v>
      </c>
    </row>
    <row r="632" spans="1:3" hidden="1" x14ac:dyDescent="0.25">
      <c r="A632" s="60" t="s">
        <v>160</v>
      </c>
      <c r="B632" s="61" t="s">
        <v>608</v>
      </c>
      <c r="C632" s="62">
        <v>29.18143645</v>
      </c>
    </row>
    <row r="633" spans="1:3" hidden="1" x14ac:dyDescent="0.25">
      <c r="A633" s="60" t="s">
        <v>334</v>
      </c>
      <c r="B633" s="61" t="s">
        <v>612</v>
      </c>
      <c r="C633" s="62">
        <v>3626.8235500000001</v>
      </c>
    </row>
    <row r="634" spans="1:3" hidden="1" x14ac:dyDescent="0.25">
      <c r="A634" s="60" t="s">
        <v>1241</v>
      </c>
      <c r="B634" s="61" t="s">
        <v>608</v>
      </c>
      <c r="C634" s="62">
        <v>44.250857140000001</v>
      </c>
    </row>
    <row r="635" spans="1:3" hidden="1" x14ac:dyDescent="0.25">
      <c r="A635" s="60" t="s">
        <v>807</v>
      </c>
      <c r="B635" s="61" t="s">
        <v>608</v>
      </c>
      <c r="C635" s="62">
        <v>126.00709132999999</v>
      </c>
    </row>
    <row r="636" spans="1:3" hidden="1" x14ac:dyDescent="0.25">
      <c r="A636" s="60" t="s">
        <v>572</v>
      </c>
      <c r="B636" s="61" t="s">
        <v>608</v>
      </c>
      <c r="C636" s="62">
        <v>74.486128359999995</v>
      </c>
    </row>
    <row r="637" spans="1:3" hidden="1" x14ac:dyDescent="0.25">
      <c r="A637" s="60" t="s">
        <v>803</v>
      </c>
      <c r="B637" s="61" t="s">
        <v>608</v>
      </c>
      <c r="C637" s="62">
        <v>82.105034309999994</v>
      </c>
    </row>
    <row r="638" spans="1:3" hidden="1" x14ac:dyDescent="0.25">
      <c r="A638" s="60" t="s">
        <v>609</v>
      </c>
      <c r="B638" s="61" t="s">
        <v>608</v>
      </c>
      <c r="C638" s="62">
        <v>0</v>
      </c>
    </row>
    <row r="639" spans="1:3" hidden="1" x14ac:dyDescent="0.25">
      <c r="A639" s="60" t="s">
        <v>282</v>
      </c>
      <c r="B639" s="61" t="s">
        <v>608</v>
      </c>
      <c r="C639" s="62">
        <v>8.6178504199999999</v>
      </c>
    </row>
    <row r="640" spans="1:3" hidden="1" x14ac:dyDescent="0.25">
      <c r="A640" s="60" t="s">
        <v>809</v>
      </c>
      <c r="B640" s="61" t="s">
        <v>608</v>
      </c>
      <c r="C640" s="62">
        <v>0</v>
      </c>
    </row>
    <row r="641" spans="1:3" hidden="1" x14ac:dyDescent="0.25">
      <c r="A641" s="60" t="s">
        <v>739</v>
      </c>
      <c r="B641" s="61" t="s">
        <v>608</v>
      </c>
      <c r="C641" s="62">
        <v>0</v>
      </c>
    </row>
    <row r="642" spans="1:3" hidden="1" x14ac:dyDescent="0.25">
      <c r="A642" s="60" t="s">
        <v>1061</v>
      </c>
      <c r="B642" s="61" t="s">
        <v>608</v>
      </c>
      <c r="C642" s="62">
        <v>0</v>
      </c>
    </row>
    <row r="643" spans="1:3" hidden="1" x14ac:dyDescent="0.25">
      <c r="A643" s="60" t="s">
        <v>607</v>
      </c>
      <c r="B643" s="61" t="s">
        <v>608</v>
      </c>
      <c r="C643" s="62">
        <v>0</v>
      </c>
    </row>
    <row r="644" spans="1:3" hidden="1" x14ac:dyDescent="0.25">
      <c r="A644" s="60" t="s">
        <v>752</v>
      </c>
      <c r="B644" s="61" t="s">
        <v>608</v>
      </c>
      <c r="C644" s="62">
        <v>0</v>
      </c>
    </row>
    <row r="645" spans="1:3" hidden="1" x14ac:dyDescent="0.25">
      <c r="A645" s="60" t="s">
        <v>1242</v>
      </c>
      <c r="B645" s="61" t="s">
        <v>608</v>
      </c>
      <c r="C645" s="62">
        <v>21.997626329999999</v>
      </c>
    </row>
    <row r="646" spans="1:3" hidden="1" x14ac:dyDescent="0.25">
      <c r="A646" s="60" t="s">
        <v>815</v>
      </c>
      <c r="B646" s="61" t="s">
        <v>608</v>
      </c>
      <c r="C646" s="62">
        <v>19.819230340000001</v>
      </c>
    </row>
    <row r="647" spans="1:3" hidden="1" x14ac:dyDescent="0.25">
      <c r="A647" s="60" t="s">
        <v>120</v>
      </c>
      <c r="B647" s="61" t="s">
        <v>608</v>
      </c>
      <c r="C647" s="62">
        <v>11.142242850000001</v>
      </c>
    </row>
    <row r="648" spans="1:3" hidden="1" x14ac:dyDescent="0.25">
      <c r="A648" s="60" t="s">
        <v>157</v>
      </c>
      <c r="B648" s="61" t="s">
        <v>608</v>
      </c>
      <c r="C648" s="62">
        <v>13.409262439999999</v>
      </c>
    </row>
    <row r="649" spans="1:3" hidden="1" x14ac:dyDescent="0.25">
      <c r="A649" s="60" t="s">
        <v>845</v>
      </c>
      <c r="B649" s="61" t="s">
        <v>608</v>
      </c>
      <c r="C649" s="62">
        <v>0</v>
      </c>
    </row>
    <row r="650" spans="1:3" hidden="1" x14ac:dyDescent="0.25">
      <c r="A650" s="60" t="s">
        <v>1243</v>
      </c>
      <c r="B650" s="61" t="s">
        <v>608</v>
      </c>
      <c r="C650" s="62">
        <v>14.37422452</v>
      </c>
    </row>
    <row r="651" spans="1:3" hidden="1" x14ac:dyDescent="0.25">
      <c r="A651" s="60" t="s">
        <v>841</v>
      </c>
      <c r="B651" s="61" t="s">
        <v>608</v>
      </c>
      <c r="C651" s="62">
        <v>0</v>
      </c>
    </row>
    <row r="652" spans="1:3" hidden="1" x14ac:dyDescent="0.25">
      <c r="A652" s="60" t="s">
        <v>846</v>
      </c>
      <c r="B652" s="61" t="s">
        <v>608</v>
      </c>
      <c r="C652" s="62">
        <v>0</v>
      </c>
    </row>
    <row r="653" spans="1:3" hidden="1" x14ac:dyDescent="0.25">
      <c r="A653" s="60" t="s">
        <v>58</v>
      </c>
      <c r="B653" s="61" t="s">
        <v>608</v>
      </c>
      <c r="C653" s="62">
        <v>37.67</v>
      </c>
    </row>
    <row r="654" spans="1:3" hidden="1" x14ac:dyDescent="0.25">
      <c r="A654" s="60" t="s">
        <v>1021</v>
      </c>
      <c r="B654" s="61" t="s">
        <v>608</v>
      </c>
      <c r="C654" s="62">
        <v>0</v>
      </c>
    </row>
    <row r="655" spans="1:3" hidden="1" x14ac:dyDescent="0.25">
      <c r="A655" s="60" t="s">
        <v>1082</v>
      </c>
      <c r="B655" s="61" t="s">
        <v>608</v>
      </c>
      <c r="C655" s="62">
        <v>19.133394169999999</v>
      </c>
    </row>
    <row r="656" spans="1:3" hidden="1" x14ac:dyDescent="0.25">
      <c r="A656" s="60" t="s">
        <v>821</v>
      </c>
      <c r="B656" s="61" t="s">
        <v>608</v>
      </c>
      <c r="C656" s="62">
        <v>0</v>
      </c>
    </row>
    <row r="657" spans="1:3" hidden="1" x14ac:dyDescent="0.25">
      <c r="A657" s="60" t="s">
        <v>121</v>
      </c>
      <c r="B657" s="61" t="s">
        <v>608</v>
      </c>
      <c r="C657" s="62">
        <v>23.79844713</v>
      </c>
    </row>
    <row r="658" spans="1:3" hidden="1" x14ac:dyDescent="0.25">
      <c r="A658" s="60" t="s">
        <v>802</v>
      </c>
      <c r="B658" s="61" t="s">
        <v>608</v>
      </c>
      <c r="C658" s="62">
        <v>5.4880861300000001</v>
      </c>
    </row>
    <row r="659" spans="1:3" hidden="1" x14ac:dyDescent="0.25">
      <c r="A659" s="60" t="s">
        <v>1244</v>
      </c>
      <c r="B659" s="61" t="s">
        <v>608</v>
      </c>
      <c r="C659" s="62">
        <v>8.9230769300000006</v>
      </c>
    </row>
    <row r="660" spans="1:3" hidden="1" x14ac:dyDescent="0.25">
      <c r="A660" s="60" t="s">
        <v>578</v>
      </c>
      <c r="B660" s="61" t="s">
        <v>608</v>
      </c>
      <c r="C660" s="62">
        <v>3.6593364799999999</v>
      </c>
    </row>
    <row r="661" spans="1:3" hidden="1" x14ac:dyDescent="0.25">
      <c r="A661" s="60" t="s">
        <v>581</v>
      </c>
      <c r="B661" s="61" t="s">
        <v>608</v>
      </c>
      <c r="C661" s="62">
        <v>0</v>
      </c>
    </row>
    <row r="662" spans="1:3" hidden="1" x14ac:dyDescent="0.25">
      <c r="A662" s="60" t="s">
        <v>1245</v>
      </c>
      <c r="B662" s="61" t="s">
        <v>608</v>
      </c>
      <c r="C662" s="62">
        <v>27</v>
      </c>
    </row>
    <row r="663" spans="1:3" hidden="1" x14ac:dyDescent="0.25">
      <c r="A663" s="60" t="s">
        <v>340</v>
      </c>
      <c r="B663" s="61" t="s">
        <v>612</v>
      </c>
      <c r="C663" s="62">
        <v>3877.2222220200001</v>
      </c>
    </row>
    <row r="664" spans="1:3" hidden="1" x14ac:dyDescent="0.25">
      <c r="A664" s="60" t="s">
        <v>163</v>
      </c>
      <c r="B664" s="61" t="s">
        <v>608</v>
      </c>
      <c r="C664" s="62">
        <v>15.880927700000001</v>
      </c>
    </row>
    <row r="665" spans="1:3" hidden="1" x14ac:dyDescent="0.25">
      <c r="A665" s="60" t="s">
        <v>981</v>
      </c>
      <c r="B665" s="61" t="s">
        <v>612</v>
      </c>
      <c r="C665" s="62">
        <v>0</v>
      </c>
    </row>
    <row r="666" spans="1:3" hidden="1" x14ac:dyDescent="0.25">
      <c r="A666" s="60" t="s">
        <v>1038</v>
      </c>
      <c r="B666" s="61" t="s">
        <v>612</v>
      </c>
      <c r="C666" s="62">
        <v>0</v>
      </c>
    </row>
    <row r="667" spans="1:3" hidden="1" x14ac:dyDescent="0.25">
      <c r="A667" s="60" t="s">
        <v>988</v>
      </c>
      <c r="B667" s="61" t="s">
        <v>608</v>
      </c>
      <c r="C667" s="62">
        <v>0</v>
      </c>
    </row>
    <row r="668" spans="1:3" hidden="1" x14ac:dyDescent="0.25">
      <c r="A668" s="60" t="s">
        <v>1246</v>
      </c>
      <c r="B668" s="61" t="s">
        <v>615</v>
      </c>
      <c r="C668" s="62">
        <v>0</v>
      </c>
    </row>
    <row r="669" spans="1:3" hidden="1" x14ac:dyDescent="0.25">
      <c r="A669" s="60" t="s">
        <v>1107</v>
      </c>
      <c r="B669" s="61" t="s">
        <v>608</v>
      </c>
      <c r="C669" s="62">
        <v>0</v>
      </c>
    </row>
    <row r="670" spans="1:3" hidden="1" x14ac:dyDescent="0.25">
      <c r="A670" s="60" t="s">
        <v>999</v>
      </c>
      <c r="B670" s="61" t="s">
        <v>608</v>
      </c>
      <c r="C670" s="62">
        <v>0</v>
      </c>
    </row>
    <row r="671" spans="1:3" hidden="1" x14ac:dyDescent="0.25">
      <c r="A671" s="60" t="s">
        <v>693</v>
      </c>
      <c r="B671" s="61" t="s">
        <v>608</v>
      </c>
      <c r="C671" s="62">
        <v>44.585987320000001</v>
      </c>
    </row>
    <row r="672" spans="1:3" hidden="1" x14ac:dyDescent="0.25">
      <c r="A672" s="60" t="s">
        <v>41</v>
      </c>
      <c r="B672" s="61" t="s">
        <v>608</v>
      </c>
      <c r="C672" s="62">
        <v>13.969223339999999</v>
      </c>
    </row>
    <row r="673" spans="1:3" hidden="1" x14ac:dyDescent="0.25">
      <c r="A673" s="60" t="s">
        <v>801</v>
      </c>
      <c r="B673" s="61" t="s">
        <v>608</v>
      </c>
      <c r="C673" s="62">
        <v>87.08823529</v>
      </c>
    </row>
    <row r="674" spans="1:3" hidden="1" x14ac:dyDescent="0.25">
      <c r="A674" s="60" t="s">
        <v>1247</v>
      </c>
      <c r="B674" s="61" t="s">
        <v>612</v>
      </c>
      <c r="C674" s="62">
        <v>0</v>
      </c>
    </row>
    <row r="675" spans="1:3" hidden="1" x14ac:dyDescent="0.25">
      <c r="A675" s="60" t="s">
        <v>1081</v>
      </c>
      <c r="B675" s="61" t="s">
        <v>608</v>
      </c>
      <c r="C675" s="62">
        <v>0</v>
      </c>
    </row>
    <row r="676" spans="1:3" hidden="1" x14ac:dyDescent="0.25">
      <c r="A676" s="60" t="s">
        <v>1142</v>
      </c>
      <c r="B676" s="61" t="s">
        <v>615</v>
      </c>
      <c r="C676" s="62">
        <v>2566.0473321899999</v>
      </c>
    </row>
    <row r="677" spans="1:3" hidden="1" x14ac:dyDescent="0.25">
      <c r="A677" s="60" t="s">
        <v>838</v>
      </c>
      <c r="B677" s="61" t="s">
        <v>612</v>
      </c>
      <c r="C677" s="62">
        <v>4196.75</v>
      </c>
    </row>
    <row r="678" spans="1:3" hidden="1" x14ac:dyDescent="0.25">
      <c r="A678" s="60" t="s">
        <v>314</v>
      </c>
      <c r="B678" s="61" t="s">
        <v>608</v>
      </c>
      <c r="C678" s="62">
        <v>7.9253330399999999</v>
      </c>
    </row>
    <row r="679" spans="1:3" hidden="1" x14ac:dyDescent="0.25">
      <c r="A679" s="60" t="s">
        <v>1248</v>
      </c>
      <c r="B679" s="61" t="s">
        <v>608</v>
      </c>
      <c r="C679" s="62">
        <v>34.404080540000002</v>
      </c>
    </row>
    <row r="680" spans="1:3" hidden="1" x14ac:dyDescent="0.25">
      <c r="A680" s="60" t="s">
        <v>281</v>
      </c>
      <c r="B680" s="61" t="s">
        <v>608</v>
      </c>
      <c r="C680" s="62">
        <v>25.61066254</v>
      </c>
    </row>
    <row r="681" spans="1:3" hidden="1" x14ac:dyDescent="0.25">
      <c r="A681" s="60" t="s">
        <v>156</v>
      </c>
      <c r="B681" s="61" t="s">
        <v>612</v>
      </c>
      <c r="C681" s="62">
        <v>3091.1246089000001</v>
      </c>
    </row>
    <row r="682" spans="1:3" hidden="1" x14ac:dyDescent="0.25">
      <c r="A682" s="60" t="s">
        <v>168</v>
      </c>
      <c r="B682" s="61" t="s">
        <v>608</v>
      </c>
      <c r="C682" s="62">
        <v>10.86600002</v>
      </c>
    </row>
    <row r="683" spans="1:3" hidden="1" x14ac:dyDescent="0.25">
      <c r="A683" s="60" t="s">
        <v>229</v>
      </c>
      <c r="B683" s="61" t="s">
        <v>608</v>
      </c>
      <c r="C683" s="62">
        <v>24.714500000000001</v>
      </c>
    </row>
    <row r="684" spans="1:3" hidden="1" x14ac:dyDescent="0.25">
      <c r="A684" s="60" t="s">
        <v>800</v>
      </c>
      <c r="B684" s="61" t="s">
        <v>615</v>
      </c>
      <c r="C684" s="62">
        <v>1594</v>
      </c>
    </row>
    <row r="685" spans="1:3" hidden="1" x14ac:dyDescent="0.25">
      <c r="A685" s="60" t="s">
        <v>949</v>
      </c>
      <c r="B685" s="61" t="s">
        <v>615</v>
      </c>
      <c r="C685" s="62">
        <v>1594</v>
      </c>
    </row>
    <row r="686" spans="1:3" hidden="1" x14ac:dyDescent="0.25">
      <c r="A686" s="60" t="s">
        <v>931</v>
      </c>
      <c r="B686" s="61" t="s">
        <v>608</v>
      </c>
      <c r="C686" s="62">
        <v>9.68065</v>
      </c>
    </row>
    <row r="687" spans="1:3" hidden="1" x14ac:dyDescent="0.25">
      <c r="A687" s="60" t="s">
        <v>930</v>
      </c>
      <c r="B687" s="61" t="s">
        <v>608</v>
      </c>
      <c r="C687" s="62">
        <v>0</v>
      </c>
    </row>
    <row r="688" spans="1:3" hidden="1" x14ac:dyDescent="0.25">
      <c r="A688" s="60" t="s">
        <v>964</v>
      </c>
      <c r="B688" s="61" t="s">
        <v>615</v>
      </c>
      <c r="C688" s="62">
        <v>1594</v>
      </c>
    </row>
    <row r="689" spans="1:3" hidden="1" x14ac:dyDescent="0.25">
      <c r="A689" s="60" t="s">
        <v>952</v>
      </c>
      <c r="B689" s="61" t="s">
        <v>615</v>
      </c>
      <c r="C689" s="62">
        <v>2093.9545454499998</v>
      </c>
    </row>
    <row r="690" spans="1:3" hidden="1" x14ac:dyDescent="0.25">
      <c r="A690" s="60" t="s">
        <v>755</v>
      </c>
      <c r="B690" s="61" t="s">
        <v>612</v>
      </c>
      <c r="C690" s="62">
        <v>0</v>
      </c>
    </row>
    <row r="691" spans="1:3" hidden="1" x14ac:dyDescent="0.25">
      <c r="A691" s="60" t="s">
        <v>590</v>
      </c>
      <c r="B691" s="61" t="s">
        <v>608</v>
      </c>
      <c r="C691" s="62">
        <v>85.053389350000003</v>
      </c>
    </row>
    <row r="692" spans="1:3" hidden="1" x14ac:dyDescent="0.25">
      <c r="A692" s="60" t="s">
        <v>1249</v>
      </c>
      <c r="B692" s="61" t="s">
        <v>612</v>
      </c>
      <c r="C692" s="62">
        <v>0</v>
      </c>
    </row>
    <row r="693" spans="1:3" hidden="1" x14ac:dyDescent="0.25">
      <c r="A693" s="60" t="s">
        <v>230</v>
      </c>
      <c r="B693" s="61" t="s">
        <v>615</v>
      </c>
      <c r="C693" s="62">
        <v>6567</v>
      </c>
    </row>
    <row r="694" spans="1:3" hidden="1" x14ac:dyDescent="0.25">
      <c r="A694" s="60" t="s">
        <v>773</v>
      </c>
      <c r="B694" s="61" t="s">
        <v>615</v>
      </c>
      <c r="C694" s="62">
        <v>0</v>
      </c>
    </row>
    <row r="695" spans="1:3" hidden="1" x14ac:dyDescent="0.25">
      <c r="A695" s="60" t="s">
        <v>1074</v>
      </c>
      <c r="B695" s="61" t="s">
        <v>612</v>
      </c>
      <c r="C695" s="62">
        <v>0</v>
      </c>
    </row>
    <row r="696" spans="1:3" hidden="1" x14ac:dyDescent="0.25">
      <c r="A696" s="60" t="s">
        <v>1250</v>
      </c>
      <c r="B696" s="61" t="s">
        <v>612</v>
      </c>
      <c r="C696" s="62">
        <v>0</v>
      </c>
    </row>
    <row r="697" spans="1:3" hidden="1" x14ac:dyDescent="0.25">
      <c r="A697" s="60" t="s">
        <v>762</v>
      </c>
      <c r="B697" s="61" t="s">
        <v>612</v>
      </c>
      <c r="C697" s="62">
        <v>196.49600000000001</v>
      </c>
    </row>
    <row r="698" spans="1:3" hidden="1" x14ac:dyDescent="0.25">
      <c r="A698" s="60" t="s">
        <v>1105</v>
      </c>
      <c r="B698" s="61" t="s">
        <v>612</v>
      </c>
      <c r="C698" s="62">
        <v>0</v>
      </c>
    </row>
    <row r="699" spans="1:3" hidden="1" x14ac:dyDescent="0.25">
      <c r="A699" s="60" t="s">
        <v>1040</v>
      </c>
      <c r="B699" s="61" t="s">
        <v>612</v>
      </c>
      <c r="C699" s="62">
        <v>139.6</v>
      </c>
    </row>
    <row r="700" spans="1:3" hidden="1" x14ac:dyDescent="0.25">
      <c r="A700" s="60" t="s">
        <v>720</v>
      </c>
      <c r="B700" s="61" t="s">
        <v>612</v>
      </c>
      <c r="C700" s="62">
        <v>3458.3263305</v>
      </c>
    </row>
    <row r="701" spans="1:3" hidden="1" x14ac:dyDescent="0.25">
      <c r="A701" s="60" t="s">
        <v>1017</v>
      </c>
      <c r="B701" s="61" t="s">
        <v>612</v>
      </c>
      <c r="C701" s="62">
        <v>3458.3283333300001</v>
      </c>
    </row>
    <row r="702" spans="1:3" hidden="1" x14ac:dyDescent="0.25">
      <c r="A702" s="60" t="s">
        <v>723</v>
      </c>
      <c r="B702" s="61" t="s">
        <v>612</v>
      </c>
      <c r="C702" s="62">
        <v>3458.3291316700002</v>
      </c>
    </row>
    <row r="703" spans="1:3" hidden="1" x14ac:dyDescent="0.25">
      <c r="A703" s="60" t="s">
        <v>959</v>
      </c>
      <c r="B703" s="61" t="s">
        <v>612</v>
      </c>
      <c r="C703" s="62">
        <v>3458.3291316700002</v>
      </c>
    </row>
    <row r="704" spans="1:3" hidden="1" x14ac:dyDescent="0.25">
      <c r="A704" s="60" t="s">
        <v>956</v>
      </c>
      <c r="B704" s="61" t="s">
        <v>612</v>
      </c>
      <c r="C704" s="62">
        <v>3458.25</v>
      </c>
    </row>
    <row r="705" spans="1:3" hidden="1" x14ac:dyDescent="0.25">
      <c r="A705" s="60" t="s">
        <v>957</v>
      </c>
      <c r="B705" s="61" t="s">
        <v>612</v>
      </c>
      <c r="C705" s="62">
        <v>2766.5</v>
      </c>
    </row>
    <row r="706" spans="1:3" hidden="1" x14ac:dyDescent="0.25">
      <c r="A706" s="60" t="s">
        <v>1073</v>
      </c>
      <c r="B706" s="61" t="s">
        <v>612</v>
      </c>
      <c r="C706" s="62">
        <v>0</v>
      </c>
    </row>
    <row r="707" spans="1:3" hidden="1" x14ac:dyDescent="0.25">
      <c r="A707" s="60" t="s">
        <v>969</v>
      </c>
      <c r="B707" s="61" t="s">
        <v>612</v>
      </c>
      <c r="C707" s="62">
        <v>2766.6799719999999</v>
      </c>
    </row>
    <row r="708" spans="1:3" hidden="1" x14ac:dyDescent="0.25">
      <c r="A708" s="60" t="s">
        <v>1106</v>
      </c>
      <c r="B708" s="61" t="s">
        <v>612</v>
      </c>
      <c r="C708" s="62">
        <v>59.5</v>
      </c>
    </row>
    <row r="709" spans="1:3" hidden="1" x14ac:dyDescent="0.25">
      <c r="A709" s="60" t="s">
        <v>766</v>
      </c>
      <c r="B709" s="61" t="s">
        <v>615</v>
      </c>
      <c r="C709" s="62">
        <v>9423</v>
      </c>
    </row>
    <row r="710" spans="1:3" hidden="1" x14ac:dyDescent="0.25">
      <c r="A710" s="60" t="s">
        <v>774</v>
      </c>
      <c r="B710" s="61" t="s">
        <v>615</v>
      </c>
      <c r="C710" s="62">
        <v>9422.9166666700003</v>
      </c>
    </row>
    <row r="711" spans="1:3" hidden="1" x14ac:dyDescent="0.25">
      <c r="A711" s="60" t="s">
        <v>782</v>
      </c>
      <c r="B711" s="61" t="s">
        <v>615</v>
      </c>
      <c r="C711" s="62">
        <v>0</v>
      </c>
    </row>
    <row r="712" spans="1:3" hidden="1" x14ac:dyDescent="0.25">
      <c r="A712" s="60" t="s">
        <v>1136</v>
      </c>
      <c r="B712" s="61" t="s">
        <v>615</v>
      </c>
      <c r="C712" s="62">
        <v>3443.3020833300002</v>
      </c>
    </row>
    <row r="713" spans="1:3" hidden="1" x14ac:dyDescent="0.25">
      <c r="A713" s="60" t="s">
        <v>1139</v>
      </c>
      <c r="B713" s="61" t="s">
        <v>615</v>
      </c>
      <c r="C713" s="62">
        <v>14293.90909091</v>
      </c>
    </row>
    <row r="714" spans="1:3" hidden="1" x14ac:dyDescent="0.25">
      <c r="A714" s="60" t="s">
        <v>1138</v>
      </c>
      <c r="B714" s="61" t="s">
        <v>615</v>
      </c>
      <c r="C714" s="62">
        <v>9180.3909090909092</v>
      </c>
    </row>
    <row r="715" spans="1:3" hidden="1" x14ac:dyDescent="0.25">
      <c r="A715" s="60" t="s">
        <v>1251</v>
      </c>
      <c r="B715" s="61" t="s">
        <v>615</v>
      </c>
      <c r="C715" s="62">
        <v>8874.3181818199992</v>
      </c>
    </row>
    <row r="716" spans="1:3" hidden="1" x14ac:dyDescent="0.25">
      <c r="A716" s="60" t="s">
        <v>655</v>
      </c>
      <c r="B716" s="61" t="s">
        <v>615</v>
      </c>
      <c r="C716" s="62">
        <v>4505.9166666700003</v>
      </c>
    </row>
    <row r="717" spans="1:3" hidden="1" x14ac:dyDescent="0.25">
      <c r="A717" s="60" t="s">
        <v>645</v>
      </c>
      <c r="B717" s="61" t="s">
        <v>612</v>
      </c>
      <c r="C717" s="62">
        <v>10300</v>
      </c>
    </row>
    <row r="718" spans="1:3" hidden="1" x14ac:dyDescent="0.25">
      <c r="A718" s="60" t="s">
        <v>232</v>
      </c>
      <c r="B718" s="61" t="s">
        <v>608</v>
      </c>
      <c r="C718" s="62">
        <v>378</v>
      </c>
    </row>
    <row r="719" spans="1:3" hidden="1" x14ac:dyDescent="0.25">
      <c r="A719" s="60" t="s">
        <v>1071</v>
      </c>
      <c r="B719" s="61" t="s">
        <v>612</v>
      </c>
      <c r="C719" s="62">
        <v>0</v>
      </c>
    </row>
    <row r="720" spans="1:3" hidden="1" x14ac:dyDescent="0.25">
      <c r="A720" s="60" t="s">
        <v>1252</v>
      </c>
      <c r="B720" s="61" t="s">
        <v>612</v>
      </c>
      <c r="C720" s="62">
        <v>0</v>
      </c>
    </row>
    <row r="721" spans="1:3" hidden="1" x14ac:dyDescent="0.25">
      <c r="A721" s="60" t="s">
        <v>630</v>
      </c>
      <c r="B721" s="61" t="s">
        <v>612</v>
      </c>
      <c r="C721" s="62">
        <v>8771.5</v>
      </c>
    </row>
    <row r="722" spans="1:3" hidden="1" x14ac:dyDescent="0.25">
      <c r="A722" s="60" t="s">
        <v>935</v>
      </c>
      <c r="B722" s="61" t="s">
        <v>612</v>
      </c>
      <c r="C722" s="62">
        <v>0</v>
      </c>
    </row>
    <row r="723" spans="1:3" hidden="1" x14ac:dyDescent="0.25">
      <c r="A723" s="60" t="s">
        <v>712</v>
      </c>
      <c r="B723" s="61" t="s">
        <v>608</v>
      </c>
      <c r="C723" s="62">
        <v>32.5</v>
      </c>
    </row>
    <row r="724" spans="1:3" hidden="1" x14ac:dyDescent="0.25">
      <c r="A724" s="60" t="s">
        <v>233</v>
      </c>
      <c r="B724" s="61" t="s">
        <v>608</v>
      </c>
      <c r="C724" s="62">
        <v>99.166666669999998</v>
      </c>
    </row>
    <row r="725" spans="1:3" hidden="1" x14ac:dyDescent="0.25">
      <c r="A725" s="60" t="s">
        <v>708</v>
      </c>
      <c r="B725" s="61" t="s">
        <v>608</v>
      </c>
      <c r="C725" s="62">
        <v>11</v>
      </c>
    </row>
    <row r="726" spans="1:3" hidden="1" x14ac:dyDescent="0.25">
      <c r="A726" s="60" t="s">
        <v>674</v>
      </c>
      <c r="B726" s="61" t="s">
        <v>608</v>
      </c>
      <c r="C726" s="62">
        <v>4</v>
      </c>
    </row>
    <row r="727" spans="1:3" hidden="1" x14ac:dyDescent="0.25">
      <c r="A727" s="60" t="s">
        <v>745</v>
      </c>
      <c r="B727" s="61" t="s">
        <v>608</v>
      </c>
      <c r="C727" s="62">
        <v>37.5</v>
      </c>
    </row>
    <row r="728" spans="1:3" hidden="1" x14ac:dyDescent="0.25">
      <c r="A728" s="60" t="s">
        <v>1253</v>
      </c>
      <c r="B728" s="61" t="s">
        <v>608</v>
      </c>
      <c r="C728" s="62">
        <v>0</v>
      </c>
    </row>
    <row r="729" spans="1:3" hidden="1" x14ac:dyDescent="0.25">
      <c r="A729" s="60" t="s">
        <v>1254</v>
      </c>
      <c r="B729" s="61" t="s">
        <v>608</v>
      </c>
      <c r="C729" s="62">
        <v>50.53298667</v>
      </c>
    </row>
    <row r="730" spans="1:3" hidden="1" x14ac:dyDescent="0.25">
      <c r="A730" s="60" t="s">
        <v>746</v>
      </c>
      <c r="B730" s="61" t="s">
        <v>608</v>
      </c>
      <c r="C730" s="62">
        <v>12</v>
      </c>
    </row>
    <row r="731" spans="1:3" hidden="1" x14ac:dyDescent="0.25">
      <c r="A731" s="60" t="s">
        <v>741</v>
      </c>
      <c r="B731" s="61" t="s">
        <v>608</v>
      </c>
      <c r="C731" s="62">
        <v>5</v>
      </c>
    </row>
    <row r="732" spans="1:3" hidden="1" x14ac:dyDescent="0.25">
      <c r="A732" s="60" t="s">
        <v>1255</v>
      </c>
      <c r="B732" s="61" t="s">
        <v>612</v>
      </c>
      <c r="C732" s="62">
        <v>0</v>
      </c>
    </row>
    <row r="733" spans="1:3" hidden="1" x14ac:dyDescent="0.25">
      <c r="A733" s="60" t="s">
        <v>596</v>
      </c>
      <c r="B733" s="61" t="s">
        <v>612</v>
      </c>
      <c r="C733" s="62">
        <v>750</v>
      </c>
    </row>
    <row r="734" spans="1:3" hidden="1" x14ac:dyDescent="0.25">
      <c r="A734" s="60" t="s">
        <v>853</v>
      </c>
      <c r="B734" s="61" t="s">
        <v>612</v>
      </c>
      <c r="C734" s="62">
        <v>0</v>
      </c>
    </row>
    <row r="735" spans="1:3" hidden="1" x14ac:dyDescent="0.25">
      <c r="A735" s="60" t="s">
        <v>775</v>
      </c>
      <c r="B735" s="61" t="s">
        <v>612</v>
      </c>
      <c r="C735" s="62">
        <v>66111.5</v>
      </c>
    </row>
    <row r="736" spans="1:3" hidden="1" x14ac:dyDescent="0.25">
      <c r="A736" s="60" t="s">
        <v>625</v>
      </c>
      <c r="B736" s="61" t="s">
        <v>608</v>
      </c>
      <c r="C736" s="62">
        <v>33.49</v>
      </c>
    </row>
    <row r="737" spans="1:3" hidden="1" x14ac:dyDescent="0.25">
      <c r="A737" s="60" t="s">
        <v>1080</v>
      </c>
      <c r="B737" s="61" t="s">
        <v>608</v>
      </c>
      <c r="C737" s="62">
        <v>0</v>
      </c>
    </row>
    <row r="738" spans="1:3" hidden="1" x14ac:dyDescent="0.25">
      <c r="A738" s="60" t="s">
        <v>932</v>
      </c>
      <c r="B738" s="61" t="s">
        <v>608</v>
      </c>
      <c r="C738" s="62">
        <v>19.3613</v>
      </c>
    </row>
    <row r="739" spans="1:3" hidden="1" x14ac:dyDescent="0.25">
      <c r="A739" s="60" t="s">
        <v>934</v>
      </c>
      <c r="B739" s="61" t="s">
        <v>608</v>
      </c>
      <c r="C739" s="62">
        <v>0</v>
      </c>
    </row>
    <row r="740" spans="1:3" hidden="1" x14ac:dyDescent="0.25">
      <c r="A740" s="60" t="s">
        <v>696</v>
      </c>
      <c r="B740" s="61" t="s">
        <v>608</v>
      </c>
      <c r="C740" s="62">
        <v>30</v>
      </c>
    </row>
    <row r="741" spans="1:3" hidden="1" x14ac:dyDescent="0.25">
      <c r="A741" s="60" t="s">
        <v>1256</v>
      </c>
      <c r="B741" s="61" t="s">
        <v>612</v>
      </c>
      <c r="C741" s="62">
        <v>0</v>
      </c>
    </row>
    <row r="742" spans="1:3" hidden="1" x14ac:dyDescent="0.25">
      <c r="A742" s="60" t="s">
        <v>922</v>
      </c>
      <c r="B742" s="61" t="s">
        <v>615</v>
      </c>
      <c r="C742" s="62">
        <v>1918</v>
      </c>
    </row>
    <row r="743" spans="1:3" hidden="1" x14ac:dyDescent="0.25">
      <c r="A743" s="60" t="s">
        <v>924</v>
      </c>
      <c r="B743" s="61" t="s">
        <v>615</v>
      </c>
      <c r="C743" s="62">
        <v>2629</v>
      </c>
    </row>
    <row r="744" spans="1:3" hidden="1" x14ac:dyDescent="0.25">
      <c r="A744" s="60" t="s">
        <v>654</v>
      </c>
      <c r="B744" s="61" t="s">
        <v>608</v>
      </c>
      <c r="C744" s="62">
        <v>14.979749999999999</v>
      </c>
    </row>
    <row r="745" spans="1:3" hidden="1" x14ac:dyDescent="0.25">
      <c r="A745" s="60" t="s">
        <v>91</v>
      </c>
      <c r="B745" s="61" t="s">
        <v>608</v>
      </c>
      <c r="C745" s="62">
        <v>10.193790849999999</v>
      </c>
    </row>
    <row r="746" spans="1:3" hidden="1" x14ac:dyDescent="0.25">
      <c r="A746" s="60" t="s">
        <v>646</v>
      </c>
      <c r="B746" s="61" t="s">
        <v>608</v>
      </c>
      <c r="C746" s="62">
        <v>22.5276</v>
      </c>
    </row>
    <row r="747" spans="1:3" hidden="1" x14ac:dyDescent="0.25">
      <c r="A747" s="60" t="s">
        <v>234</v>
      </c>
      <c r="B747" s="61" t="s">
        <v>612</v>
      </c>
      <c r="C747" s="62">
        <v>57372</v>
      </c>
    </row>
    <row r="748" spans="1:3" hidden="1" x14ac:dyDescent="0.25">
      <c r="A748" s="60" t="s">
        <v>235</v>
      </c>
      <c r="B748" s="61" t="s">
        <v>612</v>
      </c>
      <c r="C748" s="62">
        <v>0</v>
      </c>
    </row>
    <row r="749" spans="1:3" hidden="1" x14ac:dyDescent="0.25">
      <c r="A749" s="60" t="s">
        <v>110</v>
      </c>
      <c r="B749" s="61" t="s">
        <v>612</v>
      </c>
      <c r="C749" s="68">
        <v>37617</v>
      </c>
    </row>
    <row r="750" spans="1:3" hidden="1" x14ac:dyDescent="0.25">
      <c r="A750" s="60" t="s">
        <v>236</v>
      </c>
      <c r="B750" s="61" t="s">
        <v>565</v>
      </c>
      <c r="C750" s="62">
        <v>10899</v>
      </c>
    </row>
    <row r="751" spans="1:3" hidden="1" x14ac:dyDescent="0.25">
      <c r="A751" s="60" t="s">
        <v>928</v>
      </c>
      <c r="B751" s="61" t="s">
        <v>565</v>
      </c>
      <c r="C751" s="62">
        <v>10899</v>
      </c>
    </row>
    <row r="752" spans="1:3" hidden="1" x14ac:dyDescent="0.25">
      <c r="A752" s="60" t="s">
        <v>649</v>
      </c>
      <c r="B752" s="61" t="s">
        <v>565</v>
      </c>
      <c r="C752" s="62">
        <v>10899</v>
      </c>
    </row>
    <row r="753" spans="1:3" hidden="1" x14ac:dyDescent="0.25">
      <c r="A753" s="60" t="s">
        <v>237</v>
      </c>
      <c r="B753" s="61" t="s">
        <v>565</v>
      </c>
      <c r="C753" s="62">
        <v>10899</v>
      </c>
    </row>
    <row r="754" spans="1:3" hidden="1" x14ac:dyDescent="0.25">
      <c r="A754" s="60" t="s">
        <v>238</v>
      </c>
      <c r="B754" s="61" t="s">
        <v>612</v>
      </c>
      <c r="C754" s="68">
        <v>37617</v>
      </c>
    </row>
    <row r="755" spans="1:3" hidden="1" x14ac:dyDescent="0.25">
      <c r="A755" s="60" t="s">
        <v>239</v>
      </c>
      <c r="B755" s="61" t="s">
        <v>565</v>
      </c>
      <c r="C755" s="62">
        <v>4005.4</v>
      </c>
    </row>
    <row r="756" spans="1:3" hidden="1" x14ac:dyDescent="0.25">
      <c r="A756" s="60" t="s">
        <v>109</v>
      </c>
      <c r="B756" s="61" t="s">
        <v>565</v>
      </c>
      <c r="C756" s="62">
        <v>4002.6</v>
      </c>
    </row>
    <row r="757" spans="1:3" hidden="1" x14ac:dyDescent="0.25">
      <c r="A757" s="60" t="s">
        <v>240</v>
      </c>
      <c r="B757" s="61" t="s">
        <v>565</v>
      </c>
      <c r="C757" s="62">
        <v>4005.2666666700002</v>
      </c>
    </row>
    <row r="758" spans="1:3" hidden="1" x14ac:dyDescent="0.25">
      <c r="A758" s="60" t="s">
        <v>997</v>
      </c>
      <c r="B758" s="61" t="s">
        <v>565</v>
      </c>
      <c r="C758" s="62">
        <v>0</v>
      </c>
    </row>
    <row r="759" spans="1:3" hidden="1" x14ac:dyDescent="0.25">
      <c r="A759" s="60" t="s">
        <v>241</v>
      </c>
      <c r="B759" s="61" t="s">
        <v>608</v>
      </c>
      <c r="C759" s="62">
        <v>15.193341269999999</v>
      </c>
    </row>
    <row r="760" spans="1:3" hidden="1" x14ac:dyDescent="0.25">
      <c r="A760" s="60" t="s">
        <v>1048</v>
      </c>
      <c r="B760" s="61" t="s">
        <v>612</v>
      </c>
      <c r="C760" s="62">
        <v>0</v>
      </c>
    </row>
    <row r="761" spans="1:3" hidden="1" x14ac:dyDescent="0.25">
      <c r="A761" s="60" t="s">
        <v>242</v>
      </c>
      <c r="B761" s="61" t="s">
        <v>612</v>
      </c>
      <c r="C761" s="62">
        <v>0</v>
      </c>
    </row>
    <row r="762" spans="1:3" hidden="1" x14ac:dyDescent="0.25">
      <c r="A762" s="60" t="s">
        <v>1257</v>
      </c>
      <c r="B762" s="61" t="s">
        <v>565</v>
      </c>
      <c r="C762" s="62">
        <v>0</v>
      </c>
    </row>
    <row r="763" spans="1:3" hidden="1" x14ac:dyDescent="0.25">
      <c r="A763" s="60" t="s">
        <v>243</v>
      </c>
      <c r="B763" s="61" t="s">
        <v>612</v>
      </c>
      <c r="C763" s="62">
        <v>48142</v>
      </c>
    </row>
    <row r="764" spans="1:3" hidden="1" x14ac:dyDescent="0.25">
      <c r="A764" s="60" t="s">
        <v>244</v>
      </c>
      <c r="B764" s="61" t="s">
        <v>612</v>
      </c>
      <c r="C764" s="62">
        <v>48140</v>
      </c>
    </row>
    <row r="765" spans="1:3" hidden="1" x14ac:dyDescent="0.25">
      <c r="A765" s="60" t="s">
        <v>1002</v>
      </c>
      <c r="B765" s="61" t="s">
        <v>612</v>
      </c>
      <c r="C765" s="62">
        <v>98892</v>
      </c>
    </row>
    <row r="766" spans="1:3" hidden="1" x14ac:dyDescent="0.25">
      <c r="A766" s="60" t="s">
        <v>1258</v>
      </c>
      <c r="B766" s="61" t="s">
        <v>615</v>
      </c>
      <c r="C766" s="62">
        <v>2796.5</v>
      </c>
    </row>
    <row r="767" spans="1:3" hidden="1" x14ac:dyDescent="0.25">
      <c r="A767" s="60" t="s">
        <v>101</v>
      </c>
      <c r="B767" s="61" t="s">
        <v>608</v>
      </c>
      <c r="C767" s="62">
        <v>21.149943329999999</v>
      </c>
    </row>
    <row r="768" spans="1:3" hidden="1" x14ac:dyDescent="0.25">
      <c r="A768" s="60" t="s">
        <v>1010</v>
      </c>
      <c r="B768" s="61" t="s">
        <v>615</v>
      </c>
      <c r="C768" s="62">
        <v>0</v>
      </c>
    </row>
    <row r="769" spans="1:3" hidden="1" x14ac:dyDescent="0.25">
      <c r="A769" s="60" t="s">
        <v>629</v>
      </c>
      <c r="B769" s="61" t="s">
        <v>615</v>
      </c>
      <c r="C769" s="62">
        <v>5562.5</v>
      </c>
    </row>
    <row r="770" spans="1:3" hidden="1" x14ac:dyDescent="0.25">
      <c r="A770" s="60" t="s">
        <v>1077</v>
      </c>
      <c r="B770" s="61" t="s">
        <v>612</v>
      </c>
      <c r="C770" s="62">
        <v>107.99630252</v>
      </c>
    </row>
    <row r="771" spans="1:3" hidden="1" x14ac:dyDescent="0.25">
      <c r="A771" s="60" t="s">
        <v>1259</v>
      </c>
      <c r="B771" s="61" t="s">
        <v>612</v>
      </c>
      <c r="C771" s="62">
        <v>30100</v>
      </c>
    </row>
    <row r="772" spans="1:3" hidden="1" x14ac:dyDescent="0.25">
      <c r="A772" s="60" t="s">
        <v>245</v>
      </c>
      <c r="B772" s="61" t="s">
        <v>608</v>
      </c>
      <c r="C772" s="62">
        <v>8.8511111099999997</v>
      </c>
    </row>
    <row r="773" spans="1:3" hidden="1" x14ac:dyDescent="0.25">
      <c r="A773" s="60" t="s">
        <v>1122</v>
      </c>
      <c r="B773" s="61" t="s">
        <v>608</v>
      </c>
      <c r="C773" s="62">
        <v>0</v>
      </c>
    </row>
    <row r="774" spans="1:3" hidden="1" x14ac:dyDescent="0.25">
      <c r="A774" s="60" t="s">
        <v>647</v>
      </c>
      <c r="B774" s="61" t="s">
        <v>608</v>
      </c>
      <c r="C774" s="62">
        <v>3.5</v>
      </c>
    </row>
    <row r="775" spans="1:3" hidden="1" x14ac:dyDescent="0.25">
      <c r="A775" s="60" t="s">
        <v>710</v>
      </c>
      <c r="B775" s="61" t="s">
        <v>608</v>
      </c>
      <c r="C775" s="62">
        <v>2.5</v>
      </c>
    </row>
    <row r="776" spans="1:3" hidden="1" x14ac:dyDescent="0.25">
      <c r="A776" s="60" t="s">
        <v>1260</v>
      </c>
      <c r="B776" s="61" t="s">
        <v>608</v>
      </c>
      <c r="C776" s="62">
        <v>160</v>
      </c>
    </row>
    <row r="777" spans="1:3" hidden="1" x14ac:dyDescent="0.25">
      <c r="A777" s="60" t="s">
        <v>743</v>
      </c>
      <c r="B777" s="61" t="s">
        <v>608</v>
      </c>
      <c r="C777" s="62">
        <v>0</v>
      </c>
    </row>
    <row r="778" spans="1:3" hidden="1" x14ac:dyDescent="0.25">
      <c r="A778" s="60" t="s">
        <v>747</v>
      </c>
      <c r="B778" s="61" t="s">
        <v>608</v>
      </c>
      <c r="C778" s="62">
        <v>3.5</v>
      </c>
    </row>
    <row r="779" spans="1:3" hidden="1" x14ac:dyDescent="0.25">
      <c r="A779" s="60"/>
      <c r="B779" s="61"/>
      <c r="C779" s="62"/>
    </row>
    <row r="780" spans="1:3" hidden="1" x14ac:dyDescent="0.25">
      <c r="A780" s="60"/>
      <c r="B780" s="61"/>
      <c r="C780" s="62"/>
    </row>
    <row r="781" spans="1:3" hidden="1" x14ac:dyDescent="0.25">
      <c r="A781" s="60"/>
      <c r="B781" s="61"/>
      <c r="C781" s="62"/>
    </row>
    <row r="782" spans="1:3" hidden="1" x14ac:dyDescent="0.25">
      <c r="A782" s="60"/>
      <c r="B782" s="61"/>
      <c r="C782" s="62"/>
    </row>
    <row r="783" spans="1:3" hidden="1" x14ac:dyDescent="0.25">
      <c r="A783" s="60"/>
      <c r="B783" s="61"/>
      <c r="C783" s="62"/>
    </row>
    <row r="784" spans="1:3" hidden="1" x14ac:dyDescent="0.25">
      <c r="A784" s="60"/>
      <c r="B784" s="61"/>
      <c r="C784" s="62"/>
    </row>
    <row r="785" spans="1:3" hidden="1" x14ac:dyDescent="0.25">
      <c r="A785" s="60"/>
      <c r="B785" s="61"/>
      <c r="C785" s="62"/>
    </row>
    <row r="786" spans="1:3" hidden="1" x14ac:dyDescent="0.25">
      <c r="A786" s="60"/>
      <c r="B786" s="61"/>
      <c r="C786" s="62"/>
    </row>
    <row r="787" spans="1:3" hidden="1" x14ac:dyDescent="0.25">
      <c r="A787" s="60"/>
      <c r="B787" s="61"/>
      <c r="C787" s="62"/>
    </row>
    <row r="788" spans="1:3" hidden="1" x14ac:dyDescent="0.25">
      <c r="A788" s="60"/>
      <c r="B788" s="61"/>
      <c r="C788" s="62"/>
    </row>
    <row r="789" spans="1:3" hidden="1" x14ac:dyDescent="0.25">
      <c r="A789" s="60"/>
      <c r="B789" s="61"/>
      <c r="C789" s="62"/>
    </row>
    <row r="790" spans="1:3" hidden="1" x14ac:dyDescent="0.25">
      <c r="A790" s="60"/>
      <c r="B790" s="61"/>
      <c r="C790" s="62"/>
    </row>
    <row r="791" spans="1:3" hidden="1" x14ac:dyDescent="0.25">
      <c r="A791" s="60"/>
      <c r="B791" s="61"/>
      <c r="C791" s="62"/>
    </row>
    <row r="792" spans="1:3" hidden="1" x14ac:dyDescent="0.25">
      <c r="A792" s="60"/>
      <c r="B792" s="61"/>
      <c r="C792" s="62"/>
    </row>
    <row r="793" spans="1:3" hidden="1" x14ac:dyDescent="0.25">
      <c r="A793" s="60"/>
      <c r="B793" s="61"/>
      <c r="C793" s="62"/>
    </row>
    <row r="794" spans="1:3" hidden="1" x14ac:dyDescent="0.25">
      <c r="A794" s="60"/>
      <c r="B794" s="61"/>
      <c r="C794" s="62"/>
    </row>
    <row r="795" spans="1:3" hidden="1" x14ac:dyDescent="0.25">
      <c r="A795" s="60"/>
      <c r="B795" s="61"/>
      <c r="C795" s="62"/>
    </row>
    <row r="796" spans="1:3" hidden="1" x14ac:dyDescent="0.25">
      <c r="A796" s="60"/>
      <c r="B796" s="61"/>
      <c r="C796" s="62"/>
    </row>
    <row r="797" spans="1:3" hidden="1" x14ac:dyDescent="0.25">
      <c r="A797" s="60"/>
      <c r="B797" s="61"/>
      <c r="C797" s="62"/>
    </row>
    <row r="798" spans="1:3" hidden="1" x14ac:dyDescent="0.25">
      <c r="A798" s="60"/>
      <c r="B798" s="61"/>
      <c r="C798" s="62"/>
    </row>
    <row r="799" spans="1:3" hidden="1" x14ac:dyDescent="0.25">
      <c r="A799" s="60"/>
      <c r="B799" s="61"/>
      <c r="C799" s="62"/>
    </row>
    <row r="800" spans="1:3" hidden="1" x14ac:dyDescent="0.25">
      <c r="A800" s="60"/>
      <c r="B800" s="61"/>
      <c r="C800" s="62"/>
    </row>
    <row r="801" spans="1:3" hidden="1" x14ac:dyDescent="0.25">
      <c r="A801" s="60"/>
      <c r="B801" s="61"/>
      <c r="C801" s="62"/>
    </row>
    <row r="802" spans="1:3" hidden="1" x14ac:dyDescent="0.25">
      <c r="A802" s="60"/>
      <c r="B802" s="61"/>
      <c r="C802" s="62"/>
    </row>
    <row r="803" spans="1:3" hidden="1" x14ac:dyDescent="0.25">
      <c r="A803" s="60"/>
      <c r="B803" s="61"/>
      <c r="C803" s="62"/>
    </row>
    <row r="804" spans="1:3" hidden="1" x14ac:dyDescent="0.25">
      <c r="A804" s="60"/>
      <c r="B804" s="61"/>
      <c r="C804" s="62"/>
    </row>
    <row r="805" spans="1:3" hidden="1" x14ac:dyDescent="0.25">
      <c r="A805" s="60"/>
      <c r="B805" s="61"/>
      <c r="C805" s="62"/>
    </row>
    <row r="806" spans="1:3" hidden="1" x14ac:dyDescent="0.25">
      <c r="A806" s="60"/>
      <c r="B806" s="61"/>
      <c r="C806" s="62"/>
    </row>
    <row r="807" spans="1:3" hidden="1" x14ac:dyDescent="0.25">
      <c r="A807" s="60"/>
      <c r="B807" s="61"/>
      <c r="C807" s="62"/>
    </row>
    <row r="808" spans="1:3" hidden="1" x14ac:dyDescent="0.25">
      <c r="A808" s="60"/>
      <c r="B808" s="61"/>
      <c r="C808" s="62"/>
    </row>
    <row r="809" spans="1:3" hidden="1" x14ac:dyDescent="0.25">
      <c r="A809" s="60"/>
      <c r="B809" s="61"/>
      <c r="C809" s="62"/>
    </row>
    <row r="810" spans="1:3" hidden="1" x14ac:dyDescent="0.25">
      <c r="A810" s="60"/>
      <c r="B810" s="61"/>
      <c r="C810" s="62"/>
    </row>
    <row r="811" spans="1:3" hidden="1" x14ac:dyDescent="0.25">
      <c r="A811" s="60"/>
      <c r="B811" s="61"/>
      <c r="C811" s="62"/>
    </row>
    <row r="812" spans="1:3" hidden="1" x14ac:dyDescent="0.25">
      <c r="A812" s="60"/>
      <c r="B812" s="61"/>
      <c r="C812" s="62"/>
    </row>
    <row r="813" spans="1:3" hidden="1" x14ac:dyDescent="0.25">
      <c r="A813" s="60"/>
      <c r="B813" s="61"/>
      <c r="C813" s="62"/>
    </row>
    <row r="814" spans="1:3" hidden="1" x14ac:dyDescent="0.25">
      <c r="A814" s="60"/>
      <c r="B814" s="61"/>
      <c r="C814" s="62"/>
    </row>
    <row r="815" spans="1:3" hidden="1" x14ac:dyDescent="0.25">
      <c r="A815" s="60"/>
      <c r="B815" s="61"/>
      <c r="C815" s="62"/>
    </row>
    <row r="816" spans="1:3" hidden="1" x14ac:dyDescent="0.25">
      <c r="A816" s="60"/>
      <c r="B816" s="61"/>
      <c r="C816" s="62"/>
    </row>
    <row r="817" spans="1:3" hidden="1" x14ac:dyDescent="0.25">
      <c r="A817" s="60"/>
      <c r="B817" s="61"/>
      <c r="C817" s="62"/>
    </row>
    <row r="818" spans="1:3" hidden="1" x14ac:dyDescent="0.25">
      <c r="A818" s="60"/>
      <c r="B818" s="61"/>
      <c r="C818" s="62"/>
    </row>
    <row r="819" spans="1:3" hidden="1" x14ac:dyDescent="0.25">
      <c r="A819" s="60"/>
      <c r="B819" s="61"/>
      <c r="C819" s="62"/>
    </row>
    <row r="820" spans="1:3" hidden="1" x14ac:dyDescent="0.25">
      <c r="A820" s="60"/>
      <c r="B820" s="61"/>
      <c r="C820" s="62"/>
    </row>
    <row r="821" spans="1:3" hidden="1" x14ac:dyDescent="0.25">
      <c r="A821" s="60"/>
      <c r="B821" s="61"/>
      <c r="C821" s="62"/>
    </row>
    <row r="822" spans="1:3" hidden="1" x14ac:dyDescent="0.25">
      <c r="A822" s="60"/>
      <c r="B822" s="61"/>
      <c r="C822" s="62"/>
    </row>
    <row r="823" spans="1:3" hidden="1" x14ac:dyDescent="0.25">
      <c r="A823" s="60"/>
      <c r="B823" s="61"/>
      <c r="C823" s="62"/>
    </row>
    <row r="824" spans="1:3" hidden="1" x14ac:dyDescent="0.25">
      <c r="A824" s="60"/>
      <c r="B824" s="61"/>
      <c r="C824" s="62"/>
    </row>
    <row r="825" spans="1:3" hidden="1" x14ac:dyDescent="0.25">
      <c r="A825" s="60"/>
      <c r="B825" s="61"/>
      <c r="C825" s="62"/>
    </row>
    <row r="826" spans="1:3" hidden="1" x14ac:dyDescent="0.25">
      <c r="A826" s="60"/>
      <c r="B826" s="61"/>
      <c r="C826" s="62"/>
    </row>
    <row r="827" spans="1:3" hidden="1" x14ac:dyDescent="0.25">
      <c r="A827" s="60"/>
      <c r="B827" s="61"/>
      <c r="C827" s="62"/>
    </row>
    <row r="828" spans="1:3" hidden="1" x14ac:dyDescent="0.25">
      <c r="A828" s="60"/>
      <c r="B828" s="61"/>
      <c r="C828" s="62"/>
    </row>
    <row r="829" spans="1:3" hidden="1" x14ac:dyDescent="0.25">
      <c r="A829" s="60"/>
      <c r="B829" s="61"/>
      <c r="C829" s="62"/>
    </row>
    <row r="830" spans="1:3" hidden="1" x14ac:dyDescent="0.25">
      <c r="A830" s="60"/>
      <c r="B830" s="61"/>
      <c r="C830" s="62"/>
    </row>
    <row r="831" spans="1:3" hidden="1" x14ac:dyDescent="0.25">
      <c r="A831" s="60"/>
      <c r="B831" s="61"/>
      <c r="C831" s="62"/>
    </row>
    <row r="832" spans="1:3" hidden="1" x14ac:dyDescent="0.25">
      <c r="A832" s="60"/>
      <c r="B832" s="61"/>
      <c r="C832" s="62"/>
    </row>
    <row r="833" spans="1:3" hidden="1" x14ac:dyDescent="0.25">
      <c r="A833" s="60"/>
      <c r="B833" s="61"/>
      <c r="C833" s="62"/>
    </row>
    <row r="834" spans="1:3" hidden="1" x14ac:dyDescent="0.25">
      <c r="A834" s="60"/>
      <c r="B834" s="61"/>
      <c r="C834" s="62"/>
    </row>
    <row r="835" spans="1:3" hidden="1" x14ac:dyDescent="0.25">
      <c r="A835" s="60"/>
      <c r="B835" s="61"/>
      <c r="C835" s="62"/>
    </row>
    <row r="836" spans="1:3" hidden="1" x14ac:dyDescent="0.25">
      <c r="A836" s="60"/>
      <c r="B836" s="61"/>
      <c r="C836" s="62"/>
    </row>
    <row r="837" spans="1:3" hidden="1" x14ac:dyDescent="0.25">
      <c r="A837" s="60"/>
      <c r="B837" s="61"/>
      <c r="C837" s="62"/>
    </row>
    <row r="838" spans="1:3" hidden="1" x14ac:dyDescent="0.25">
      <c r="A838" s="60"/>
      <c r="B838" s="61"/>
      <c r="C838" s="62"/>
    </row>
    <row r="839" spans="1:3" hidden="1" x14ac:dyDescent="0.25">
      <c r="A839" s="60"/>
      <c r="B839" s="61"/>
      <c r="C839" s="62"/>
    </row>
    <row r="840" spans="1:3" hidden="1" x14ac:dyDescent="0.25">
      <c r="A840" s="60"/>
      <c r="B840" s="61"/>
      <c r="C840" s="62"/>
    </row>
    <row r="841" spans="1:3" hidden="1" x14ac:dyDescent="0.25">
      <c r="A841" s="60"/>
      <c r="B841" s="61"/>
      <c r="C841" s="62"/>
    </row>
    <row r="842" spans="1:3" hidden="1" x14ac:dyDescent="0.25">
      <c r="A842" s="60"/>
      <c r="B842" s="61"/>
      <c r="C842" s="62"/>
    </row>
    <row r="843" spans="1:3" hidden="1" x14ac:dyDescent="0.25">
      <c r="A843" s="60"/>
      <c r="B843" s="61"/>
      <c r="C843" s="62"/>
    </row>
    <row r="844" spans="1:3" hidden="1" x14ac:dyDescent="0.25">
      <c r="A844" s="60"/>
      <c r="B844" s="61"/>
      <c r="C844" s="62"/>
    </row>
    <row r="845" spans="1:3" hidden="1" x14ac:dyDescent="0.25">
      <c r="A845" s="60"/>
      <c r="B845" s="61"/>
      <c r="C845" s="62"/>
    </row>
    <row r="846" spans="1:3" hidden="1" x14ac:dyDescent="0.25">
      <c r="A846" s="60"/>
      <c r="B846" s="61"/>
      <c r="C846" s="62"/>
    </row>
    <row r="847" spans="1:3" hidden="1" x14ac:dyDescent="0.25">
      <c r="A847" s="60"/>
      <c r="B847" s="61"/>
      <c r="C847" s="62"/>
    </row>
    <row r="848" spans="1:3" hidden="1" x14ac:dyDescent="0.25">
      <c r="A848" s="60"/>
      <c r="B848" s="61"/>
      <c r="C848" s="62"/>
    </row>
    <row r="849" spans="1:3" hidden="1" x14ac:dyDescent="0.25">
      <c r="A849" s="60"/>
      <c r="B849" s="61"/>
      <c r="C849" s="62"/>
    </row>
    <row r="850" spans="1:3" hidden="1" x14ac:dyDescent="0.25">
      <c r="A850" s="60"/>
      <c r="B850" s="61"/>
      <c r="C850" s="62"/>
    </row>
    <row r="851" spans="1:3" hidden="1" x14ac:dyDescent="0.25">
      <c r="A851" s="60"/>
      <c r="B851" s="61"/>
      <c r="C851" s="62"/>
    </row>
    <row r="852" spans="1:3" hidden="1" x14ac:dyDescent="0.25">
      <c r="A852" s="60"/>
      <c r="B852" s="61"/>
      <c r="C852" s="62"/>
    </row>
    <row r="853" spans="1:3" hidden="1" x14ac:dyDescent="0.25">
      <c r="A853" s="60"/>
      <c r="B853" s="61"/>
      <c r="C853" s="62"/>
    </row>
    <row r="854" spans="1:3" hidden="1" x14ac:dyDescent="0.25">
      <c r="A854" s="60"/>
      <c r="B854" s="61"/>
      <c r="C854" s="62"/>
    </row>
    <row r="855" spans="1:3" hidden="1" x14ac:dyDescent="0.25">
      <c r="A855" s="60"/>
      <c r="B855" s="61"/>
      <c r="C855" s="62"/>
    </row>
    <row r="856" spans="1:3" hidden="1" x14ac:dyDescent="0.25">
      <c r="A856" s="60"/>
      <c r="B856" s="61"/>
      <c r="C856" s="62"/>
    </row>
    <row r="857" spans="1:3" hidden="1" x14ac:dyDescent="0.25">
      <c r="A857" s="60"/>
      <c r="B857" s="61"/>
      <c r="C857" s="62"/>
    </row>
    <row r="858" spans="1:3" hidden="1" x14ac:dyDescent="0.25">
      <c r="A858" s="60"/>
      <c r="B858" s="61"/>
      <c r="C858" s="62"/>
    </row>
    <row r="859" spans="1:3" hidden="1" x14ac:dyDescent="0.25">
      <c r="A859" s="60"/>
      <c r="B859" s="61"/>
      <c r="C859" s="62"/>
    </row>
    <row r="860" spans="1:3" hidden="1" x14ac:dyDescent="0.25">
      <c r="A860" s="60"/>
      <c r="B860" s="61"/>
      <c r="C860" s="62"/>
    </row>
    <row r="861" spans="1:3" hidden="1" x14ac:dyDescent="0.25">
      <c r="A861" s="60"/>
      <c r="B861" s="61"/>
      <c r="C861" s="62"/>
    </row>
    <row r="862" spans="1:3" hidden="1" x14ac:dyDescent="0.25">
      <c r="A862" s="60"/>
      <c r="B862" s="61"/>
      <c r="C862" s="62"/>
    </row>
    <row r="863" spans="1:3" hidden="1" x14ac:dyDescent="0.25">
      <c r="A863" s="60"/>
      <c r="B863" s="61"/>
      <c r="C863" s="62"/>
    </row>
    <row r="864" spans="1:3" hidden="1" x14ac:dyDescent="0.25">
      <c r="A864" s="60"/>
      <c r="B864" s="61"/>
      <c r="C864" s="62"/>
    </row>
    <row r="865" spans="1:3" hidden="1" x14ac:dyDescent="0.25">
      <c r="A865" s="60"/>
      <c r="B865" s="61"/>
      <c r="C865" s="62"/>
    </row>
    <row r="866" spans="1:3" hidden="1" x14ac:dyDescent="0.25">
      <c r="A866" s="60"/>
      <c r="B866" s="61"/>
      <c r="C866" s="62"/>
    </row>
    <row r="867" spans="1:3" hidden="1" x14ac:dyDescent="0.25">
      <c r="A867" s="60"/>
      <c r="B867" s="61"/>
      <c r="C867" s="62"/>
    </row>
    <row r="868" spans="1:3" hidden="1" x14ac:dyDescent="0.25">
      <c r="A868" s="60"/>
      <c r="B868" s="61"/>
      <c r="C868" s="62"/>
    </row>
    <row r="869" spans="1:3" hidden="1" x14ac:dyDescent="0.25">
      <c r="A869" s="60"/>
      <c r="B869" s="61"/>
      <c r="C869" s="62"/>
    </row>
    <row r="870" spans="1:3" hidden="1" x14ac:dyDescent="0.25">
      <c r="A870" s="60"/>
      <c r="B870" s="61"/>
      <c r="C870" s="62"/>
    </row>
    <row r="871" spans="1:3" hidden="1" x14ac:dyDescent="0.25">
      <c r="A871" s="60"/>
      <c r="B871" s="61"/>
      <c r="C871" s="62"/>
    </row>
    <row r="872" spans="1:3" hidden="1" x14ac:dyDescent="0.25">
      <c r="A872" s="60"/>
      <c r="B872" s="61"/>
      <c r="C872" s="62"/>
    </row>
    <row r="873" spans="1:3" hidden="1" x14ac:dyDescent="0.25">
      <c r="A873" s="60"/>
      <c r="B873" s="61"/>
      <c r="C873" s="62"/>
    </row>
    <row r="874" spans="1:3" hidden="1" x14ac:dyDescent="0.25">
      <c r="A874" s="60"/>
      <c r="B874" s="61"/>
      <c r="C874" s="62"/>
    </row>
    <row r="875" spans="1:3" hidden="1" x14ac:dyDescent="0.25">
      <c r="A875" s="60"/>
      <c r="B875" s="61"/>
      <c r="C875" s="62"/>
    </row>
    <row r="876" spans="1:3" hidden="1" x14ac:dyDescent="0.25">
      <c r="A876" s="60"/>
      <c r="B876" s="61"/>
      <c r="C876" s="62"/>
    </row>
    <row r="877" spans="1:3" hidden="1" x14ac:dyDescent="0.25">
      <c r="A877" s="60"/>
      <c r="B877" s="61"/>
      <c r="C877" s="62"/>
    </row>
    <row r="878" spans="1:3" hidden="1" x14ac:dyDescent="0.25">
      <c r="A878" s="60"/>
      <c r="B878" s="61"/>
      <c r="C878" s="62"/>
    </row>
    <row r="879" spans="1:3" hidden="1" x14ac:dyDescent="0.25">
      <c r="A879" s="60"/>
      <c r="B879" s="61"/>
      <c r="C879" s="62"/>
    </row>
    <row r="880" spans="1:3" hidden="1" x14ac:dyDescent="0.25">
      <c r="A880" s="60"/>
      <c r="B880" s="61"/>
      <c r="C880" s="62"/>
    </row>
    <row r="881" spans="1:3" hidden="1" x14ac:dyDescent="0.25">
      <c r="A881" s="60"/>
      <c r="B881" s="61"/>
      <c r="C881" s="62"/>
    </row>
    <row r="882" spans="1:3" hidden="1" x14ac:dyDescent="0.25">
      <c r="A882" s="60"/>
      <c r="B882" s="61"/>
      <c r="C882" s="62"/>
    </row>
    <row r="883" spans="1:3" hidden="1" x14ac:dyDescent="0.25">
      <c r="A883" s="60"/>
      <c r="B883" s="61"/>
      <c r="C883" s="62"/>
    </row>
    <row r="884" spans="1:3" hidden="1" x14ac:dyDescent="0.25">
      <c r="A884" s="60"/>
      <c r="B884" s="61"/>
      <c r="C884" s="62"/>
    </row>
    <row r="885" spans="1:3" hidden="1" x14ac:dyDescent="0.25">
      <c r="A885" s="60"/>
      <c r="B885" s="61"/>
      <c r="C885" s="62"/>
    </row>
    <row r="886" spans="1:3" hidden="1" x14ac:dyDescent="0.25">
      <c r="A886" s="60"/>
      <c r="B886" s="61"/>
      <c r="C886" s="62"/>
    </row>
    <row r="887" spans="1:3" hidden="1" x14ac:dyDescent="0.25">
      <c r="A887" s="60"/>
      <c r="B887" s="61"/>
      <c r="C887" s="62"/>
    </row>
    <row r="888" spans="1:3" hidden="1" x14ac:dyDescent="0.25">
      <c r="A888" s="60"/>
      <c r="B888" s="61"/>
      <c r="C888" s="62"/>
    </row>
    <row r="889" spans="1:3" hidden="1" x14ac:dyDescent="0.25">
      <c r="A889" s="60"/>
      <c r="B889" s="61"/>
      <c r="C889" s="62"/>
    </row>
    <row r="890" spans="1:3" hidden="1" x14ac:dyDescent="0.25">
      <c r="A890" s="60"/>
      <c r="B890" s="61"/>
      <c r="C890" s="62"/>
    </row>
    <row r="891" spans="1:3" hidden="1" x14ac:dyDescent="0.25">
      <c r="A891" s="60"/>
      <c r="B891" s="61"/>
      <c r="C891" s="62"/>
    </row>
    <row r="892" spans="1:3" hidden="1" x14ac:dyDescent="0.25">
      <c r="A892" s="60"/>
      <c r="B892" s="61"/>
      <c r="C892" s="62"/>
    </row>
    <row r="893" spans="1:3" hidden="1" x14ac:dyDescent="0.25">
      <c r="A893" s="60"/>
      <c r="B893" s="61"/>
      <c r="C893" s="62"/>
    </row>
    <row r="894" spans="1:3" hidden="1" x14ac:dyDescent="0.25">
      <c r="A894" s="60"/>
      <c r="B894" s="61"/>
      <c r="C894" s="62"/>
    </row>
    <row r="895" spans="1:3" hidden="1" x14ac:dyDescent="0.25">
      <c r="A895" s="60"/>
      <c r="B895" s="61"/>
      <c r="C895" s="62"/>
    </row>
    <row r="896" spans="1:3" hidden="1" x14ac:dyDescent="0.25">
      <c r="A896" s="60"/>
      <c r="B896" s="61"/>
      <c r="C896" s="62"/>
    </row>
    <row r="897" spans="1:3" hidden="1" x14ac:dyDescent="0.25">
      <c r="A897" s="60"/>
      <c r="B897" s="61"/>
      <c r="C897" s="62"/>
    </row>
    <row r="898" spans="1:3" hidden="1" x14ac:dyDescent="0.25">
      <c r="A898" s="60"/>
      <c r="B898" s="61"/>
      <c r="C898" s="62"/>
    </row>
    <row r="899" spans="1:3" hidden="1" x14ac:dyDescent="0.25">
      <c r="A899" s="60"/>
      <c r="B899" s="61"/>
      <c r="C899" s="62"/>
    </row>
    <row r="900" spans="1:3" hidden="1" x14ac:dyDescent="0.25">
      <c r="A900" s="60"/>
      <c r="B900" s="61"/>
      <c r="C900" s="62"/>
    </row>
    <row r="901" spans="1:3" hidden="1" x14ac:dyDescent="0.25">
      <c r="A901" s="60"/>
      <c r="B901" s="61"/>
      <c r="C901" s="62"/>
    </row>
    <row r="902" spans="1:3" hidden="1" x14ac:dyDescent="0.25">
      <c r="A902" s="60"/>
      <c r="B902" s="61"/>
      <c r="C902" s="62"/>
    </row>
    <row r="903" spans="1:3" hidden="1" x14ac:dyDescent="0.25">
      <c r="A903" s="60"/>
      <c r="B903" s="61"/>
      <c r="C903" s="62"/>
    </row>
    <row r="904" spans="1:3" hidden="1" x14ac:dyDescent="0.25">
      <c r="A904" s="60"/>
      <c r="B904" s="61"/>
      <c r="C904" s="62"/>
    </row>
    <row r="905" spans="1:3" hidden="1" x14ac:dyDescent="0.25">
      <c r="A905" s="60"/>
      <c r="B905" s="61"/>
      <c r="C905" s="62"/>
    </row>
    <row r="906" spans="1:3" hidden="1" x14ac:dyDescent="0.25">
      <c r="A906" s="60"/>
      <c r="B906" s="61"/>
      <c r="C906" s="62"/>
    </row>
    <row r="907" spans="1:3" hidden="1" x14ac:dyDescent="0.25">
      <c r="A907" s="60"/>
      <c r="B907" s="61"/>
      <c r="C907" s="62"/>
    </row>
    <row r="908" spans="1:3" hidden="1" x14ac:dyDescent="0.25">
      <c r="A908" s="60"/>
      <c r="B908" s="61"/>
      <c r="C908" s="62"/>
    </row>
    <row r="909" spans="1:3" hidden="1" x14ac:dyDescent="0.25">
      <c r="A909" s="60"/>
      <c r="B909" s="61"/>
      <c r="C909" s="62"/>
    </row>
    <row r="910" spans="1:3" hidden="1" x14ac:dyDescent="0.25">
      <c r="A910" s="60"/>
      <c r="B910" s="61"/>
      <c r="C910" s="62"/>
    </row>
    <row r="911" spans="1:3" hidden="1" x14ac:dyDescent="0.25">
      <c r="A911" s="60"/>
      <c r="B911" s="61"/>
      <c r="C911" s="62"/>
    </row>
    <row r="912" spans="1:3" hidden="1" x14ac:dyDescent="0.25">
      <c r="A912" s="60"/>
      <c r="B912" s="61"/>
      <c r="C912" s="62"/>
    </row>
    <row r="913" spans="1:3" hidden="1" x14ac:dyDescent="0.25">
      <c r="A913" s="60"/>
      <c r="B913" s="61"/>
      <c r="C913" s="62"/>
    </row>
    <row r="914" spans="1:3" hidden="1" x14ac:dyDescent="0.25">
      <c r="A914" s="60"/>
      <c r="B914" s="61"/>
      <c r="C914" s="62"/>
    </row>
    <row r="915" spans="1:3" hidden="1" x14ac:dyDescent="0.25">
      <c r="A915" s="60"/>
      <c r="B915" s="61"/>
      <c r="C915" s="62"/>
    </row>
    <row r="916" spans="1:3" hidden="1" x14ac:dyDescent="0.25">
      <c r="A916" s="60"/>
      <c r="B916" s="61"/>
      <c r="C916" s="62"/>
    </row>
    <row r="917" spans="1:3" hidden="1" x14ac:dyDescent="0.25">
      <c r="A917" s="60"/>
      <c r="B917" s="61"/>
      <c r="C917" s="62"/>
    </row>
    <row r="918" spans="1:3" hidden="1" x14ac:dyDescent="0.25">
      <c r="A918" s="60"/>
      <c r="B918" s="61"/>
      <c r="C918" s="62"/>
    </row>
    <row r="919" spans="1:3" hidden="1" x14ac:dyDescent="0.25">
      <c r="A919" s="60"/>
      <c r="B919" s="61"/>
      <c r="C919" s="62"/>
    </row>
    <row r="920" spans="1:3" hidden="1" x14ac:dyDescent="0.25">
      <c r="A920" s="60"/>
      <c r="B920" s="61"/>
      <c r="C920" s="62"/>
    </row>
    <row r="921" spans="1:3" hidden="1" x14ac:dyDescent="0.25">
      <c r="A921" s="60"/>
      <c r="B921" s="61"/>
      <c r="C921" s="62"/>
    </row>
    <row r="922" spans="1:3" hidden="1" x14ac:dyDescent="0.25">
      <c r="A922" s="60"/>
      <c r="B922" s="61"/>
      <c r="C922" s="62"/>
    </row>
    <row r="923" spans="1:3" hidden="1" x14ac:dyDescent="0.25">
      <c r="A923" s="60"/>
      <c r="B923" s="61"/>
      <c r="C923" s="62"/>
    </row>
    <row r="924" spans="1:3" hidden="1" x14ac:dyDescent="0.25">
      <c r="A924" s="60"/>
      <c r="B924" s="61"/>
      <c r="C924" s="62"/>
    </row>
    <row r="925" spans="1:3" hidden="1" x14ac:dyDescent="0.25">
      <c r="A925" s="60"/>
      <c r="B925" s="61"/>
      <c r="C925" s="62"/>
    </row>
    <row r="926" spans="1:3" hidden="1" x14ac:dyDescent="0.25">
      <c r="A926" s="60"/>
      <c r="B926" s="61"/>
      <c r="C926" s="62"/>
    </row>
    <row r="927" spans="1:3" hidden="1" x14ac:dyDescent="0.25">
      <c r="A927" s="60"/>
      <c r="B927" s="61"/>
      <c r="C927" s="62"/>
    </row>
    <row r="928" spans="1:3" hidden="1" x14ac:dyDescent="0.25">
      <c r="A928" s="60"/>
      <c r="B928" s="61"/>
      <c r="C928" s="62"/>
    </row>
    <row r="929" spans="1:3" hidden="1" x14ac:dyDescent="0.25">
      <c r="A929" s="60"/>
      <c r="B929" s="61"/>
      <c r="C929" s="62"/>
    </row>
    <row r="930" spans="1:3" hidden="1" x14ac:dyDescent="0.25">
      <c r="A930" s="60"/>
      <c r="B930" s="61"/>
      <c r="C930" s="62"/>
    </row>
    <row r="931" spans="1:3" hidden="1" x14ac:dyDescent="0.25">
      <c r="A931" s="60"/>
      <c r="B931" s="61"/>
      <c r="C931" s="62"/>
    </row>
    <row r="932" spans="1:3" hidden="1" x14ac:dyDescent="0.25">
      <c r="A932" s="60"/>
      <c r="B932" s="61"/>
      <c r="C932" s="62"/>
    </row>
    <row r="933" spans="1:3" hidden="1" x14ac:dyDescent="0.25">
      <c r="A933" s="60"/>
      <c r="B933" s="61"/>
      <c r="C933" s="62"/>
    </row>
    <row r="934" spans="1:3" hidden="1" x14ac:dyDescent="0.25">
      <c r="A934" s="60"/>
      <c r="B934" s="61"/>
      <c r="C934" s="62"/>
    </row>
    <row r="935" spans="1:3" hidden="1" x14ac:dyDescent="0.25">
      <c r="A935" s="60"/>
      <c r="B935" s="61"/>
      <c r="C935" s="62"/>
    </row>
    <row r="936" spans="1:3" hidden="1" x14ac:dyDescent="0.25">
      <c r="A936" s="60"/>
      <c r="B936" s="61"/>
      <c r="C936" s="62"/>
    </row>
    <row r="937" spans="1:3" hidden="1" x14ac:dyDescent="0.25">
      <c r="A937" s="60"/>
      <c r="B937" s="61"/>
      <c r="C937" s="62"/>
    </row>
    <row r="938" spans="1:3" hidden="1" x14ac:dyDescent="0.25">
      <c r="A938" s="60"/>
      <c r="B938" s="61"/>
      <c r="C938" s="62"/>
    </row>
    <row r="939" spans="1:3" hidden="1" x14ac:dyDescent="0.25">
      <c r="A939" s="60"/>
      <c r="B939" s="61"/>
      <c r="C939" s="62"/>
    </row>
    <row r="940" spans="1:3" hidden="1" x14ac:dyDescent="0.25">
      <c r="A940" s="60"/>
      <c r="B940" s="61"/>
      <c r="C940" s="62"/>
    </row>
    <row r="941" spans="1:3" hidden="1" x14ac:dyDescent="0.25">
      <c r="A941" s="60"/>
      <c r="B941" s="61"/>
      <c r="C941" s="62"/>
    </row>
    <row r="942" spans="1:3" hidden="1" x14ac:dyDescent="0.25">
      <c r="A942" s="60"/>
      <c r="B942" s="61"/>
      <c r="C942" s="62"/>
    </row>
    <row r="943" spans="1:3" hidden="1" x14ac:dyDescent="0.25">
      <c r="A943" s="60"/>
      <c r="B943" s="61"/>
      <c r="C943" s="62"/>
    </row>
    <row r="944" spans="1:3" hidden="1" x14ac:dyDescent="0.25">
      <c r="A944" s="60"/>
      <c r="B944" s="61"/>
      <c r="C944" s="62"/>
    </row>
    <row r="945" spans="1:3" hidden="1" x14ac:dyDescent="0.25">
      <c r="A945" s="60"/>
      <c r="B945" s="61"/>
      <c r="C945" s="62"/>
    </row>
    <row r="946" spans="1:3" hidden="1" x14ac:dyDescent="0.25">
      <c r="A946" s="60"/>
      <c r="B946" s="61"/>
      <c r="C946" s="62"/>
    </row>
    <row r="947" spans="1:3" hidden="1" x14ac:dyDescent="0.25">
      <c r="A947" s="60"/>
      <c r="B947" s="61"/>
      <c r="C947" s="62"/>
    </row>
    <row r="948" spans="1:3" hidden="1" x14ac:dyDescent="0.25">
      <c r="A948" s="60"/>
      <c r="B948" s="61"/>
      <c r="C948" s="62"/>
    </row>
    <row r="949" spans="1:3" hidden="1" x14ac:dyDescent="0.25">
      <c r="A949" s="60"/>
      <c r="B949" s="61"/>
      <c r="C949" s="62"/>
    </row>
    <row r="950" spans="1:3" hidden="1" x14ac:dyDescent="0.25">
      <c r="A950" s="60"/>
      <c r="B950" s="61"/>
      <c r="C950" s="62"/>
    </row>
    <row r="951" spans="1:3" hidden="1" x14ac:dyDescent="0.25">
      <c r="A951" s="60"/>
      <c r="B951" s="61"/>
      <c r="C951" s="62"/>
    </row>
    <row r="952" spans="1:3" hidden="1" x14ac:dyDescent="0.25">
      <c r="A952" s="60"/>
      <c r="B952" s="61"/>
      <c r="C952" s="62"/>
    </row>
    <row r="953" spans="1:3" hidden="1" x14ac:dyDescent="0.25">
      <c r="A953" s="60"/>
      <c r="B953" s="61"/>
      <c r="C953" s="62"/>
    </row>
    <row r="954" spans="1:3" hidden="1" x14ac:dyDescent="0.25">
      <c r="A954" s="60"/>
      <c r="B954" s="61"/>
      <c r="C954" s="62"/>
    </row>
    <row r="955" spans="1:3" hidden="1" x14ac:dyDescent="0.25">
      <c r="A955" s="60"/>
      <c r="B955" s="61"/>
      <c r="C955" s="62"/>
    </row>
    <row r="956" spans="1:3" hidden="1" x14ac:dyDescent="0.25">
      <c r="A956" s="60"/>
      <c r="B956" s="61"/>
      <c r="C956" s="62"/>
    </row>
    <row r="957" spans="1:3" hidden="1" x14ac:dyDescent="0.25">
      <c r="A957" s="60"/>
      <c r="B957" s="61"/>
      <c r="C957" s="62"/>
    </row>
    <row r="958" spans="1:3" hidden="1" x14ac:dyDescent="0.25">
      <c r="A958" s="60"/>
      <c r="B958" s="61"/>
      <c r="C958" s="62"/>
    </row>
    <row r="959" spans="1:3" hidden="1" x14ac:dyDescent="0.25">
      <c r="A959" s="60"/>
      <c r="B959" s="61"/>
      <c r="C959" s="62"/>
    </row>
    <row r="960" spans="1:3" hidden="1" x14ac:dyDescent="0.25">
      <c r="A960" s="60"/>
      <c r="B960" s="61"/>
      <c r="C960" s="62"/>
    </row>
    <row r="961" spans="1:3" hidden="1" x14ac:dyDescent="0.25">
      <c r="A961" s="60"/>
      <c r="B961" s="61"/>
      <c r="C961" s="62"/>
    </row>
    <row r="962" spans="1:3" hidden="1" x14ac:dyDescent="0.25">
      <c r="A962" s="60"/>
      <c r="B962" s="61"/>
      <c r="C962" s="62"/>
    </row>
    <row r="963" spans="1:3" hidden="1" x14ac:dyDescent="0.25">
      <c r="A963" s="60"/>
      <c r="B963" s="61"/>
      <c r="C963" s="62"/>
    </row>
    <row r="964" spans="1:3" hidden="1" x14ac:dyDescent="0.25">
      <c r="A964" s="60"/>
      <c r="B964" s="61"/>
      <c r="C964" s="62"/>
    </row>
    <row r="965" spans="1:3" hidden="1" x14ac:dyDescent="0.25">
      <c r="A965" s="60"/>
      <c r="B965" s="61"/>
      <c r="C965" s="62"/>
    </row>
    <row r="966" spans="1:3" hidden="1" x14ac:dyDescent="0.25">
      <c r="A966" s="60"/>
      <c r="B966" s="61"/>
      <c r="C966" s="62"/>
    </row>
    <row r="967" spans="1:3" hidden="1" x14ac:dyDescent="0.25">
      <c r="A967" s="60"/>
      <c r="B967" s="61"/>
      <c r="C967" s="62"/>
    </row>
    <row r="968" spans="1:3" hidden="1" x14ac:dyDescent="0.25">
      <c r="A968" s="60"/>
      <c r="B968" s="61"/>
      <c r="C968" s="62"/>
    </row>
    <row r="969" spans="1:3" hidden="1" x14ac:dyDescent="0.25">
      <c r="A969" s="60"/>
      <c r="B969" s="61"/>
      <c r="C969" s="62"/>
    </row>
    <row r="970" spans="1:3" hidden="1" x14ac:dyDescent="0.25">
      <c r="A970" s="60"/>
      <c r="B970" s="61"/>
      <c r="C970" s="62"/>
    </row>
    <row r="971" spans="1:3" hidden="1" x14ac:dyDescent="0.25">
      <c r="A971" s="60"/>
      <c r="B971" s="61"/>
      <c r="C971" s="62"/>
    </row>
    <row r="972" spans="1:3" hidden="1" x14ac:dyDescent="0.25">
      <c r="A972" s="60"/>
      <c r="B972" s="61"/>
      <c r="C972" s="62"/>
    </row>
    <row r="973" spans="1:3" hidden="1" x14ac:dyDescent="0.25">
      <c r="A973" s="60"/>
      <c r="B973" s="61"/>
      <c r="C973" s="62"/>
    </row>
    <row r="974" spans="1:3" hidden="1" x14ac:dyDescent="0.25">
      <c r="A974" s="60"/>
      <c r="B974" s="61"/>
      <c r="C974" s="62"/>
    </row>
    <row r="975" spans="1:3" hidden="1" x14ac:dyDescent="0.25">
      <c r="A975" s="60"/>
      <c r="B975" s="61"/>
      <c r="C975" s="62"/>
    </row>
    <row r="976" spans="1:3" hidden="1" x14ac:dyDescent="0.25">
      <c r="A976" s="60"/>
      <c r="B976" s="61"/>
      <c r="C976" s="62"/>
    </row>
    <row r="977" spans="1:3" hidden="1" x14ac:dyDescent="0.25">
      <c r="A977" s="60"/>
      <c r="B977" s="61"/>
      <c r="C977" s="62"/>
    </row>
    <row r="978" spans="1:3" hidden="1" x14ac:dyDescent="0.25">
      <c r="A978" s="60"/>
      <c r="B978" s="61"/>
      <c r="C978" s="62"/>
    </row>
    <row r="979" spans="1:3" hidden="1" x14ac:dyDescent="0.25">
      <c r="A979" s="60"/>
      <c r="B979" s="61"/>
      <c r="C979" s="62"/>
    </row>
    <row r="980" spans="1:3" hidden="1" x14ac:dyDescent="0.25">
      <c r="A980" s="60"/>
      <c r="B980" s="61"/>
      <c r="C980" s="62"/>
    </row>
    <row r="981" spans="1:3" hidden="1" x14ac:dyDescent="0.25">
      <c r="A981" s="60"/>
      <c r="B981" s="61"/>
      <c r="C981" s="62"/>
    </row>
    <row r="982" spans="1:3" hidden="1" x14ac:dyDescent="0.25">
      <c r="A982" s="60"/>
      <c r="B982" s="61"/>
      <c r="C982" s="62"/>
    </row>
    <row r="983" spans="1:3" hidden="1" x14ac:dyDescent="0.25">
      <c r="A983" s="60"/>
      <c r="B983" s="61"/>
      <c r="C983" s="62"/>
    </row>
    <row r="984" spans="1:3" hidden="1" x14ac:dyDescent="0.25">
      <c r="A984" s="60"/>
      <c r="B984" s="61"/>
      <c r="C984" s="62"/>
    </row>
    <row r="985" spans="1:3" hidden="1" x14ac:dyDescent="0.25">
      <c r="A985" s="60"/>
      <c r="B985" s="61"/>
      <c r="C985" s="62"/>
    </row>
    <row r="986" spans="1:3" hidden="1" x14ac:dyDescent="0.25">
      <c r="A986" s="60"/>
      <c r="B986" s="61"/>
      <c r="C986" s="62"/>
    </row>
    <row r="987" spans="1:3" hidden="1" x14ac:dyDescent="0.25">
      <c r="A987" s="60"/>
      <c r="B987" s="61"/>
      <c r="C987" s="62"/>
    </row>
    <row r="988" spans="1:3" hidden="1" x14ac:dyDescent="0.25">
      <c r="A988" s="60"/>
      <c r="B988" s="61"/>
      <c r="C988" s="62"/>
    </row>
    <row r="989" spans="1:3" hidden="1" x14ac:dyDescent="0.25">
      <c r="A989" s="60"/>
      <c r="B989" s="61"/>
      <c r="C989" s="62"/>
    </row>
    <row r="990" spans="1:3" hidden="1" x14ac:dyDescent="0.25">
      <c r="A990" s="60"/>
      <c r="B990" s="61"/>
      <c r="C990" s="62"/>
    </row>
    <row r="991" spans="1:3" hidden="1" x14ac:dyDescent="0.25">
      <c r="A991" s="60"/>
      <c r="B991" s="61"/>
      <c r="C991" s="62"/>
    </row>
    <row r="992" spans="1:3" hidden="1" x14ac:dyDescent="0.25">
      <c r="A992" s="60"/>
      <c r="B992" s="61"/>
      <c r="C992" s="62"/>
    </row>
    <row r="993" spans="1:3" hidden="1" x14ac:dyDescent="0.25">
      <c r="A993" s="60"/>
      <c r="B993" s="61"/>
      <c r="C993" s="62"/>
    </row>
    <row r="994" spans="1:3" hidden="1" x14ac:dyDescent="0.25">
      <c r="A994" s="60"/>
      <c r="B994" s="61"/>
      <c r="C994" s="62"/>
    </row>
    <row r="995" spans="1:3" hidden="1" x14ac:dyDescent="0.25">
      <c r="A995" s="60"/>
      <c r="B995" s="61"/>
      <c r="C995" s="62"/>
    </row>
    <row r="996" spans="1:3" hidden="1" x14ac:dyDescent="0.25">
      <c r="A996" s="60"/>
      <c r="B996" s="61"/>
      <c r="C996" s="62"/>
    </row>
    <row r="997" spans="1:3" hidden="1" x14ac:dyDescent="0.25">
      <c r="A997" s="60"/>
      <c r="B997" s="61"/>
      <c r="C997" s="62"/>
    </row>
    <row r="998" spans="1:3" hidden="1" x14ac:dyDescent="0.25">
      <c r="A998" s="60"/>
      <c r="B998" s="61"/>
      <c r="C998" s="62"/>
    </row>
    <row r="999" spans="1:3" hidden="1" x14ac:dyDescent="0.25">
      <c r="A999" s="60"/>
      <c r="B999" s="61"/>
      <c r="C999" s="62"/>
    </row>
    <row r="1000" spans="1:3" hidden="1" x14ac:dyDescent="0.25">
      <c r="A1000" s="69"/>
      <c r="B1000" s="67"/>
      <c r="C1000" s="68"/>
    </row>
    <row r="1001" spans="1:3" hidden="1" x14ac:dyDescent="0.25">
      <c r="A1001" s="69"/>
      <c r="B1001" s="67"/>
      <c r="C1001" s="68"/>
    </row>
    <row r="1002" spans="1:3" hidden="1" x14ac:dyDescent="0.25">
      <c r="A1002" s="69"/>
      <c r="B1002" s="67"/>
      <c r="C1002" s="68"/>
    </row>
    <row r="1003" spans="1:3" hidden="1" x14ac:dyDescent="0.25">
      <c r="A1003" s="69"/>
      <c r="B1003" s="67"/>
      <c r="C1003" s="68"/>
    </row>
    <row r="1004" spans="1:3" hidden="1" x14ac:dyDescent="0.25">
      <c r="A1004" s="69"/>
      <c r="B1004" s="67"/>
      <c r="C1004" s="68"/>
    </row>
    <row r="1005" spans="1:3" hidden="1" x14ac:dyDescent="0.25">
      <c r="A1005" s="60"/>
      <c r="B1005" s="61"/>
      <c r="C1005" s="62"/>
    </row>
    <row r="1006" spans="1:3" hidden="1" x14ac:dyDescent="0.25">
      <c r="A1006" s="60"/>
      <c r="B1006" s="61"/>
      <c r="C1006" s="62"/>
    </row>
    <row r="1007" spans="1:3" hidden="1" x14ac:dyDescent="0.25">
      <c r="A1007" s="60"/>
      <c r="B1007" s="61"/>
      <c r="C1007" s="62"/>
    </row>
    <row r="1008" spans="1:3" hidden="1" x14ac:dyDescent="0.25">
      <c r="A1008" s="60"/>
      <c r="B1008" s="61"/>
      <c r="C1008" s="62"/>
    </row>
    <row r="1009" spans="1:3" hidden="1" x14ac:dyDescent="0.25">
      <c r="A1009" s="60"/>
      <c r="B1009" s="61"/>
      <c r="C1009" s="62"/>
    </row>
    <row r="1010" spans="1:3" hidden="1" x14ac:dyDescent="0.25">
      <c r="A1010" s="69"/>
      <c r="B1010" s="61"/>
      <c r="C1010" s="68"/>
    </row>
    <row r="1011" spans="1:3" hidden="1" x14ac:dyDescent="0.25">
      <c r="A1011" s="69"/>
      <c r="B1011" s="67"/>
      <c r="C1011" s="68"/>
    </row>
    <row r="1012" spans="1:3" hidden="1" x14ac:dyDescent="0.25">
      <c r="A1012" s="69"/>
      <c r="B1012" s="67"/>
      <c r="C1012" s="68"/>
    </row>
    <row r="1013" spans="1:3" hidden="1" x14ac:dyDescent="0.25">
      <c r="A1013" s="69"/>
      <c r="B1013" s="67"/>
      <c r="C1013" s="68"/>
    </row>
    <row r="1014" spans="1:3" hidden="1" x14ac:dyDescent="0.25">
      <c r="A1014" s="69"/>
      <c r="B1014" s="67"/>
      <c r="C1014" s="68"/>
    </row>
    <row r="1015" spans="1:3" hidden="1" x14ac:dyDescent="0.25">
      <c r="A1015" s="69"/>
      <c r="B1015" s="67"/>
      <c r="C1015" s="68"/>
    </row>
    <row r="1016" spans="1:3" hidden="1" x14ac:dyDescent="0.25">
      <c r="A1016" s="69"/>
      <c r="B1016" s="67"/>
      <c r="C1016" s="68"/>
    </row>
    <row r="1017" spans="1:3" hidden="1" x14ac:dyDescent="0.25">
      <c r="A1017" s="69"/>
      <c r="B1017" s="67"/>
      <c r="C1017" s="68"/>
    </row>
    <row r="1018" spans="1:3" hidden="1" x14ac:dyDescent="0.25">
      <c r="A1018" s="69"/>
      <c r="B1018" s="67"/>
      <c r="C1018" s="68"/>
    </row>
    <row r="1019" spans="1:3" hidden="1" x14ac:dyDescent="0.25">
      <c r="A1019" s="69"/>
      <c r="B1019" s="67"/>
      <c r="C1019" s="68"/>
    </row>
    <row r="1020" spans="1:3" hidden="1" x14ac:dyDescent="0.25">
      <c r="A1020" s="69"/>
      <c r="B1020" s="67"/>
      <c r="C1020" s="68"/>
    </row>
    <row r="1021" spans="1:3" hidden="1" x14ac:dyDescent="0.25">
      <c r="A1021" s="69"/>
      <c r="B1021" s="67"/>
      <c r="C1021" s="68"/>
    </row>
    <row r="1022" spans="1:3" hidden="1" x14ac:dyDescent="0.25">
      <c r="A1022" s="69"/>
      <c r="B1022" s="67"/>
      <c r="C1022" s="68"/>
    </row>
    <row r="1023" spans="1:3" hidden="1" x14ac:dyDescent="0.25">
      <c r="A1023" s="69"/>
      <c r="B1023" s="67"/>
      <c r="C1023" s="68"/>
    </row>
    <row r="1024" spans="1:3" hidden="1" x14ac:dyDescent="0.25">
      <c r="A1024" s="69"/>
      <c r="B1024" s="67"/>
      <c r="C1024" s="68"/>
    </row>
    <row r="1025" spans="1:3" hidden="1" x14ac:dyDescent="0.25">
      <c r="A1025" s="69"/>
      <c r="B1025" s="67"/>
      <c r="C1025" s="68"/>
    </row>
    <row r="1026" spans="1:3" hidden="1" x14ac:dyDescent="0.25">
      <c r="A1026" s="69"/>
      <c r="B1026" s="67"/>
      <c r="C1026" s="68"/>
    </row>
    <row r="1027" spans="1:3" hidden="1" x14ac:dyDescent="0.25">
      <c r="A1027" s="69"/>
      <c r="B1027" s="67"/>
      <c r="C1027" s="68"/>
    </row>
    <row r="1028" spans="1:3" hidden="1" x14ac:dyDescent="0.25">
      <c r="A1028" s="69"/>
      <c r="B1028" s="67"/>
      <c r="C1028" s="68"/>
    </row>
    <row r="1029" spans="1:3" hidden="1" x14ac:dyDescent="0.25">
      <c r="A1029" s="69"/>
      <c r="B1029" s="67"/>
      <c r="C1029" s="68"/>
    </row>
    <row r="1030" spans="1:3" hidden="1" x14ac:dyDescent="0.25">
      <c r="A1030" s="69"/>
      <c r="B1030" s="67"/>
      <c r="C1030" s="68"/>
    </row>
    <row r="1031" spans="1:3" hidden="1" x14ac:dyDescent="0.25">
      <c r="A1031" s="69"/>
      <c r="B1031" s="67"/>
      <c r="C1031" s="68"/>
    </row>
    <row r="1032" spans="1:3" hidden="1" x14ac:dyDescent="0.25">
      <c r="A1032" s="60"/>
      <c r="B1032" s="61"/>
      <c r="C1032" s="62"/>
    </row>
    <row r="1033" spans="1:3" hidden="1" x14ac:dyDescent="0.25">
      <c r="A1033" s="60"/>
      <c r="B1033" s="61"/>
      <c r="C1033" s="62"/>
    </row>
    <row r="1034" spans="1:3" hidden="1" x14ac:dyDescent="0.25">
      <c r="A1034" s="60"/>
      <c r="B1034" s="61"/>
      <c r="C1034" s="62"/>
    </row>
    <row r="1035" spans="1:3" hidden="1" x14ac:dyDescent="0.25">
      <c r="A1035" s="69"/>
      <c r="B1035" s="67"/>
      <c r="C1035" s="68"/>
    </row>
    <row r="1036" spans="1:3" hidden="1" x14ac:dyDescent="0.25">
      <c r="A1036" s="69"/>
      <c r="B1036" s="67"/>
      <c r="C1036" s="68"/>
    </row>
    <row r="1037" spans="1:3" hidden="1" x14ac:dyDescent="0.25">
      <c r="A1037" s="69" t="s">
        <v>597</v>
      </c>
      <c r="B1037" s="67"/>
      <c r="C1037" s="68">
        <v>26</v>
      </c>
    </row>
    <row r="1038" spans="1:3" hidden="1" x14ac:dyDescent="0.25">
      <c r="A1038" s="69" t="s">
        <v>1243</v>
      </c>
      <c r="B1038" s="67"/>
      <c r="C1038" s="68">
        <v>14</v>
      </c>
    </row>
    <row r="1039" spans="1:3" hidden="1" x14ac:dyDescent="0.25">
      <c r="A1039" s="69" t="s">
        <v>1261</v>
      </c>
      <c r="B1039" s="67"/>
      <c r="C1039" s="68">
        <v>16.309999999999999</v>
      </c>
    </row>
    <row r="1040" spans="1:3" hidden="1" x14ac:dyDescent="0.25">
      <c r="A1040" s="69" t="s">
        <v>183</v>
      </c>
      <c r="B1040" s="67"/>
      <c r="C1040" s="68">
        <v>1</v>
      </c>
    </row>
    <row r="1041" spans="1:3" hidden="1" x14ac:dyDescent="0.25">
      <c r="A1041" s="69" t="s">
        <v>1131</v>
      </c>
      <c r="B1041" s="67"/>
      <c r="C1041" s="68">
        <v>17</v>
      </c>
    </row>
    <row r="1042" spans="1:3" hidden="1" x14ac:dyDescent="0.25">
      <c r="A1042" s="69" t="s">
        <v>1134</v>
      </c>
      <c r="B1042" s="67"/>
      <c r="C1042" s="68">
        <v>14</v>
      </c>
    </row>
    <row r="1043" spans="1:3" hidden="1" x14ac:dyDescent="0.25">
      <c r="A1043" s="69" t="s">
        <v>1132</v>
      </c>
      <c r="B1043" s="67"/>
      <c r="C1043" s="68">
        <v>6</v>
      </c>
    </row>
    <row r="1044" spans="1:3" hidden="1" x14ac:dyDescent="0.25">
      <c r="A1044" s="69" t="s">
        <v>1266</v>
      </c>
      <c r="B1044" s="61" t="s">
        <v>608</v>
      </c>
      <c r="C1044" s="68">
        <v>274</v>
      </c>
    </row>
    <row r="1045" spans="1:3" hidden="1" x14ac:dyDescent="0.25">
      <c r="A1045" s="69" t="s">
        <v>1275</v>
      </c>
      <c r="B1045" s="67"/>
      <c r="C1045" s="68">
        <v>21.91635934</v>
      </c>
    </row>
    <row r="1046" spans="1:3" hidden="1" x14ac:dyDescent="0.25">
      <c r="A1046" s="69" t="s">
        <v>1278</v>
      </c>
      <c r="B1046" s="61" t="s">
        <v>612</v>
      </c>
      <c r="C1046" s="68">
        <v>1654</v>
      </c>
    </row>
    <row r="1047" spans="1:3" hidden="1" x14ac:dyDescent="0.25">
      <c r="A1047" s="69" t="s">
        <v>1280</v>
      </c>
      <c r="B1047" s="67"/>
      <c r="C1047" s="68">
        <v>37617</v>
      </c>
    </row>
    <row r="1048" spans="1:3" hidden="1" x14ac:dyDescent="0.25">
      <c r="A1048" s="69" t="s">
        <v>1281</v>
      </c>
      <c r="B1048" s="67"/>
      <c r="C1048" s="68">
        <v>11.942</v>
      </c>
    </row>
    <row r="1049" spans="1:3" hidden="1" x14ac:dyDescent="0.25">
      <c r="A1049" s="69" t="s">
        <v>1286</v>
      </c>
      <c r="B1049" s="67"/>
      <c r="C1049" s="68">
        <v>45100</v>
      </c>
    </row>
    <row r="1050" spans="1:3" hidden="1" x14ac:dyDescent="0.25">
      <c r="A1050" s="69" t="s">
        <v>1287</v>
      </c>
      <c r="B1050" s="67"/>
      <c r="C1050" s="68">
        <v>10916</v>
      </c>
    </row>
    <row r="1051" spans="1:3" hidden="1" x14ac:dyDescent="0.25">
      <c r="A1051" s="60" t="s">
        <v>1302</v>
      </c>
      <c r="B1051" s="61"/>
      <c r="C1051" s="62">
        <v>3091.38425925</v>
      </c>
    </row>
    <row r="1052" spans="1:3" hidden="1" x14ac:dyDescent="0.25">
      <c r="A1052" s="60" t="s">
        <v>1303</v>
      </c>
      <c r="B1052" s="61"/>
      <c r="C1052" s="62">
        <v>4791.0833333299997</v>
      </c>
    </row>
    <row r="1053" spans="1:3" hidden="1" x14ac:dyDescent="0.25">
      <c r="A1053" s="69" t="s">
        <v>1304</v>
      </c>
      <c r="B1053" s="67"/>
      <c r="C1053" s="68">
        <v>1550</v>
      </c>
    </row>
    <row r="1054" spans="1:3" hidden="1" x14ac:dyDescent="0.25">
      <c r="A1054" s="69" t="s">
        <v>1307</v>
      </c>
      <c r="B1054" s="67"/>
      <c r="C1054" s="68">
        <v>4721.625</v>
      </c>
    </row>
    <row r="1055" spans="1:3" hidden="1" x14ac:dyDescent="0.25">
      <c r="A1055" s="69" t="s">
        <v>1309</v>
      </c>
      <c r="B1055" s="67"/>
      <c r="C1055" s="68">
        <v>10</v>
      </c>
    </row>
    <row r="1056" spans="1:3" hidden="1" x14ac:dyDescent="0.25">
      <c r="A1056" s="60" t="s">
        <v>989</v>
      </c>
      <c r="B1056" s="61"/>
      <c r="C1056" s="62">
        <v>100</v>
      </c>
    </row>
    <row r="1057" spans="1:3" hidden="1" x14ac:dyDescent="0.25">
      <c r="A1057" s="69" t="s">
        <v>1308</v>
      </c>
      <c r="B1057" s="67"/>
      <c r="C1057" s="68">
        <v>4.8070332699999998</v>
      </c>
    </row>
    <row r="1058" spans="1:3" hidden="1" x14ac:dyDescent="0.25">
      <c r="A1058" s="69" t="s">
        <v>1311</v>
      </c>
      <c r="B1058" s="67"/>
      <c r="C1058" s="68">
        <v>35</v>
      </c>
    </row>
    <row r="1059" spans="1:3" hidden="1" x14ac:dyDescent="0.25">
      <c r="A1059" s="69" t="s">
        <v>1319</v>
      </c>
      <c r="B1059" s="67"/>
      <c r="C1059" s="68">
        <v>1750</v>
      </c>
    </row>
    <row r="1060" spans="1:3" hidden="1" x14ac:dyDescent="0.25">
      <c r="A1060" s="69" t="s">
        <v>1318</v>
      </c>
      <c r="B1060" s="67"/>
      <c r="C1060" s="68">
        <v>3672</v>
      </c>
    </row>
    <row r="1061" spans="1:3" hidden="1" x14ac:dyDescent="0.25">
      <c r="A1061" s="69" t="s">
        <v>1317</v>
      </c>
      <c r="B1061" s="67"/>
      <c r="C1061" s="68">
        <v>4.1835440000000004</v>
      </c>
    </row>
    <row r="1062" spans="1:3" hidden="1" x14ac:dyDescent="0.25">
      <c r="A1062" s="69" t="s">
        <v>1354</v>
      </c>
      <c r="B1062" s="67"/>
      <c r="C1062" s="68">
        <v>1739</v>
      </c>
    </row>
    <row r="1063" spans="1:3" hidden="1" x14ac:dyDescent="0.25">
      <c r="A1063" s="69" t="s">
        <v>38</v>
      </c>
      <c r="B1063" s="67"/>
      <c r="C1063" s="68">
        <v>0</v>
      </c>
    </row>
    <row r="1064" spans="1:3" hidden="1" x14ac:dyDescent="0.25">
      <c r="A1064" s="69" t="s">
        <v>1424</v>
      </c>
      <c r="B1064" s="67"/>
      <c r="C1064" s="68">
        <v>11250</v>
      </c>
    </row>
    <row r="1065" spans="1:3" hidden="1" x14ac:dyDescent="0.25">
      <c r="A1065" s="69" t="s">
        <v>1428</v>
      </c>
      <c r="B1065" s="67"/>
      <c r="C1065" s="68">
        <v>17.739999999999998</v>
      </c>
    </row>
    <row r="1066" spans="1:3" hidden="1" x14ac:dyDescent="0.25">
      <c r="A1066" s="69" t="s">
        <v>1427</v>
      </c>
      <c r="B1066" s="67"/>
      <c r="C1066" s="68">
        <f>110000/24</f>
        <v>4583.333333333333</v>
      </c>
    </row>
    <row r="1067" spans="1:3" hidden="1" x14ac:dyDescent="0.25">
      <c r="A1067" s="69" t="s">
        <v>1082</v>
      </c>
      <c r="B1067" s="67"/>
      <c r="C1067" s="68">
        <v>31</v>
      </c>
    </row>
  </sheetData>
  <phoneticPr fontId="16" type="noConversion"/>
  <pageMargins left="0.7" right="0.7" top="0.75" bottom="0.75" header="0.3" footer="0.3"/>
  <pageSetup orientation="portrait" horizontalDpi="360" verticalDpi="360"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58CB-C838-438E-86A9-F0EE23F58A42}">
  <dimension ref="B6:M469"/>
  <sheetViews>
    <sheetView showGridLines="0" topLeftCell="A7" zoomScaleNormal="100" workbookViewId="0">
      <selection activeCell="J23" sqref="J23"/>
    </sheetView>
  </sheetViews>
  <sheetFormatPr baseColWidth="10" defaultRowHeight="14.4" x14ac:dyDescent="0.3"/>
  <cols>
    <col min="1" max="1" width="2.6640625" customWidth="1"/>
    <col min="2" max="2" width="35.77734375" bestFit="1" customWidth="1"/>
    <col min="3" max="6" width="7.77734375" customWidth="1"/>
    <col min="7" max="8" width="10.77734375" customWidth="1"/>
    <col min="9" max="9" width="3.77734375" customWidth="1"/>
    <col min="10" max="10" width="27.21875" bestFit="1" customWidth="1"/>
  </cols>
  <sheetData>
    <row r="6" spans="2:13" ht="15.6" x14ac:dyDescent="0.3">
      <c r="B6" s="1" t="s">
        <v>284</v>
      </c>
      <c r="C6" s="2"/>
      <c r="D6" s="2"/>
      <c r="E6" s="3"/>
      <c r="F6" s="3"/>
      <c r="G6" s="75"/>
      <c r="H6" s="75"/>
      <c r="I6" s="4"/>
      <c r="J6" s="399" t="s">
        <v>0</v>
      </c>
      <c r="K6" s="399"/>
      <c r="M6" s="377" t="s">
        <v>1394</v>
      </c>
    </row>
    <row r="7" spans="2:13" x14ac:dyDescent="0.3">
      <c r="B7" s="16" t="s">
        <v>857</v>
      </c>
      <c r="C7" s="17" t="s">
        <v>895</v>
      </c>
      <c r="D7" s="17" t="s">
        <v>892</v>
      </c>
      <c r="E7" s="17" t="s">
        <v>893</v>
      </c>
      <c r="F7" s="17" t="s">
        <v>894</v>
      </c>
      <c r="G7" s="76" t="s">
        <v>4</v>
      </c>
      <c r="H7" s="76" t="s">
        <v>5</v>
      </c>
      <c r="I7" s="4"/>
      <c r="J7" s="8" t="s">
        <v>6</v>
      </c>
      <c r="K7" s="9">
        <f>SUM(Tabla1103453454455456479120[Total costo])</f>
        <v>10626.407099965001</v>
      </c>
      <c r="M7" s="346" t="s">
        <v>1683</v>
      </c>
    </row>
    <row r="8" spans="2:13" x14ac:dyDescent="0.3">
      <c r="B8" s="10" t="s">
        <v>315</v>
      </c>
      <c r="C8" s="11" t="s">
        <v>847</v>
      </c>
      <c r="D8" s="12">
        <v>0.5</v>
      </c>
      <c r="E8" s="12">
        <v>0</v>
      </c>
      <c r="F8" s="12">
        <v>0.5</v>
      </c>
      <c r="G8" s="13">
        <f>+VLOOKUP(Tabla1103453454455456479120[[#This Row],[ArtÃ­culo]],Tabla34[#All],3,0)</f>
        <v>9017.9941012300005</v>
      </c>
      <c r="H8" s="14">
        <f>+Tabla1103453454455456479120[[#This Row],[Costo]]*Tabla1103453454455456479120[[#This Row],[Unidades]]</f>
        <v>4508.9970506150003</v>
      </c>
      <c r="I8" s="4"/>
      <c r="J8" s="8" t="s">
        <v>12</v>
      </c>
      <c r="K8" s="15">
        <f>+K7*5%</f>
        <v>531.32035499825008</v>
      </c>
      <c r="M8" s="346" t="s">
        <v>1684</v>
      </c>
    </row>
    <row r="9" spans="2:13" x14ac:dyDescent="0.3">
      <c r="B9" s="10" t="s">
        <v>229</v>
      </c>
      <c r="C9" s="11" t="s">
        <v>67</v>
      </c>
      <c r="D9" s="12">
        <v>30</v>
      </c>
      <c r="E9" s="12">
        <v>0</v>
      </c>
      <c r="F9" s="12">
        <v>30</v>
      </c>
      <c r="G9" s="13">
        <f>+VLOOKUP(Tabla1103453454455456479120[[#This Row],[ArtÃ­culo]],Tabla34[#All],3,0)</f>
        <v>24.714500000000001</v>
      </c>
      <c r="H9" s="14">
        <f>+Tabla1103453454455456479120[[#This Row],[Costo]]*Tabla1103453454455456479120[[#This Row],[Unidades]]</f>
        <v>741.43500000000006</v>
      </c>
      <c r="I9" s="4"/>
      <c r="J9" s="8" t="s">
        <v>13</v>
      </c>
      <c r="K9" s="15">
        <f>+K7+K8</f>
        <v>11157.727454963251</v>
      </c>
      <c r="M9" s="346" t="s">
        <v>1685</v>
      </c>
    </row>
    <row r="10" spans="2:13" x14ac:dyDescent="0.3">
      <c r="B10" s="10" t="s">
        <v>103</v>
      </c>
      <c r="C10" s="11" t="s">
        <v>847</v>
      </c>
      <c r="D10" s="12">
        <v>1</v>
      </c>
      <c r="E10" s="12">
        <v>0</v>
      </c>
      <c r="F10" s="12">
        <v>1</v>
      </c>
      <c r="G10" s="13">
        <f>+VLOOKUP(Tabla1103453454455456479120[[#This Row],[ArtÃ­culo]],Tabla34[#All],3,0)</f>
        <v>2800</v>
      </c>
      <c r="H10" s="14">
        <f>+Tabla1103453454455456479120[[#This Row],[Costo]]*Tabla1103453454455456479120[[#This Row],[Unidades]]</f>
        <v>2800</v>
      </c>
      <c r="I10" s="4"/>
      <c r="J10" s="20" t="s">
        <v>44</v>
      </c>
      <c r="K10" s="21">
        <v>31000</v>
      </c>
      <c r="M10" s="346" t="s">
        <v>1686</v>
      </c>
    </row>
    <row r="11" spans="2:13" x14ac:dyDescent="0.3">
      <c r="B11" s="10" t="s">
        <v>136</v>
      </c>
      <c r="C11" s="11" t="s">
        <v>67</v>
      </c>
      <c r="D11" s="12">
        <v>40</v>
      </c>
      <c r="E11" s="12">
        <v>0</v>
      </c>
      <c r="F11" s="12">
        <v>40</v>
      </c>
      <c r="G11" s="13">
        <f>+VLOOKUP(Tabla1103453454455456479120[[#This Row],[ArtÃ­culo]],Tabla34[#All],3,0)</f>
        <v>26.416184560000001</v>
      </c>
      <c r="H11" s="14">
        <f>+Tabla1103453454455456479120[[#This Row],[Costo]]*Tabla1103453454455456479120[[#This Row],[Unidades]]</f>
        <v>1056.6473824</v>
      </c>
      <c r="I11" s="4"/>
      <c r="J11" s="8" t="s">
        <v>15</v>
      </c>
      <c r="K11" s="15">
        <f>+K10/1.08*0.08</f>
        <v>2296.2962962962961</v>
      </c>
    </row>
    <row r="12" spans="2:13" x14ac:dyDescent="0.3">
      <c r="B12" s="10" t="s">
        <v>683</v>
      </c>
      <c r="C12" s="11" t="s">
        <v>67</v>
      </c>
      <c r="D12" s="12">
        <v>30</v>
      </c>
      <c r="E12" s="12">
        <v>20</v>
      </c>
      <c r="F12" s="12">
        <v>37.5</v>
      </c>
      <c r="G12" s="13">
        <f>+VLOOKUP(Tabla1103453454455456479120[[#This Row],[ArtÃ­culo]],Tabla34[#All],3,0)</f>
        <v>8.5</v>
      </c>
      <c r="H12" s="14">
        <f>+Tabla1103453454455456479120[[#This Row],[Costo]]*Tabla1103453454455456479120[[#This Row],[Unidades]]</f>
        <v>318.75</v>
      </c>
      <c r="I12" s="4"/>
      <c r="J12" s="8" t="s">
        <v>16</v>
      </c>
      <c r="K12" s="15">
        <f>+K10-K11</f>
        <v>28703.703703703704</v>
      </c>
      <c r="M12" s="377" t="s">
        <v>1377</v>
      </c>
    </row>
    <row r="13" spans="2:13" ht="12.6" customHeight="1" x14ac:dyDescent="0.3">
      <c r="B13" s="10" t="s">
        <v>123</v>
      </c>
      <c r="C13" s="11" t="s">
        <v>67</v>
      </c>
      <c r="D13" s="12">
        <v>10</v>
      </c>
      <c r="E13" s="12">
        <v>0</v>
      </c>
      <c r="F13" s="12">
        <v>10</v>
      </c>
      <c r="G13" s="13">
        <f>+VLOOKUP(Tabla1103453454455456479120[[#This Row],[ArtÃ­culo]],Tabla34[#All],3,0)</f>
        <v>7.0783486</v>
      </c>
      <c r="H13" s="14">
        <f>+Tabla1103453454455456479120[[#This Row],[Costo]]*Tabla1103453454455456479120[[#This Row],[Unidades]]</f>
        <v>70.783485999999996</v>
      </c>
      <c r="I13" s="4"/>
      <c r="J13" s="8" t="s">
        <v>17</v>
      </c>
      <c r="K13" s="22">
        <f>+K9/K12</f>
        <v>0.38872082746323583</v>
      </c>
      <c r="M13" s="346" t="s">
        <v>1687</v>
      </c>
    </row>
    <row r="14" spans="2:13" x14ac:dyDescent="0.3">
      <c r="B14" s="10" t="s">
        <v>142</v>
      </c>
      <c r="C14" s="11" t="s">
        <v>67</v>
      </c>
      <c r="D14" s="12">
        <v>30</v>
      </c>
      <c r="E14" s="12">
        <v>0</v>
      </c>
      <c r="F14" s="12">
        <v>30</v>
      </c>
      <c r="G14" s="13">
        <f>+VLOOKUP(Tabla1103453454455456479120[[#This Row],[ArtÃ­culo]],Tabla34[#All],3,0)</f>
        <v>8.4010542600000004</v>
      </c>
      <c r="H14" s="14">
        <f>+Tabla1103453454455456479120[[#This Row],[Costo]]*Tabla1103453454455456479120[[#This Row],[Unidades]]</f>
        <v>252.03162780000002</v>
      </c>
      <c r="I14" s="4"/>
      <c r="J14" s="8" t="s">
        <v>18</v>
      </c>
      <c r="K14" s="23">
        <f>+K12-K9</f>
        <v>17545.976248740451</v>
      </c>
      <c r="M14" s="346" t="s">
        <v>1688</v>
      </c>
    </row>
    <row r="15" spans="2:13" x14ac:dyDescent="0.3">
      <c r="B15" s="10" t="s">
        <v>745</v>
      </c>
      <c r="C15" s="11" t="s">
        <v>67</v>
      </c>
      <c r="D15" s="12">
        <v>5.0000001000000003</v>
      </c>
      <c r="E15" s="12">
        <v>5</v>
      </c>
      <c r="F15" s="12">
        <v>5.2631579999999998</v>
      </c>
      <c r="G15" s="13">
        <f>+VLOOKUP(Tabla1103453454455456479120[[#This Row],[ArtÃ­culo]],Tabla34[#All],3,0)</f>
        <v>37.5</v>
      </c>
      <c r="H15" s="14">
        <f>+Tabla1103453454455456479120[[#This Row],[Costo]]*Tabla1103453454455456479120[[#This Row],[Unidades]]</f>
        <v>197.368425</v>
      </c>
      <c r="I15" s="4"/>
      <c r="J15" s="8" t="s">
        <v>19</v>
      </c>
      <c r="K15" s="25">
        <f>+K14/K9</f>
        <v>1.5725403151817925</v>
      </c>
      <c r="M15" s="346" t="s">
        <v>1689</v>
      </c>
    </row>
    <row r="16" spans="2:13" x14ac:dyDescent="0.3">
      <c r="B16" s="10" t="s">
        <v>835</v>
      </c>
      <c r="C16" s="11" t="s">
        <v>67</v>
      </c>
      <c r="D16" s="12">
        <v>14.999999519999999</v>
      </c>
      <c r="E16" s="12">
        <v>78</v>
      </c>
      <c r="F16" s="12">
        <v>68.181815999999998</v>
      </c>
      <c r="G16" s="13">
        <f>+VLOOKUP(Tabla1103453454455456479120[[#This Row],[ArtÃ­culo]],Tabla34[#All],3,0)</f>
        <v>4.5</v>
      </c>
      <c r="H16" s="14">
        <f>+Tabla1103453454455456479120[[#This Row],[Costo]]*Tabla1103453454455456479120[[#This Row],[Unidades]]</f>
        <v>306.818172</v>
      </c>
      <c r="M16" s="346" t="s">
        <v>1690</v>
      </c>
    </row>
    <row r="17" spans="2:13" x14ac:dyDescent="0.3">
      <c r="B17" s="10" t="s">
        <v>631</v>
      </c>
      <c r="C17" s="11" t="s">
        <v>67</v>
      </c>
      <c r="D17" s="12">
        <v>5</v>
      </c>
      <c r="E17" s="12">
        <v>0</v>
      </c>
      <c r="F17" s="12">
        <v>5</v>
      </c>
      <c r="G17" s="13">
        <f>+VLOOKUP(Tabla1103453454455456479120[[#This Row],[ArtÃ­culo]],Tabla34[#All],3,0)</f>
        <v>34.714285709999999</v>
      </c>
      <c r="H17" s="14">
        <f>+Tabla1103453454455456479120[[#This Row],[Costo]]*Tabla1103453454455456479120[[#This Row],[Unidades]]</f>
        <v>173.57142855000001</v>
      </c>
    </row>
    <row r="18" spans="2:13" x14ac:dyDescent="0.3">
      <c r="B18" s="10" t="s">
        <v>687</v>
      </c>
      <c r="C18" s="11" t="s">
        <v>67</v>
      </c>
      <c r="D18" s="12">
        <v>29.999999450000001</v>
      </c>
      <c r="E18" s="12">
        <v>15</v>
      </c>
      <c r="F18" s="12">
        <v>35.294117</v>
      </c>
      <c r="G18" s="13">
        <f>+VLOOKUP(Tabla1103453454455456479120[[#This Row],[ArtÃ­culo]],Tabla34[#All],3,0)</f>
        <v>2.8</v>
      </c>
      <c r="H18" s="14">
        <f>+Tabla1103453454455456479120[[#This Row],[Costo]]*Tabla1103453454455456479120[[#This Row],[Unidades]]</f>
        <v>98.823527599999991</v>
      </c>
    </row>
    <row r="19" spans="2:13" x14ac:dyDescent="0.3">
      <c r="B19" s="10" t="s">
        <v>1091</v>
      </c>
      <c r="C19" s="11" t="s">
        <v>67</v>
      </c>
      <c r="D19" s="12">
        <v>1</v>
      </c>
      <c r="E19" s="12">
        <v>0</v>
      </c>
      <c r="F19" s="12">
        <v>1</v>
      </c>
      <c r="G19" s="13">
        <f>+VLOOKUP(Tabla1103453454455456479120[[#This Row],[ArtÃ­culo]],Tabla34[#All],3,0)</f>
        <v>73.78</v>
      </c>
      <c r="H19" s="14">
        <f>+Tabla1103453454455456479120[[#This Row],[Costo]]*Tabla1103453454455456479120[[#This Row],[Unidades]]</f>
        <v>73.78</v>
      </c>
      <c r="I19" s="4"/>
    </row>
    <row r="20" spans="2:13" x14ac:dyDescent="0.3">
      <c r="B20" s="10" t="s">
        <v>923</v>
      </c>
      <c r="C20" s="11" t="s">
        <v>67</v>
      </c>
      <c r="D20" s="12">
        <v>1</v>
      </c>
      <c r="E20" s="12">
        <v>0</v>
      </c>
      <c r="F20" s="12">
        <v>1</v>
      </c>
      <c r="G20" s="13">
        <f>+VLOOKUP(Tabla1103453454455456479120[[#This Row],[ArtÃ­culo]],Tabla34[#All],3,0)</f>
        <v>25</v>
      </c>
      <c r="H20" s="14">
        <f>+Tabla1103453454455456479120[[#This Row],[Costo]]*Tabla1103453454455456479120[[#This Row],[Unidades]]</f>
        <v>25</v>
      </c>
      <c r="I20" s="4"/>
    </row>
    <row r="21" spans="2:13" x14ac:dyDescent="0.3">
      <c r="B21" s="10" t="s">
        <v>89</v>
      </c>
      <c r="C21" s="11" t="s">
        <v>67</v>
      </c>
      <c r="D21" s="12">
        <v>1</v>
      </c>
      <c r="E21" s="12">
        <v>0</v>
      </c>
      <c r="F21" s="12">
        <v>1</v>
      </c>
      <c r="G21" s="13">
        <f>+VLOOKUP(Tabla1103453454455456479120[[#This Row],[ArtÃ­culo]],Tabla34[#All],3,0)</f>
        <v>2.4009999999999998</v>
      </c>
      <c r="H21" s="14">
        <f>+Tabla1103453454455456479120[[#This Row],[Costo]]*Tabla1103453454455456479120[[#This Row],[Unidades]]</f>
        <v>2.4009999999999998</v>
      </c>
      <c r="I21" s="4"/>
    </row>
    <row r="22" spans="2:13" x14ac:dyDescent="0.3">
      <c r="B22" s="16"/>
      <c r="C22" s="17"/>
      <c r="D22" s="17"/>
      <c r="E22" s="17"/>
      <c r="F22" s="17"/>
      <c r="G22" s="18"/>
      <c r="H22" s="18">
        <f>SUBTOTAL(109,Tabla1103453454455456479120[Total costo])</f>
        <v>10626.407099965001</v>
      </c>
      <c r="I22" s="4"/>
    </row>
    <row r="23" spans="2:13" x14ac:dyDescent="0.3">
      <c r="G23" s="4"/>
    </row>
    <row r="25" spans="2:13" ht="15.6" x14ac:dyDescent="0.3">
      <c r="B25" s="1" t="s">
        <v>896</v>
      </c>
      <c r="C25" s="2"/>
      <c r="D25" s="2"/>
      <c r="E25" s="3"/>
      <c r="F25" s="3"/>
      <c r="G25" s="3"/>
      <c r="H25" s="3"/>
      <c r="J25" s="399" t="s">
        <v>0</v>
      </c>
      <c r="K25" s="399"/>
      <c r="M25" s="377" t="s">
        <v>1394</v>
      </c>
    </row>
    <row r="26" spans="2:13" x14ac:dyDescent="0.3">
      <c r="B26" s="16" t="s">
        <v>857</v>
      </c>
      <c r="C26" s="17" t="s">
        <v>895</v>
      </c>
      <c r="D26" s="17" t="s">
        <v>892</v>
      </c>
      <c r="E26" s="17" t="s">
        <v>893</v>
      </c>
      <c r="F26" s="17" t="s">
        <v>894</v>
      </c>
      <c r="G26" s="76" t="s">
        <v>4</v>
      </c>
      <c r="H26" s="76" t="s">
        <v>5</v>
      </c>
      <c r="I26" s="4"/>
      <c r="J26" s="8" t="s">
        <v>6</v>
      </c>
      <c r="K26" s="9">
        <f>SUM(Tabla1103453454455456479120121[Total costo])</f>
        <v>12597.825893820502</v>
      </c>
      <c r="M26" s="346" t="s">
        <v>1691</v>
      </c>
    </row>
    <row r="27" spans="2:13" x14ac:dyDescent="0.3">
      <c r="B27" s="10" t="s">
        <v>917</v>
      </c>
      <c r="C27" s="11" t="s">
        <v>847</v>
      </c>
      <c r="D27" s="12">
        <v>0.55000000000000004</v>
      </c>
      <c r="E27" s="12">
        <v>0</v>
      </c>
      <c r="F27" s="12">
        <v>0.55000000000000004</v>
      </c>
      <c r="G27" s="13">
        <f>+VLOOKUP(Tabla1103453454455456479120121[[#This Row],[ArtÃ­culo]],Tabla34[#All],3,0)</f>
        <v>11140.90909091</v>
      </c>
      <c r="H27" s="14">
        <f>+Tabla1103453454455456479120121[[#This Row],[Costo]]*Tabla1103453454455456479120121[[#This Row],[Unidades]]</f>
        <v>6127.5000000005002</v>
      </c>
      <c r="I27" s="4"/>
      <c r="J27" s="8" t="s">
        <v>12</v>
      </c>
      <c r="K27" s="15">
        <f>+K26*5%</f>
        <v>629.89129469102511</v>
      </c>
      <c r="M27" s="346" t="s">
        <v>1692</v>
      </c>
    </row>
    <row r="28" spans="2:13" x14ac:dyDescent="0.3">
      <c r="B28" s="10" t="s">
        <v>229</v>
      </c>
      <c r="C28" s="11" t="s">
        <v>67</v>
      </c>
      <c r="D28" s="12">
        <v>30</v>
      </c>
      <c r="E28" s="12">
        <v>0</v>
      </c>
      <c r="F28" s="12">
        <v>30</v>
      </c>
      <c r="G28" s="13">
        <f>+VLOOKUP(Tabla1103453454455456479120121[[#This Row],[ArtÃ­culo]],Tabla34[#All],3,0)</f>
        <v>24.714500000000001</v>
      </c>
      <c r="H28" s="14">
        <f>+Tabla1103453454455456479120121[[#This Row],[Costo]]*Tabla1103453454455456479120121[[#This Row],[Unidades]]</f>
        <v>741.43500000000006</v>
      </c>
      <c r="I28" s="4"/>
      <c r="J28" s="8" t="s">
        <v>13</v>
      </c>
      <c r="K28" s="15">
        <f>+K26+K27</f>
        <v>13227.717188511528</v>
      </c>
      <c r="M28" s="346" t="s">
        <v>1693</v>
      </c>
    </row>
    <row r="29" spans="2:13" x14ac:dyDescent="0.3">
      <c r="B29" s="10" t="s">
        <v>103</v>
      </c>
      <c r="C29" s="11" t="s">
        <v>847</v>
      </c>
      <c r="D29" s="12">
        <v>1</v>
      </c>
      <c r="E29" s="12">
        <v>0</v>
      </c>
      <c r="F29" s="12">
        <v>1</v>
      </c>
      <c r="G29" s="13">
        <f>+VLOOKUP(Tabla1103453454455456479120121[[#This Row],[ArtÃ­culo]],Tabla34[#All],3,0)</f>
        <v>2800</v>
      </c>
      <c r="H29" s="14">
        <f>+Tabla1103453454455456479120121[[#This Row],[Costo]]*Tabla1103453454455456479120121[[#This Row],[Unidades]]</f>
        <v>2800</v>
      </c>
      <c r="I29" s="4"/>
      <c r="J29" s="20" t="s">
        <v>44</v>
      </c>
      <c r="K29" s="21">
        <v>33000</v>
      </c>
    </row>
    <row r="30" spans="2:13" x14ac:dyDescent="0.3">
      <c r="B30" s="10" t="s">
        <v>121</v>
      </c>
      <c r="C30" s="11" t="s">
        <v>67</v>
      </c>
      <c r="D30" s="12">
        <v>20</v>
      </c>
      <c r="E30" s="12">
        <v>0</v>
      </c>
      <c r="F30" s="12">
        <v>20</v>
      </c>
      <c r="G30" s="13">
        <f>+VLOOKUP(Tabla1103453454455456479120121[[#This Row],[ArtÃ­culo]],Tabla34[#All],3,0)</f>
        <v>23.79844713</v>
      </c>
      <c r="H30" s="14">
        <f>+Tabla1103453454455456479120121[[#This Row],[Costo]]*Tabla1103453454455456479120121[[#This Row],[Unidades]]</f>
        <v>475.96894259999999</v>
      </c>
      <c r="I30" s="4"/>
      <c r="J30" s="8" t="s">
        <v>15</v>
      </c>
      <c r="K30" s="15">
        <f>+K29/1.08*0.08</f>
        <v>2444.4444444444443</v>
      </c>
      <c r="M30" s="377" t="s">
        <v>1377</v>
      </c>
    </row>
    <row r="31" spans="2:13" x14ac:dyDescent="0.3">
      <c r="B31" s="10" t="s">
        <v>308</v>
      </c>
      <c r="C31" s="11" t="s">
        <v>67</v>
      </c>
      <c r="D31" s="12">
        <v>30</v>
      </c>
      <c r="E31" s="12">
        <v>0</v>
      </c>
      <c r="F31" s="12">
        <v>30</v>
      </c>
      <c r="G31" s="13">
        <f>+VLOOKUP(Tabla1103453454455456479120121[[#This Row],[ArtÃ­culo]],Tabla34[#All],3,0)</f>
        <v>24.115200000000002</v>
      </c>
      <c r="H31" s="14">
        <f>+Tabla1103453454455456479120121[[#This Row],[Costo]]*Tabla1103453454455456479120121[[#This Row],[Unidades]]</f>
        <v>723.45600000000002</v>
      </c>
      <c r="I31" s="4"/>
      <c r="J31" s="8" t="s">
        <v>16</v>
      </c>
      <c r="K31" s="15">
        <f>+K29-K30</f>
        <v>30555.555555555555</v>
      </c>
      <c r="M31" s="346" t="s">
        <v>1694</v>
      </c>
    </row>
    <row r="32" spans="2:13" x14ac:dyDescent="0.3">
      <c r="B32" s="10" t="s">
        <v>140</v>
      </c>
      <c r="C32" s="11" t="s">
        <v>67</v>
      </c>
      <c r="D32" s="12">
        <v>10</v>
      </c>
      <c r="E32" s="12">
        <v>0</v>
      </c>
      <c r="F32" s="12">
        <v>10</v>
      </c>
      <c r="G32" s="13">
        <f>+VLOOKUP(Tabla1103453454455456479120121[[#This Row],[ArtÃ­culo]],Tabla34[#All],3,0)</f>
        <v>75.731252760000004</v>
      </c>
      <c r="H32" s="14">
        <f>+Tabla1103453454455456479120121[[#This Row],[Costo]]*Tabla1103453454455456479120121[[#This Row],[Unidades]]</f>
        <v>757.31252760000007</v>
      </c>
      <c r="J32" s="8" t="s">
        <v>17</v>
      </c>
      <c r="K32" s="22">
        <f>+K28/K31</f>
        <v>0.43290710798765003</v>
      </c>
      <c r="M32" s="346" t="s">
        <v>1695</v>
      </c>
    </row>
    <row r="33" spans="2:13" x14ac:dyDescent="0.3">
      <c r="B33" s="10" t="s">
        <v>142</v>
      </c>
      <c r="C33" s="11" t="s">
        <v>67</v>
      </c>
      <c r="D33" s="12">
        <v>30</v>
      </c>
      <c r="E33" s="12">
        <v>0</v>
      </c>
      <c r="F33" s="12">
        <v>30</v>
      </c>
      <c r="G33" s="13">
        <f>+VLOOKUP(Tabla1103453454455456479120121[[#This Row],[ArtÃ­culo]],Tabla34[#All],3,0)</f>
        <v>8.4010542600000004</v>
      </c>
      <c r="H33" s="14">
        <f>+Tabla1103453454455456479120121[[#This Row],[Costo]]*Tabla1103453454455456479120121[[#This Row],[Unidades]]</f>
        <v>252.03162780000002</v>
      </c>
      <c r="J33" s="8" t="s">
        <v>18</v>
      </c>
      <c r="K33" s="23">
        <f>+K31-K28</f>
        <v>17327.838367044027</v>
      </c>
      <c r="M33" s="346" t="s">
        <v>1696</v>
      </c>
    </row>
    <row r="34" spans="2:13" x14ac:dyDescent="0.3">
      <c r="B34" s="10" t="s">
        <v>745</v>
      </c>
      <c r="C34" s="11" t="s">
        <v>67</v>
      </c>
      <c r="D34" s="12">
        <v>5.0000001000000003</v>
      </c>
      <c r="E34" s="12">
        <v>5</v>
      </c>
      <c r="F34" s="12">
        <v>5.2631579999999998</v>
      </c>
      <c r="G34" s="13">
        <f>+VLOOKUP(Tabla1103453454455456479120121[[#This Row],[ArtÃ­culo]],Tabla34[#All],3,0)</f>
        <v>37.5</v>
      </c>
      <c r="H34" s="14">
        <f>+Tabla1103453454455456479120121[[#This Row],[Costo]]*Tabla1103453454455456479120121[[#This Row],[Unidades]]</f>
        <v>197.368425</v>
      </c>
      <c r="J34" s="8" t="s">
        <v>19</v>
      </c>
      <c r="K34" s="25">
        <f>+K33/K28</f>
        <v>1.3099643816163167</v>
      </c>
    </row>
    <row r="35" spans="2:13" x14ac:dyDescent="0.3">
      <c r="B35" s="10" t="s">
        <v>631</v>
      </c>
      <c r="C35" s="11" t="s">
        <v>67</v>
      </c>
      <c r="D35" s="12">
        <v>5</v>
      </c>
      <c r="E35" s="12">
        <v>0</v>
      </c>
      <c r="F35" s="12">
        <v>5</v>
      </c>
      <c r="G35" s="13">
        <f>+VLOOKUP(Tabla1103453454455456479120121[[#This Row],[ArtÃ­culo]],Tabla34[#All],3,0)</f>
        <v>34.714285709999999</v>
      </c>
      <c r="H35" s="14">
        <f>+Tabla1103453454455456479120121[[#This Row],[Costo]]*Tabla1103453454455456479120121[[#This Row],[Unidades]]</f>
        <v>173.57142855000001</v>
      </c>
      <c r="I35" s="4"/>
      <c r="J35" s="4"/>
      <c r="K35" s="31"/>
    </row>
    <row r="36" spans="2:13" x14ac:dyDescent="0.3">
      <c r="B36" s="10" t="s">
        <v>708</v>
      </c>
      <c r="C36" s="11" t="s">
        <v>67</v>
      </c>
      <c r="D36" s="12">
        <v>10.000000200000001</v>
      </c>
      <c r="E36" s="12">
        <v>5</v>
      </c>
      <c r="F36" s="12">
        <v>10.526316</v>
      </c>
      <c r="G36" s="13">
        <f>+VLOOKUP(Tabla1103453454455456479120121[[#This Row],[ArtÃ­culo]],Tabla34[#All],3,0)</f>
        <v>11</v>
      </c>
      <c r="H36" s="14">
        <f>+Tabla1103453454455456479120121[[#This Row],[Costo]]*Tabla1103453454455456479120121[[#This Row],[Unidades]]</f>
        <v>115.78947599999999</v>
      </c>
      <c r="I36" s="4"/>
      <c r="J36" s="4"/>
      <c r="K36" s="31"/>
    </row>
    <row r="37" spans="2:13" x14ac:dyDescent="0.3">
      <c r="B37" s="10" t="s">
        <v>51</v>
      </c>
      <c r="C37" s="11" t="s">
        <v>67</v>
      </c>
      <c r="D37" s="12">
        <v>5</v>
      </c>
      <c r="E37" s="12">
        <v>0</v>
      </c>
      <c r="F37" s="12">
        <v>5</v>
      </c>
      <c r="G37" s="13">
        <f>+VLOOKUP(Tabla1103453454455456479120121[[#This Row],[ArtÃ­culo]],Tabla34[#All],3,0)</f>
        <v>11.3849874</v>
      </c>
      <c r="H37" s="14">
        <f>+Tabla1103453454455456479120121[[#This Row],[Costo]]*Tabla1103453454455456479120121[[#This Row],[Unidades]]</f>
        <v>56.924937</v>
      </c>
      <c r="I37" s="4"/>
      <c r="J37" s="4"/>
      <c r="K37" s="31"/>
    </row>
    <row r="38" spans="2:13" x14ac:dyDescent="0.3">
      <c r="B38" s="10" t="s">
        <v>199</v>
      </c>
      <c r="C38" s="11" t="s">
        <v>67</v>
      </c>
      <c r="D38" s="12">
        <v>1</v>
      </c>
      <c r="E38" s="12">
        <v>0</v>
      </c>
      <c r="F38" s="12">
        <v>1</v>
      </c>
      <c r="G38" s="13">
        <f>+VLOOKUP(Tabla1103453454455456479120121[[#This Row],[ArtÃ­culo]],Tabla34[#All],3,0)</f>
        <v>60.010800000000003</v>
      </c>
      <c r="H38" s="14">
        <f>+Tabla1103453454455456479120121[[#This Row],[Costo]]*Tabla1103453454455456479120121[[#This Row],[Unidades]]</f>
        <v>60.010800000000003</v>
      </c>
      <c r="I38" s="4"/>
      <c r="J38" s="4"/>
      <c r="K38" s="31"/>
    </row>
    <row r="39" spans="2:13" x14ac:dyDescent="0.3">
      <c r="B39" s="10" t="s">
        <v>840</v>
      </c>
      <c r="C39" s="11" t="s">
        <v>67</v>
      </c>
      <c r="D39" s="12">
        <v>1</v>
      </c>
      <c r="E39" s="12">
        <v>0</v>
      </c>
      <c r="F39" s="12">
        <v>1</v>
      </c>
      <c r="G39" s="13">
        <f>+VLOOKUP(Tabla1103453454455456479120121[[#This Row],[ArtÃ­culo]],Tabla34[#All],3,0)</f>
        <v>57.218061669999997</v>
      </c>
      <c r="H39" s="14">
        <f>+Tabla1103453454455456479120121[[#This Row],[Costo]]*Tabla1103453454455456479120121[[#This Row],[Unidades]]</f>
        <v>57.218061669999997</v>
      </c>
      <c r="I39" s="4"/>
    </row>
    <row r="40" spans="2:13" x14ac:dyDescent="0.3">
      <c r="B40" s="10" t="s">
        <v>219</v>
      </c>
      <c r="C40" s="11" t="s">
        <v>67</v>
      </c>
      <c r="D40" s="12">
        <v>1</v>
      </c>
      <c r="E40" s="12">
        <v>0</v>
      </c>
      <c r="F40" s="12">
        <v>1</v>
      </c>
      <c r="G40" s="13">
        <f>+VLOOKUP(Tabla1103453454455456479120121[[#This Row],[ArtÃ­culo]],Tabla34[#All],3,0)</f>
        <v>30.77</v>
      </c>
      <c r="H40" s="14">
        <f>+Tabla1103453454455456479120121[[#This Row],[Costo]]*Tabla1103453454455456479120121[[#This Row],[Unidades]]</f>
        <v>30.77</v>
      </c>
      <c r="I40" s="4"/>
    </row>
    <row r="41" spans="2:13" x14ac:dyDescent="0.3">
      <c r="B41" s="10" t="s">
        <v>746</v>
      </c>
      <c r="C41" s="11" t="s">
        <v>67</v>
      </c>
      <c r="D41" s="12">
        <v>1</v>
      </c>
      <c r="E41" s="12">
        <v>0</v>
      </c>
      <c r="F41" s="12">
        <v>1</v>
      </c>
      <c r="G41" s="13">
        <f>+VLOOKUP(Tabla1103453454455456479120121[[#This Row],[ArtÃ­culo]],Tabla34[#All],3,0)</f>
        <v>12</v>
      </c>
      <c r="H41" s="14">
        <f>+Tabla1103453454455456479120121[[#This Row],[Costo]]*Tabla1103453454455456479120121[[#This Row],[Unidades]]</f>
        <v>12</v>
      </c>
      <c r="I41" s="4"/>
    </row>
    <row r="42" spans="2:13" x14ac:dyDescent="0.3">
      <c r="B42" s="10" t="s">
        <v>748</v>
      </c>
      <c r="C42" s="11" t="s">
        <v>67</v>
      </c>
      <c r="D42" s="12">
        <v>1.00000008</v>
      </c>
      <c r="E42" s="12">
        <v>10</v>
      </c>
      <c r="F42" s="12">
        <v>1.1111112000000001</v>
      </c>
      <c r="G42" s="13">
        <f>+VLOOKUP(Tabla1103453454455456479120121[[#This Row],[ArtÃ­culo]],Tabla34[#All],3,0)</f>
        <v>10.5</v>
      </c>
      <c r="H42" s="14">
        <f>+Tabla1103453454455456479120121[[#This Row],[Costo]]*Tabla1103453454455456479120121[[#This Row],[Unidades]]</f>
        <v>11.6666676</v>
      </c>
      <c r="I42" s="4"/>
    </row>
    <row r="43" spans="2:13" x14ac:dyDescent="0.3">
      <c r="B43" s="10" t="s">
        <v>89</v>
      </c>
      <c r="C43" s="11" t="s">
        <v>67</v>
      </c>
      <c r="D43" s="12">
        <v>2</v>
      </c>
      <c r="E43" s="12">
        <v>0</v>
      </c>
      <c r="F43" s="12">
        <v>2</v>
      </c>
      <c r="G43" s="13">
        <f>+VLOOKUP(Tabla1103453454455456479120121[[#This Row],[ArtÃ­culo]],Tabla34[#All],3,0)</f>
        <v>2.4009999999999998</v>
      </c>
      <c r="H43" s="14">
        <f>+Tabla1103453454455456479120121[[#This Row],[Costo]]*Tabla1103453454455456479120121[[#This Row],[Unidades]]</f>
        <v>4.8019999999999996</v>
      </c>
      <c r="I43" s="4"/>
    </row>
    <row r="44" spans="2:13" x14ac:dyDescent="0.3">
      <c r="B44" s="16"/>
      <c r="C44" s="17"/>
      <c r="D44" s="17"/>
      <c r="E44" s="17"/>
      <c r="F44" s="17"/>
      <c r="G44" s="18"/>
      <c r="H44" s="18">
        <f>SUBTOTAL(109,Tabla1103453454455456479120121[Total costo])</f>
        <v>12597.825893820502</v>
      </c>
    </row>
    <row r="45" spans="2:13" x14ac:dyDescent="0.3">
      <c r="G45" s="4"/>
    </row>
    <row r="46" spans="2:13" ht="15.6" x14ac:dyDescent="0.3">
      <c r="B46" s="1" t="s">
        <v>285</v>
      </c>
      <c r="C46" s="2"/>
      <c r="D46" s="2"/>
      <c r="E46" s="3"/>
      <c r="F46" s="3"/>
      <c r="G46" s="3"/>
      <c r="H46" s="3"/>
      <c r="I46" s="4"/>
      <c r="J46" s="399" t="s">
        <v>0</v>
      </c>
      <c r="K46" s="399"/>
      <c r="M46" s="377" t="s">
        <v>1394</v>
      </c>
    </row>
    <row r="47" spans="2:13" x14ac:dyDescent="0.3">
      <c r="B47" s="16" t="s">
        <v>857</v>
      </c>
      <c r="C47" s="17" t="s">
        <v>895</v>
      </c>
      <c r="D47" s="17" t="s">
        <v>892</v>
      </c>
      <c r="E47" s="17" t="s">
        <v>893</v>
      </c>
      <c r="F47" s="17" t="s">
        <v>894</v>
      </c>
      <c r="G47" s="76" t="s">
        <v>4</v>
      </c>
      <c r="H47" s="76" t="s">
        <v>5</v>
      </c>
      <c r="I47" s="4"/>
      <c r="J47" s="8" t="s">
        <v>6</v>
      </c>
      <c r="K47" s="9">
        <f>SUM(Tabla1103453454455456479120122[Total costo])</f>
        <v>10743.513944537603</v>
      </c>
      <c r="M47" s="346" t="s">
        <v>1697</v>
      </c>
    </row>
    <row r="48" spans="2:13" x14ac:dyDescent="0.3">
      <c r="B48" s="10" t="s">
        <v>333</v>
      </c>
      <c r="C48" s="11" t="s">
        <v>847</v>
      </c>
      <c r="D48" s="12">
        <v>0.33</v>
      </c>
      <c r="E48" s="12">
        <v>0</v>
      </c>
      <c r="F48" s="12">
        <v>0.33</v>
      </c>
      <c r="G48" s="13">
        <f>+VLOOKUP(Tabla1103453454455456479120122[[#This Row],[ArtÃ­culo]],Tabla34[#All],3,0)</f>
        <v>13905.503857879999</v>
      </c>
      <c r="H48" s="14">
        <f>+Tabla1103453454455456479120122[[#This Row],[Costo]]*Tabla1103453454455456479120122[[#This Row],[Unidades]]</f>
        <v>4588.8162731004004</v>
      </c>
      <c r="I48" s="4"/>
      <c r="J48" s="8" t="s">
        <v>12</v>
      </c>
      <c r="K48" s="15">
        <f>+K47*5%</f>
        <v>537.17569722688017</v>
      </c>
      <c r="M48" s="346" t="s">
        <v>1698</v>
      </c>
    </row>
    <row r="49" spans="2:13" x14ac:dyDescent="0.3">
      <c r="B49" s="10" t="s">
        <v>345</v>
      </c>
      <c r="C49" s="11" t="s">
        <v>847</v>
      </c>
      <c r="D49" s="12">
        <v>1</v>
      </c>
      <c r="E49" s="12">
        <v>0</v>
      </c>
      <c r="F49" s="12">
        <v>1</v>
      </c>
      <c r="G49" s="13">
        <f>+VLOOKUP(Tabla1103453454455456479120122[[#This Row],[ArtÃ­culo]],Tabla34[#All],3,0)</f>
        <v>1600</v>
      </c>
      <c r="H49" s="14">
        <f>+Tabla1103453454455456479120122[[#This Row],[Costo]]*Tabla1103453454455456479120122[[#This Row],[Unidades]]</f>
        <v>1600</v>
      </c>
      <c r="J49" s="8" t="s">
        <v>13</v>
      </c>
      <c r="K49" s="15">
        <f>+K47+K48</f>
        <v>11280.689641764482</v>
      </c>
      <c r="M49" s="346" t="s">
        <v>1699</v>
      </c>
    </row>
    <row r="50" spans="2:13" x14ac:dyDescent="0.3">
      <c r="B50" s="10" t="s">
        <v>683</v>
      </c>
      <c r="C50" s="11" t="s">
        <v>67</v>
      </c>
      <c r="D50" s="12">
        <v>79.999996999999993</v>
      </c>
      <c r="E50" s="12">
        <v>30</v>
      </c>
      <c r="F50" s="12">
        <v>114.28570999999999</v>
      </c>
      <c r="G50" s="13">
        <f>+VLOOKUP(Tabla1103453454455456479120122[[#This Row],[ArtÃ­culo]],Tabla34[#All],3,0)</f>
        <v>8.5</v>
      </c>
      <c r="H50" s="14">
        <f>+Tabla1103453454455456479120122[[#This Row],[Costo]]*Tabla1103453454455456479120122[[#This Row],[Unidades]]</f>
        <v>971.42853500000001</v>
      </c>
      <c r="J50" s="20" t="s">
        <v>44</v>
      </c>
      <c r="K50" s="21">
        <v>34000</v>
      </c>
      <c r="M50" s="346" t="s">
        <v>1700</v>
      </c>
    </row>
    <row r="51" spans="2:13" x14ac:dyDescent="0.3">
      <c r="B51" s="10" t="s">
        <v>94</v>
      </c>
      <c r="C51" s="11" t="s">
        <v>67</v>
      </c>
      <c r="D51" s="12">
        <v>50</v>
      </c>
      <c r="E51" s="12">
        <v>0</v>
      </c>
      <c r="F51" s="12">
        <v>50</v>
      </c>
      <c r="G51" s="13">
        <f>+VLOOKUP(Tabla1103453454455456479120122[[#This Row],[ArtÃ­culo]],Tabla34[#All],3,0)</f>
        <v>21.002127659999999</v>
      </c>
      <c r="H51" s="14">
        <f>+Tabla1103453454455456479120122[[#This Row],[Costo]]*Tabla1103453454455456479120122[[#This Row],[Unidades]]</f>
        <v>1050.1063830000001</v>
      </c>
      <c r="J51" s="8" t="s">
        <v>15</v>
      </c>
      <c r="K51" s="15">
        <f>+K50/1.08*0.08</f>
        <v>2518.5185185185182</v>
      </c>
      <c r="M51" s="346" t="s">
        <v>1701</v>
      </c>
    </row>
    <row r="52" spans="2:13" x14ac:dyDescent="0.3">
      <c r="B52" s="10" t="s">
        <v>121</v>
      </c>
      <c r="C52" s="11" t="s">
        <v>67</v>
      </c>
      <c r="D52" s="12">
        <v>20</v>
      </c>
      <c r="E52" s="12">
        <v>0</v>
      </c>
      <c r="F52" s="12">
        <v>20</v>
      </c>
      <c r="G52" s="13">
        <f>+VLOOKUP(Tabla1103453454455456479120122[[#This Row],[ArtÃ­culo]],Tabla34[#All],3,0)</f>
        <v>23.79844713</v>
      </c>
      <c r="H52" s="14">
        <f>+Tabla1103453454455456479120122[[#This Row],[Costo]]*Tabla1103453454455456479120122[[#This Row],[Unidades]]</f>
        <v>475.96894259999999</v>
      </c>
      <c r="I52" s="4"/>
      <c r="J52" s="8" t="s">
        <v>16</v>
      </c>
      <c r="K52" s="15">
        <f>+K50-K51</f>
        <v>31481.481481481482</v>
      </c>
      <c r="M52" s="346"/>
    </row>
    <row r="53" spans="2:13" x14ac:dyDescent="0.3">
      <c r="B53" s="10" t="s">
        <v>1194</v>
      </c>
      <c r="C53" s="11" t="s">
        <v>847</v>
      </c>
      <c r="D53" s="12">
        <v>1</v>
      </c>
      <c r="E53" s="12">
        <v>0</v>
      </c>
      <c r="F53" s="12">
        <v>1</v>
      </c>
      <c r="G53" s="13">
        <f>+VLOOKUP(Tabla1103453454455456479120122[[#This Row],[ArtÃ­culo]],Tabla34[#All],3,0)</f>
        <v>726.66666667000004</v>
      </c>
      <c r="H53" s="14">
        <f>+Tabla1103453454455456479120122[[#This Row],[Costo]]*Tabla1103453454455456479120122[[#This Row],[Unidades]]</f>
        <v>726.66666667000004</v>
      </c>
      <c r="I53" s="4"/>
      <c r="J53" s="8" t="s">
        <v>17</v>
      </c>
      <c r="K53" s="22">
        <f>+K49/K52</f>
        <v>0.35832778862075415</v>
      </c>
      <c r="M53" s="377" t="s">
        <v>1377</v>
      </c>
    </row>
    <row r="54" spans="2:13" x14ac:dyDescent="0.3">
      <c r="B54" s="10" t="s">
        <v>1242</v>
      </c>
      <c r="C54" s="11" t="s">
        <v>67</v>
      </c>
      <c r="D54" s="12">
        <v>20</v>
      </c>
      <c r="E54" s="12">
        <v>0</v>
      </c>
      <c r="F54" s="12">
        <v>20</v>
      </c>
      <c r="G54" s="13">
        <f>+VLOOKUP(Tabla1103453454455456479120122[[#This Row],[ArtÃ­culo]],Tabla34[#All],3,0)</f>
        <v>21.997626329999999</v>
      </c>
      <c r="H54" s="14">
        <f>+Tabla1103453454455456479120122[[#This Row],[Costo]]*Tabla1103453454455456479120122[[#This Row],[Unidades]]</f>
        <v>439.9525266</v>
      </c>
      <c r="I54" s="4"/>
      <c r="J54" s="8" t="s">
        <v>18</v>
      </c>
      <c r="K54" s="23">
        <f>+K52-K49</f>
        <v>20200.791839717</v>
      </c>
      <c r="M54" s="346" t="s">
        <v>1702</v>
      </c>
    </row>
    <row r="55" spans="2:13" x14ac:dyDescent="0.3">
      <c r="B55" s="10" t="s">
        <v>102</v>
      </c>
      <c r="C55" s="11" t="s">
        <v>605</v>
      </c>
      <c r="D55" s="12">
        <v>0.16</v>
      </c>
      <c r="E55" s="12">
        <v>0</v>
      </c>
      <c r="F55" s="12">
        <v>0.16</v>
      </c>
      <c r="G55" s="13">
        <f>+VLOOKUP(Tabla1103453454455456479120122[[#This Row],[ArtÃ­culo]],Tabla34[#All],3,0)</f>
        <v>2471.7916666699998</v>
      </c>
      <c r="H55" s="14">
        <f>+Tabla1103453454455456479120122[[#This Row],[Costo]]*Tabla1103453454455456479120122[[#This Row],[Unidades]]</f>
        <v>395.48666666719998</v>
      </c>
      <c r="I55" s="4"/>
      <c r="J55" s="8" t="s">
        <v>19</v>
      </c>
      <c r="K55" s="25">
        <f>+K54/K49</f>
        <v>1.7907408572723813</v>
      </c>
      <c r="M55" s="346" t="s">
        <v>1703</v>
      </c>
    </row>
    <row r="56" spans="2:13" x14ac:dyDescent="0.3">
      <c r="B56" s="10" t="s">
        <v>141</v>
      </c>
      <c r="C56" s="11" t="s">
        <v>67</v>
      </c>
      <c r="D56" s="12">
        <v>15</v>
      </c>
      <c r="E56" s="12">
        <v>0</v>
      </c>
      <c r="F56" s="12">
        <v>15</v>
      </c>
      <c r="G56" s="13">
        <f>+VLOOKUP(Tabla1103453454455456479120122[[#This Row],[ArtÃ­culo]],Tabla34[#All],3,0)</f>
        <v>18.392951490000002</v>
      </c>
      <c r="H56" s="14">
        <f>+Tabla1103453454455456479120122[[#This Row],[Costo]]*Tabla1103453454455456479120122[[#This Row],[Unidades]]</f>
        <v>275.89427235000005</v>
      </c>
      <c r="I56" s="4"/>
      <c r="J56" s="4"/>
      <c r="K56" s="31"/>
      <c r="M56" s="346" t="s">
        <v>1704</v>
      </c>
    </row>
    <row r="57" spans="2:13" x14ac:dyDescent="0.3">
      <c r="B57" s="10" t="s">
        <v>631</v>
      </c>
      <c r="C57" s="11" t="s">
        <v>67</v>
      </c>
      <c r="D57" s="12">
        <v>5</v>
      </c>
      <c r="E57" s="12">
        <v>0</v>
      </c>
      <c r="F57" s="12">
        <v>5</v>
      </c>
      <c r="G57" s="13">
        <f>+VLOOKUP(Tabla1103453454455456479120122[[#This Row],[ArtÃ­culo]],Tabla34[#All],3,0)</f>
        <v>34.714285709999999</v>
      </c>
      <c r="H57" s="14">
        <f>+Tabla1103453454455456479120122[[#This Row],[Costo]]*Tabla1103453454455456479120122[[#This Row],[Unidades]]</f>
        <v>173.57142855000001</v>
      </c>
      <c r="I57" s="4"/>
      <c r="J57" s="4"/>
      <c r="K57" s="31"/>
    </row>
    <row r="58" spans="2:13" x14ac:dyDescent="0.3">
      <c r="B58" s="10" t="s">
        <v>313</v>
      </c>
      <c r="C58" s="11" t="s">
        <v>67</v>
      </c>
      <c r="D58" s="12">
        <v>5</v>
      </c>
      <c r="E58" s="12">
        <v>0</v>
      </c>
      <c r="F58" s="12">
        <v>5</v>
      </c>
      <c r="G58" s="13">
        <f>+VLOOKUP(Tabla1103453454455456479120122[[#This Row],[ArtÃ­culo]],Tabla34[#All],3,0)</f>
        <v>7.6838499999999996</v>
      </c>
      <c r="H58" s="14">
        <f>+Tabla1103453454455456479120122[[#This Row],[Costo]]*Tabla1103453454455456479120122[[#This Row],[Unidades]]</f>
        <v>38.419249999999998</v>
      </c>
      <c r="I58" s="4"/>
      <c r="J58" s="4"/>
      <c r="K58" s="31"/>
    </row>
    <row r="59" spans="2:13" x14ac:dyDescent="0.3">
      <c r="B59" s="10" t="s">
        <v>89</v>
      </c>
      <c r="C59" s="11" t="s">
        <v>67</v>
      </c>
      <c r="D59" s="12">
        <v>3</v>
      </c>
      <c r="E59" s="12">
        <v>0</v>
      </c>
      <c r="F59" s="12">
        <v>3</v>
      </c>
      <c r="G59" s="13">
        <f>+VLOOKUP(Tabla1103453454455456479120122[[#This Row],[ArtÃ­culo]],Tabla34[#All],3,0)</f>
        <v>2.4009999999999998</v>
      </c>
      <c r="H59" s="14">
        <f>+Tabla1103453454455456479120122[[#This Row],[Costo]]*Tabla1103453454455456479120122[[#This Row],[Unidades]]</f>
        <v>7.2029999999999994</v>
      </c>
      <c r="I59" s="4"/>
      <c r="J59" s="4"/>
      <c r="K59" s="31"/>
    </row>
    <row r="60" spans="2:13" x14ac:dyDescent="0.3">
      <c r="B60" s="16"/>
      <c r="C60" s="17"/>
      <c r="D60" s="17"/>
      <c r="E60" s="17"/>
      <c r="F60" s="17"/>
      <c r="G60" s="18"/>
      <c r="H60" s="18">
        <f>SUBTOTAL(109,Tabla1103453454455456479120122[Total costo])</f>
        <v>10743.513944537603</v>
      </c>
      <c r="I60" s="4"/>
      <c r="J60" s="4"/>
      <c r="K60" s="31"/>
    </row>
    <row r="61" spans="2:13" x14ac:dyDescent="0.3">
      <c r="G61" s="4"/>
      <c r="H61" s="4"/>
      <c r="I61" s="31"/>
    </row>
    <row r="62" spans="2:13" x14ac:dyDescent="0.3">
      <c r="G62" s="4"/>
      <c r="H62" s="4"/>
      <c r="I62" s="31"/>
    </row>
    <row r="63" spans="2:13" ht="15.6" x14ac:dyDescent="0.3">
      <c r="B63" s="1" t="s">
        <v>286</v>
      </c>
      <c r="C63" s="2"/>
      <c r="D63" s="2"/>
      <c r="E63" s="3"/>
      <c r="F63" s="3"/>
      <c r="G63" s="3"/>
      <c r="H63" s="3"/>
      <c r="I63" s="4"/>
      <c r="J63" s="399" t="s">
        <v>0</v>
      </c>
      <c r="K63" s="399"/>
      <c r="M63" s="377" t="s">
        <v>1394</v>
      </c>
    </row>
    <row r="64" spans="2:13" x14ac:dyDescent="0.3">
      <c r="B64" s="16" t="s">
        <v>857</v>
      </c>
      <c r="C64" s="17" t="s">
        <v>895</v>
      </c>
      <c r="D64" s="17" t="s">
        <v>892</v>
      </c>
      <c r="E64" s="17" t="s">
        <v>893</v>
      </c>
      <c r="F64" s="17" t="s">
        <v>894</v>
      </c>
      <c r="G64" s="76" t="s">
        <v>4</v>
      </c>
      <c r="H64" s="76" t="s">
        <v>5</v>
      </c>
      <c r="I64" s="4"/>
      <c r="J64" s="8" t="s">
        <v>6</v>
      </c>
      <c r="K64" s="9">
        <f>SUM(Tabla1103453454455456479120123[Total costo])</f>
        <v>11302.569472690002</v>
      </c>
      <c r="M64" s="346" t="s">
        <v>1705</v>
      </c>
    </row>
    <row r="65" spans="2:13" x14ac:dyDescent="0.3">
      <c r="B65" s="10" t="s">
        <v>340</v>
      </c>
      <c r="C65" s="11" t="s">
        <v>847</v>
      </c>
      <c r="D65" s="12">
        <v>1</v>
      </c>
      <c r="E65" s="12">
        <v>0</v>
      </c>
      <c r="F65" s="12">
        <v>1</v>
      </c>
      <c r="G65" s="13">
        <f>+VLOOKUP(Tabla1103453454455456479120123[[#This Row],[ArtÃ­culo]],Tabla34[#All],3,0)</f>
        <v>3877.2222220200001</v>
      </c>
      <c r="H65" s="14">
        <f>+Tabla1103453454455456479120123[[#This Row],[Costo]]*Tabla1103453454455456479120123[[#This Row],[Unidades]]</f>
        <v>3877.2222220200001</v>
      </c>
      <c r="I65" s="4"/>
      <c r="J65" s="8" t="s">
        <v>12</v>
      </c>
      <c r="K65" s="15">
        <f>+K64*5%</f>
        <v>565.1284736345001</v>
      </c>
      <c r="M65" s="346" t="s">
        <v>1706</v>
      </c>
    </row>
    <row r="66" spans="2:13" x14ac:dyDescent="0.3">
      <c r="B66" s="10" t="s">
        <v>1242</v>
      </c>
      <c r="C66" s="11" t="s">
        <v>67</v>
      </c>
      <c r="D66" s="12">
        <v>80</v>
      </c>
      <c r="E66" s="12">
        <v>0</v>
      </c>
      <c r="F66" s="12">
        <v>80</v>
      </c>
      <c r="G66" s="13">
        <f>+VLOOKUP(Tabla1103453454455456479120123[[#This Row],[ArtÃ­culo]],Tabla34[#All],3,0)</f>
        <v>21.997626329999999</v>
      </c>
      <c r="H66" s="14">
        <f>+Tabla1103453454455456479120123[[#This Row],[Costo]]*Tabla1103453454455456479120123[[#This Row],[Unidades]]</f>
        <v>1759.8101064</v>
      </c>
      <c r="I66" s="4"/>
      <c r="J66" s="8" t="s">
        <v>13</v>
      </c>
      <c r="K66" s="15">
        <f>+K64+K65</f>
        <v>11867.697946324502</v>
      </c>
      <c r="M66" s="346" t="s">
        <v>1707</v>
      </c>
    </row>
    <row r="67" spans="2:13" x14ac:dyDescent="0.3">
      <c r="B67" s="10" t="s">
        <v>1194</v>
      </c>
      <c r="C67" s="11" t="s">
        <v>847</v>
      </c>
      <c r="D67" s="12">
        <v>1</v>
      </c>
      <c r="E67" s="12">
        <v>0</v>
      </c>
      <c r="F67" s="12">
        <v>1</v>
      </c>
      <c r="G67" s="13">
        <f>+VLOOKUP(Tabla1103453454455456479120123[[#This Row],[ArtÃ­culo]],Tabla34[#All],3,0)</f>
        <v>726.66666667000004</v>
      </c>
      <c r="H67" s="14">
        <f>+Tabla1103453454455456479120123[[#This Row],[Costo]]*Tabla1103453454455456479120123[[#This Row],[Unidades]]</f>
        <v>726.66666667000004</v>
      </c>
      <c r="J67" s="20" t="s">
        <v>44</v>
      </c>
      <c r="K67" s="21">
        <v>32000</v>
      </c>
      <c r="M67" s="346" t="s">
        <v>1708</v>
      </c>
    </row>
    <row r="68" spans="2:13" x14ac:dyDescent="0.3">
      <c r="B68" s="10" t="s">
        <v>100</v>
      </c>
      <c r="C68" s="11" t="s">
        <v>67</v>
      </c>
      <c r="D68" s="12">
        <v>50</v>
      </c>
      <c r="E68" s="12">
        <v>0</v>
      </c>
      <c r="F68" s="12">
        <v>50</v>
      </c>
      <c r="G68" s="13">
        <f>+VLOOKUP(Tabla1103453454455456479120123[[#This Row],[ArtÃ­culo]],Tabla34[#All],3,0)</f>
        <v>29</v>
      </c>
      <c r="H68" s="14">
        <f>+Tabla1103453454455456479120123[[#This Row],[Costo]]*Tabla1103453454455456479120123[[#This Row],[Unidades]]</f>
        <v>1450</v>
      </c>
      <c r="J68" s="8" t="s">
        <v>15</v>
      </c>
      <c r="K68" s="15">
        <f>+K67/1.08*0.08</f>
        <v>2370.3703703703704</v>
      </c>
    </row>
    <row r="69" spans="2:13" x14ac:dyDescent="0.3">
      <c r="B69" s="10" t="s">
        <v>624</v>
      </c>
      <c r="C69" s="11" t="s">
        <v>67</v>
      </c>
      <c r="D69" s="12">
        <v>30</v>
      </c>
      <c r="E69" s="12">
        <v>0</v>
      </c>
      <c r="F69" s="12">
        <v>30</v>
      </c>
      <c r="G69" s="13">
        <f>+VLOOKUP(Tabla1103453454455456479120123[[#This Row],[ArtÃ­culo]],Tabla34[#All],3,0)</f>
        <v>32.29</v>
      </c>
      <c r="H69" s="14">
        <f>+Tabla1103453454455456479120123[[#This Row],[Costo]]*Tabla1103453454455456479120123[[#This Row],[Unidades]]</f>
        <v>968.69999999999993</v>
      </c>
      <c r="I69" s="4"/>
      <c r="J69" s="8" t="s">
        <v>16</v>
      </c>
      <c r="K69" s="15">
        <f>+K67-K68</f>
        <v>29629.629629629628</v>
      </c>
      <c r="M69" s="377" t="s">
        <v>1377</v>
      </c>
    </row>
    <row r="70" spans="2:13" x14ac:dyDescent="0.3">
      <c r="B70" s="10" t="s">
        <v>308</v>
      </c>
      <c r="C70" s="11" t="s">
        <v>67</v>
      </c>
      <c r="D70" s="12">
        <v>30</v>
      </c>
      <c r="E70" s="12">
        <v>0</v>
      </c>
      <c r="F70" s="12">
        <v>30</v>
      </c>
      <c r="G70" s="13">
        <f>+VLOOKUP(Tabla1103453454455456479120123[[#This Row],[ArtÃ­culo]],Tabla34[#All],3,0)</f>
        <v>24.115200000000002</v>
      </c>
      <c r="H70" s="14">
        <f>+Tabla1103453454455456479120123[[#This Row],[Costo]]*Tabla1103453454455456479120123[[#This Row],[Unidades]]</f>
        <v>723.45600000000002</v>
      </c>
      <c r="I70" s="4"/>
      <c r="J70" s="8" t="s">
        <v>17</v>
      </c>
      <c r="K70" s="22">
        <f>+K66/K69</f>
        <v>0.40053480568845201</v>
      </c>
      <c r="M70" s="346" t="s">
        <v>1709</v>
      </c>
    </row>
    <row r="71" spans="2:13" x14ac:dyDescent="0.3">
      <c r="B71" s="10" t="s">
        <v>229</v>
      </c>
      <c r="C71" s="11" t="s">
        <v>67</v>
      </c>
      <c r="D71" s="12">
        <v>30</v>
      </c>
      <c r="E71" s="12">
        <v>0</v>
      </c>
      <c r="F71" s="12">
        <v>30</v>
      </c>
      <c r="G71" s="13">
        <f>+VLOOKUP(Tabla1103453454455456479120123[[#This Row],[ArtÃ­culo]],Tabla34[#All],3,0)</f>
        <v>24.714500000000001</v>
      </c>
      <c r="H71" s="14">
        <f>+Tabla1103453454455456479120123[[#This Row],[Costo]]*Tabla1103453454455456479120123[[#This Row],[Unidades]]</f>
        <v>741.43500000000006</v>
      </c>
      <c r="I71" s="4"/>
      <c r="J71" s="8" t="s">
        <v>18</v>
      </c>
      <c r="K71" s="23">
        <f>+K69-K66</f>
        <v>17761.931683305127</v>
      </c>
      <c r="M71" s="346" t="s">
        <v>1710</v>
      </c>
    </row>
    <row r="72" spans="2:13" x14ac:dyDescent="0.3">
      <c r="B72" s="10" t="s">
        <v>683</v>
      </c>
      <c r="C72" s="11" t="s">
        <v>67</v>
      </c>
      <c r="D72" s="12">
        <v>39.999999000000003</v>
      </c>
      <c r="E72" s="12">
        <v>25</v>
      </c>
      <c r="F72" s="12">
        <v>53.333331999999999</v>
      </c>
      <c r="G72" s="13">
        <f>+VLOOKUP(Tabla1103453454455456479120123[[#This Row],[ArtÃ­culo]],Tabla34[#All],3,0)</f>
        <v>8.5</v>
      </c>
      <c r="H72" s="14">
        <f>+Tabla1103453454455456479120123[[#This Row],[Costo]]*Tabla1103453454455456479120123[[#This Row],[Unidades]]</f>
        <v>453.33332200000001</v>
      </c>
      <c r="I72" s="4"/>
      <c r="J72" s="8" t="s">
        <v>19</v>
      </c>
      <c r="K72" s="25">
        <f>+K71/K66</f>
        <v>1.4966619274975821</v>
      </c>
      <c r="M72" s="346" t="s">
        <v>1711</v>
      </c>
    </row>
    <row r="73" spans="2:13" x14ac:dyDescent="0.3">
      <c r="B73" s="10" t="s">
        <v>811</v>
      </c>
      <c r="C73" s="11" t="s">
        <v>67</v>
      </c>
      <c r="D73" s="12">
        <v>15</v>
      </c>
      <c r="E73" s="12">
        <v>0</v>
      </c>
      <c r="F73" s="12">
        <v>15</v>
      </c>
      <c r="G73" s="13">
        <f>+VLOOKUP(Tabla1103453454455456479120123[[#This Row],[ArtÃ­culo]],Tabla34[#All],3,0)</f>
        <v>18.698499999999999</v>
      </c>
      <c r="H73" s="14">
        <f>+Tabla1103453454455456479120123[[#This Row],[Costo]]*Tabla1103453454455456479120123[[#This Row],[Unidades]]</f>
        <v>280.47749999999996</v>
      </c>
      <c r="I73" s="4"/>
      <c r="J73" s="4"/>
      <c r="K73" s="31"/>
    </row>
    <row r="74" spans="2:13" x14ac:dyDescent="0.3">
      <c r="B74" s="10" t="s">
        <v>708</v>
      </c>
      <c r="C74" s="11" t="s">
        <v>67</v>
      </c>
      <c r="D74" s="12">
        <v>14.9999994</v>
      </c>
      <c r="E74" s="12">
        <v>10</v>
      </c>
      <c r="F74" s="12">
        <v>16.666665999999999</v>
      </c>
      <c r="G74" s="13">
        <f>+VLOOKUP(Tabla1103453454455456479120123[[#This Row],[ArtÃ­culo]],Tabla34[#All],3,0)</f>
        <v>11</v>
      </c>
      <c r="H74" s="14">
        <f>+Tabla1103453454455456479120123[[#This Row],[Costo]]*Tabla1103453454455456479120123[[#This Row],[Unidades]]</f>
        <v>183.333326</v>
      </c>
      <c r="I74" s="4"/>
      <c r="J74" s="4"/>
      <c r="K74" s="31"/>
    </row>
    <row r="75" spans="2:13" x14ac:dyDescent="0.3">
      <c r="B75" s="10" t="s">
        <v>321</v>
      </c>
      <c r="C75" s="11" t="s">
        <v>67</v>
      </c>
      <c r="D75" s="12">
        <v>4.9999997699999996</v>
      </c>
      <c r="E75" s="12">
        <v>10</v>
      </c>
      <c r="F75" s="12">
        <v>5.5555553</v>
      </c>
      <c r="G75" s="13">
        <f>+VLOOKUP(Tabla1103453454455456479120123[[#This Row],[ArtÃ­culo]],Tabla34[#All],3,0)</f>
        <v>12</v>
      </c>
      <c r="H75" s="14">
        <f>+Tabla1103453454455456479120123[[#This Row],[Costo]]*Tabla1103453454455456479120123[[#This Row],[Unidades]]</f>
        <v>66.666663599999993</v>
      </c>
      <c r="I75" s="4"/>
      <c r="J75" s="4"/>
      <c r="K75" s="31"/>
    </row>
    <row r="76" spans="2:13" x14ac:dyDescent="0.3">
      <c r="B76" s="10" t="s">
        <v>669</v>
      </c>
      <c r="C76" s="11" t="s">
        <v>67</v>
      </c>
      <c r="D76" s="12">
        <v>9.9999999000000006</v>
      </c>
      <c r="E76" s="12">
        <v>10</v>
      </c>
      <c r="F76" s="12">
        <v>11.111110999999999</v>
      </c>
      <c r="G76" s="13">
        <f>+VLOOKUP(Tabla1103453454455456479120123[[#This Row],[ArtÃ­culo]],Tabla34[#All],3,0)</f>
        <v>6</v>
      </c>
      <c r="H76" s="14">
        <f>+Tabla1103453454455456479120123[[#This Row],[Costo]]*Tabla1103453454455456479120123[[#This Row],[Unidades]]</f>
        <v>66.666665999999992</v>
      </c>
      <c r="I76" s="4"/>
    </row>
    <row r="77" spans="2:13" x14ac:dyDescent="0.3">
      <c r="B77" s="10" t="s">
        <v>89</v>
      </c>
      <c r="C77" s="11" t="s">
        <v>67</v>
      </c>
      <c r="D77" s="12">
        <v>2</v>
      </c>
      <c r="E77" s="12">
        <v>0</v>
      </c>
      <c r="F77" s="12">
        <v>2</v>
      </c>
      <c r="G77" s="13">
        <f>+VLOOKUP(Tabla1103453454455456479120123[[#This Row],[ArtÃ­culo]],Tabla34[#All],3,0)</f>
        <v>2.4009999999999998</v>
      </c>
      <c r="H77" s="14">
        <f>+Tabla1103453454455456479120123[[#This Row],[Costo]]*Tabla1103453454455456479120123[[#This Row],[Unidades]]</f>
        <v>4.8019999999999996</v>
      </c>
      <c r="I77" s="4"/>
    </row>
    <row r="78" spans="2:13" x14ac:dyDescent="0.3">
      <c r="B78" s="16"/>
      <c r="C78" s="17"/>
      <c r="D78" s="17"/>
      <c r="E78" s="17"/>
      <c r="F78" s="17"/>
      <c r="G78" s="18"/>
      <c r="H78" s="18">
        <f>SUBTOTAL(109,Tabla1103453454455456479120123[Total costo])</f>
        <v>11302.569472690002</v>
      </c>
    </row>
    <row r="79" spans="2:13" x14ac:dyDescent="0.3">
      <c r="G79" s="4"/>
    </row>
    <row r="80" spans="2:13" x14ac:dyDescent="0.3">
      <c r="G80" s="4"/>
    </row>
    <row r="81" spans="2:13" ht="15.6" x14ac:dyDescent="0.3">
      <c r="B81" s="1" t="s">
        <v>287</v>
      </c>
      <c r="C81" s="2"/>
      <c r="D81" s="2"/>
      <c r="E81" s="3"/>
      <c r="F81" s="3"/>
      <c r="G81" s="3"/>
      <c r="H81" s="3"/>
      <c r="I81" s="4"/>
      <c r="J81" s="399" t="s">
        <v>0</v>
      </c>
      <c r="K81" s="399"/>
      <c r="M81" s="377" t="s">
        <v>1394</v>
      </c>
    </row>
    <row r="82" spans="2:13" x14ac:dyDescent="0.3">
      <c r="B82" s="16" t="s">
        <v>857</v>
      </c>
      <c r="C82" s="17" t="s">
        <v>895</v>
      </c>
      <c r="D82" s="17" t="s">
        <v>892</v>
      </c>
      <c r="E82" s="17" t="s">
        <v>893</v>
      </c>
      <c r="F82" s="17" t="s">
        <v>894</v>
      </c>
      <c r="G82" s="76" t="s">
        <v>4</v>
      </c>
      <c r="H82" s="76" t="s">
        <v>5</v>
      </c>
      <c r="J82" s="8" t="s">
        <v>6</v>
      </c>
      <c r="K82" s="9">
        <f>SUM(Tabla1103453454455456479120124[Total costo])</f>
        <v>11416.760816125901</v>
      </c>
      <c r="M82" s="346" t="s">
        <v>1712</v>
      </c>
    </row>
    <row r="83" spans="2:13" x14ac:dyDescent="0.3">
      <c r="B83" s="10" t="s">
        <v>315</v>
      </c>
      <c r="C83" s="11" t="s">
        <v>847</v>
      </c>
      <c r="D83" s="12">
        <v>0.33</v>
      </c>
      <c r="E83" s="12">
        <v>0</v>
      </c>
      <c r="F83" s="12">
        <v>0.33</v>
      </c>
      <c r="G83" s="13">
        <f>+VLOOKUP(Tabla1103453454455456479120124[[#This Row],[ArtÃ­culo]],Tabla34[#All],3,0)</f>
        <v>9017.9941012300005</v>
      </c>
      <c r="H83" s="14">
        <f>+Tabla1103453454455456479120124[[#This Row],[Costo]]*Tabla1103453454455456479120124[[#This Row],[Unidades]]</f>
        <v>2975.9380534059005</v>
      </c>
      <c r="J83" s="8" t="s">
        <v>12</v>
      </c>
      <c r="K83" s="15">
        <f>+K82*5%</f>
        <v>570.83804080629511</v>
      </c>
      <c r="M83" s="346"/>
    </row>
    <row r="84" spans="2:13" x14ac:dyDescent="0.3">
      <c r="B84" s="10" t="s">
        <v>106</v>
      </c>
      <c r="C84" s="11" t="s">
        <v>67</v>
      </c>
      <c r="D84" s="12">
        <v>100</v>
      </c>
      <c r="E84" s="12">
        <v>0</v>
      </c>
      <c r="F84" s="12">
        <v>100</v>
      </c>
      <c r="G84" s="13">
        <f>+VLOOKUP(Tabla1103453454455456479120124[[#This Row],[ArtÃ­culo]],Tabla34[#All],3,0)</f>
        <v>19.804166670000001</v>
      </c>
      <c r="H84" s="14">
        <f>+Tabla1103453454455456479120124[[#This Row],[Costo]]*Tabla1103453454455456479120124[[#This Row],[Unidades]]</f>
        <v>1980.416667</v>
      </c>
      <c r="J84" s="8" t="s">
        <v>13</v>
      </c>
      <c r="K84" s="15">
        <f>+K82+K83</f>
        <v>11987.598856932196</v>
      </c>
      <c r="M84" s="346" t="s">
        <v>1713</v>
      </c>
    </row>
    <row r="85" spans="2:13" x14ac:dyDescent="0.3">
      <c r="B85" s="10" t="s">
        <v>156</v>
      </c>
      <c r="C85" s="11" t="s">
        <v>847</v>
      </c>
      <c r="D85" s="12">
        <v>1</v>
      </c>
      <c r="E85" s="12">
        <v>0</v>
      </c>
      <c r="F85" s="12">
        <v>1</v>
      </c>
      <c r="G85" s="13">
        <f>+VLOOKUP(Tabla1103453454455456479120124[[#This Row],[ArtÃ­culo]],Tabla34[#All],3,0)</f>
        <v>3091.1246089000001</v>
      </c>
      <c r="H85" s="14">
        <f>+Tabla1103453454455456479120124[[#This Row],[Costo]]*Tabla1103453454455456479120124[[#This Row],[Unidades]]</f>
        <v>3091.1246089000001</v>
      </c>
      <c r="I85" s="4"/>
      <c r="J85" s="20" t="s">
        <v>44</v>
      </c>
      <c r="K85" s="21">
        <v>29000</v>
      </c>
      <c r="M85" s="346" t="s">
        <v>1714</v>
      </c>
    </row>
    <row r="86" spans="2:13" x14ac:dyDescent="0.3">
      <c r="B86" s="10" t="s">
        <v>451</v>
      </c>
      <c r="C86" s="11" t="s">
        <v>67</v>
      </c>
      <c r="D86" s="12">
        <v>20</v>
      </c>
      <c r="E86" s="12">
        <v>0</v>
      </c>
      <c r="F86" s="12">
        <v>20</v>
      </c>
      <c r="G86" s="13">
        <f>+VLOOKUP(Tabla1103453454455456479120124[[#This Row],[ArtÃ­culo]],Tabla34[#All],3,0)</f>
        <v>60.987499999999997</v>
      </c>
      <c r="H86" s="14">
        <f>+Tabla1103453454455456479120124[[#This Row],[Costo]]*Tabla1103453454455456479120124[[#This Row],[Unidades]]</f>
        <v>1219.75</v>
      </c>
      <c r="I86" s="4"/>
      <c r="J86" s="8" t="s">
        <v>15</v>
      </c>
      <c r="K86" s="15">
        <f>+K85/1.08*0.08</f>
        <v>2148.1481481481483</v>
      </c>
      <c r="M86" s="346" t="s">
        <v>1715</v>
      </c>
    </row>
    <row r="87" spans="2:13" x14ac:dyDescent="0.3">
      <c r="B87" s="10" t="s">
        <v>1194</v>
      </c>
      <c r="C87" s="11" t="s">
        <v>847</v>
      </c>
      <c r="D87" s="12">
        <v>1</v>
      </c>
      <c r="E87" s="12">
        <v>0</v>
      </c>
      <c r="F87" s="12">
        <v>1</v>
      </c>
      <c r="G87" s="13">
        <f>+VLOOKUP(Tabla1103453454455456479120124[[#This Row],[ArtÃ­culo]],Tabla34[#All],3,0)</f>
        <v>726.66666667000004</v>
      </c>
      <c r="H87" s="14">
        <f>+Tabla1103453454455456479120124[[#This Row],[Costo]]*Tabla1103453454455456479120124[[#This Row],[Unidades]]</f>
        <v>726.66666667000004</v>
      </c>
      <c r="I87" s="4"/>
      <c r="J87" s="8" t="s">
        <v>16</v>
      </c>
      <c r="K87" s="15">
        <f>+K85-K86</f>
        <v>26851.85185185185</v>
      </c>
      <c r="M87" s="346" t="s">
        <v>1716</v>
      </c>
    </row>
    <row r="88" spans="2:13" x14ac:dyDescent="0.3">
      <c r="B88" s="10" t="s">
        <v>683</v>
      </c>
      <c r="C88" s="11" t="s">
        <v>67</v>
      </c>
      <c r="D88" s="12">
        <v>39.999999899999999</v>
      </c>
      <c r="E88" s="12">
        <v>30</v>
      </c>
      <c r="F88" s="12">
        <v>57.142856999999999</v>
      </c>
      <c r="G88" s="13">
        <f>+VLOOKUP(Tabla1103453454455456479120124[[#This Row],[ArtÃ­culo]],Tabla34[#All],3,0)</f>
        <v>8.5</v>
      </c>
      <c r="H88" s="14">
        <f>+Tabla1103453454455456479120124[[#This Row],[Costo]]*Tabla1103453454455456479120124[[#This Row],[Unidades]]</f>
        <v>485.71428450000002</v>
      </c>
      <c r="I88" s="4"/>
      <c r="J88" s="8" t="s">
        <v>17</v>
      </c>
      <c r="K88" s="22">
        <f>+K84/K87</f>
        <v>0.446434716051268</v>
      </c>
      <c r="M88" s="346"/>
    </row>
    <row r="89" spans="2:13" x14ac:dyDescent="0.3">
      <c r="B89" s="10" t="s">
        <v>833</v>
      </c>
      <c r="C89" s="11" t="s">
        <v>67</v>
      </c>
      <c r="D89" s="12">
        <v>1</v>
      </c>
      <c r="E89" s="12">
        <v>0</v>
      </c>
      <c r="F89" s="12">
        <v>1</v>
      </c>
      <c r="G89" s="13">
        <f>+VLOOKUP(Tabla1103453454455456479120124[[#This Row],[ArtÃ­culo]],Tabla34[#All],3,0)</f>
        <v>307.5</v>
      </c>
      <c r="H89" s="14">
        <f>+Tabla1103453454455456479120124[[#This Row],[Costo]]*Tabla1103453454455456479120124[[#This Row],[Unidades]]</f>
        <v>307.5</v>
      </c>
      <c r="I89" s="4"/>
      <c r="J89" s="8" t="s">
        <v>18</v>
      </c>
      <c r="K89" s="23">
        <f>+K87-K84</f>
        <v>14864.252994919654</v>
      </c>
      <c r="M89" s="377" t="s">
        <v>1377</v>
      </c>
    </row>
    <row r="90" spans="2:13" x14ac:dyDescent="0.3">
      <c r="B90" s="10" t="s">
        <v>321</v>
      </c>
      <c r="C90" s="11" t="s">
        <v>67</v>
      </c>
      <c r="D90" s="12">
        <v>5</v>
      </c>
      <c r="E90" s="12">
        <v>0</v>
      </c>
      <c r="F90" s="12">
        <v>5</v>
      </c>
      <c r="G90" s="13">
        <f>+VLOOKUP(Tabla1103453454455456479120124[[#This Row],[ArtÃ­culo]],Tabla34[#All],3,0)</f>
        <v>12</v>
      </c>
      <c r="H90" s="14">
        <f>+Tabla1103453454455456479120124[[#This Row],[Costo]]*Tabla1103453454455456479120124[[#This Row],[Unidades]]</f>
        <v>60</v>
      </c>
      <c r="I90" s="4"/>
      <c r="J90" s="8" t="s">
        <v>19</v>
      </c>
      <c r="K90" s="25">
        <f>+K89/K84</f>
        <v>1.2399691691655117</v>
      </c>
      <c r="M90" s="346" t="s">
        <v>1717</v>
      </c>
    </row>
    <row r="91" spans="2:13" x14ac:dyDescent="0.3">
      <c r="B91" s="10" t="s">
        <v>1242</v>
      </c>
      <c r="C91" s="11" t="s">
        <v>67</v>
      </c>
      <c r="D91" s="12">
        <v>10</v>
      </c>
      <c r="E91" s="12">
        <v>0</v>
      </c>
      <c r="F91" s="12">
        <v>10</v>
      </c>
      <c r="G91" s="13">
        <f>+VLOOKUP(Tabla1103453454455456479120124[[#This Row],[ArtÃ­culo]],Tabla34[#All],3,0)</f>
        <v>21.997626329999999</v>
      </c>
      <c r="H91" s="14">
        <f>+Tabla1103453454455456479120124[[#This Row],[Costo]]*Tabla1103453454455456479120124[[#This Row],[Unidades]]</f>
        <v>219.9762633</v>
      </c>
      <c r="I91" s="4"/>
      <c r="J91" s="4"/>
      <c r="K91" s="31"/>
      <c r="M91" s="346" t="s">
        <v>1718</v>
      </c>
    </row>
    <row r="92" spans="2:13" x14ac:dyDescent="0.3">
      <c r="B92" s="10" t="s">
        <v>141</v>
      </c>
      <c r="C92" s="11" t="s">
        <v>67</v>
      </c>
      <c r="D92" s="12">
        <v>15</v>
      </c>
      <c r="E92" s="12">
        <v>0</v>
      </c>
      <c r="F92" s="12">
        <v>15</v>
      </c>
      <c r="G92" s="13">
        <f>+VLOOKUP(Tabla1103453454455456479120124[[#This Row],[ArtÃ­culo]],Tabla34[#All],3,0)</f>
        <v>18.392951490000002</v>
      </c>
      <c r="H92" s="14">
        <f>+Tabla1103453454455456479120124[[#This Row],[Costo]]*Tabla1103453454455456479120124[[#This Row],[Unidades]]</f>
        <v>275.89427235000005</v>
      </c>
      <c r="I92" s="4"/>
      <c r="J92" s="4"/>
      <c r="K92" s="31"/>
      <c r="M92" s="346" t="s">
        <v>1719</v>
      </c>
    </row>
    <row r="93" spans="2:13" x14ac:dyDescent="0.3">
      <c r="B93" s="10" t="s">
        <v>1091</v>
      </c>
      <c r="C93" s="11" t="s">
        <v>67</v>
      </c>
      <c r="D93" s="12">
        <v>1</v>
      </c>
      <c r="E93" s="12">
        <v>0</v>
      </c>
      <c r="F93" s="12">
        <v>1</v>
      </c>
      <c r="G93" s="13">
        <f>+VLOOKUP(Tabla1103453454455456479120124[[#This Row],[ArtÃ­culo]],Tabla34[#All],3,0)</f>
        <v>73.78</v>
      </c>
      <c r="H93" s="14">
        <f>+Tabla1103453454455456479120124[[#This Row],[Costo]]*Tabla1103453454455456479120124[[#This Row],[Unidades]]</f>
        <v>73.78</v>
      </c>
      <c r="I93" s="4"/>
      <c r="J93" s="4"/>
      <c r="K93" s="31"/>
    </row>
    <row r="94" spans="2:13" x14ac:dyDescent="0.3">
      <c r="B94" s="16"/>
      <c r="C94" s="17"/>
      <c r="D94" s="17"/>
      <c r="E94" s="17"/>
      <c r="F94" s="17"/>
      <c r="G94" s="18"/>
      <c r="H94" s="18">
        <f>SUBTOTAL(109,Tabla1103453454455456479120124[Total costo])</f>
        <v>11416.760816125901</v>
      </c>
      <c r="I94" s="4"/>
      <c r="J94" s="4"/>
      <c r="K94" s="31"/>
    </row>
    <row r="95" spans="2:13" x14ac:dyDescent="0.3">
      <c r="G95" s="4"/>
      <c r="H95" s="4"/>
      <c r="I95" s="31"/>
    </row>
    <row r="96" spans="2:13" x14ac:dyDescent="0.3">
      <c r="G96" s="4"/>
    </row>
    <row r="97" spans="2:13" x14ac:dyDescent="0.3">
      <c r="B97" s="1" t="s">
        <v>288</v>
      </c>
      <c r="C97" s="2"/>
      <c r="D97" s="2"/>
      <c r="E97" s="3"/>
      <c r="F97" s="3"/>
      <c r="G97" s="3"/>
      <c r="H97" s="3"/>
      <c r="I97" s="4"/>
      <c r="J97" s="399" t="s">
        <v>0</v>
      </c>
      <c r="K97" s="399"/>
    </row>
    <row r="98" spans="2:13" ht="15.6" x14ac:dyDescent="0.3">
      <c r="B98" t="s">
        <v>857</v>
      </c>
      <c r="C98" t="s">
        <v>895</v>
      </c>
      <c r="D98" t="s">
        <v>892</v>
      </c>
      <c r="E98" t="s">
        <v>893</v>
      </c>
      <c r="F98" t="s">
        <v>894</v>
      </c>
      <c r="G98" t="s">
        <v>901</v>
      </c>
      <c r="H98" t="s">
        <v>902</v>
      </c>
      <c r="J98" s="8" t="s">
        <v>6</v>
      </c>
      <c r="K98" s="9">
        <f>SUM(Tabla1103453454455456479120125[Coste LÃ­nea])</f>
        <v>3797.6826445800002</v>
      </c>
      <c r="M98" s="377" t="s">
        <v>1394</v>
      </c>
    </row>
    <row r="99" spans="2:13" x14ac:dyDescent="0.3">
      <c r="B99" s="10" t="s">
        <v>215</v>
      </c>
      <c r="C99" s="11" t="s">
        <v>67</v>
      </c>
      <c r="D99" s="12">
        <v>100</v>
      </c>
      <c r="E99" s="12">
        <v>0</v>
      </c>
      <c r="F99" s="12">
        <v>100</v>
      </c>
      <c r="G99" s="13">
        <f>+VLOOKUP(Tabla1103453454455456479120125[[#This Row],[ArtÃ­culo]],Tabla34[#All],3,0)</f>
        <v>9.4001596599999999</v>
      </c>
      <c r="H99" s="14">
        <f>+Tabla1103453454455456479120125[[#This Row],[Coste Componente]]*Tabla1103453454455456479120125[[#This Row],[Unidades Netas]]</f>
        <v>940.01596599999993</v>
      </c>
      <c r="J99" s="8" t="s">
        <v>12</v>
      </c>
      <c r="K99" s="15">
        <f>+K98*5%</f>
        <v>189.88413222900002</v>
      </c>
      <c r="M99" s="346" t="s">
        <v>1720</v>
      </c>
    </row>
    <row r="100" spans="2:13" x14ac:dyDescent="0.3">
      <c r="B100" s="10" t="s">
        <v>245</v>
      </c>
      <c r="C100" s="11" t="s">
        <v>67</v>
      </c>
      <c r="D100" s="12">
        <v>150</v>
      </c>
      <c r="E100" s="12">
        <v>0</v>
      </c>
      <c r="F100" s="12">
        <v>150</v>
      </c>
      <c r="G100" s="13">
        <f>+VLOOKUP(Tabla1103453454455456479120125[[#This Row],[ArtÃ­culo]],Tabla34[#All],3,0)</f>
        <v>8.8511111099999997</v>
      </c>
      <c r="H100" s="14">
        <f>+Tabla1103453454455456479120125[[#This Row],[Coste Componente]]*Tabla1103453454455456479120125[[#This Row],[Unidades Netas]]</f>
        <v>1327.6666665</v>
      </c>
      <c r="J100" s="8" t="s">
        <v>13</v>
      </c>
      <c r="K100" s="15">
        <f>+K98+K99</f>
        <v>3987.5667768090002</v>
      </c>
    </row>
    <row r="101" spans="2:13" x14ac:dyDescent="0.3">
      <c r="B101" s="10" t="s">
        <v>677</v>
      </c>
      <c r="C101" s="11" t="s">
        <v>67</v>
      </c>
      <c r="D101" s="12">
        <v>119.999999</v>
      </c>
      <c r="E101" s="12">
        <v>30</v>
      </c>
      <c r="F101" s="12">
        <v>171.42857000000001</v>
      </c>
      <c r="G101" s="13">
        <f>+VLOOKUP(Tabla1103453454455456479120125[[#This Row],[ArtÃ­culo]],Tabla34[#All],3,0)</f>
        <v>2.5</v>
      </c>
      <c r="H101" s="14">
        <f>+Tabla1103453454455456479120125[[#This Row],[Coste Componente]]*Tabla1103453454455456479120125[[#This Row],[Unidades Netas]]</f>
        <v>299.99999750000001</v>
      </c>
      <c r="J101" s="20" t="s">
        <v>44</v>
      </c>
      <c r="K101" s="21">
        <v>27000</v>
      </c>
      <c r="M101" s="377" t="s">
        <v>1377</v>
      </c>
    </row>
    <row r="102" spans="2:13" x14ac:dyDescent="0.3">
      <c r="B102" s="10" t="s">
        <v>711</v>
      </c>
      <c r="C102" s="11" t="s">
        <v>67</v>
      </c>
      <c r="D102" s="12">
        <v>29.9999988</v>
      </c>
      <c r="E102" s="12">
        <v>10</v>
      </c>
      <c r="F102" s="12">
        <v>33.333331999999999</v>
      </c>
      <c r="G102" s="13">
        <f>+VLOOKUP(Tabla1103453454455456479120125[[#This Row],[ArtÃ­culo]],Tabla34[#All],3,0)</f>
        <v>12.5</v>
      </c>
      <c r="H102" s="14">
        <f>+Tabla1103453454455456479120125[[#This Row],[Coste Componente]]*Tabla1103453454455456479120125[[#This Row],[Unidades Netas]]</f>
        <v>374.99998499999998</v>
      </c>
      <c r="J102" s="8" t="s">
        <v>15</v>
      </c>
      <c r="K102" s="15">
        <f>+K101/1.08*0.08</f>
        <v>2000</v>
      </c>
      <c r="M102" s="346" t="s">
        <v>1721</v>
      </c>
    </row>
    <row r="103" spans="2:13" x14ac:dyDescent="0.3">
      <c r="B103" s="10" t="s">
        <v>832</v>
      </c>
      <c r="C103" s="11" t="s">
        <v>67</v>
      </c>
      <c r="D103" s="12">
        <v>100.0000046</v>
      </c>
      <c r="E103" s="12">
        <v>38</v>
      </c>
      <c r="F103" s="12">
        <v>161.29033000000001</v>
      </c>
      <c r="G103" s="13">
        <f>+VLOOKUP(Tabla1103453454455456479120125[[#This Row],[ArtÃ­culo]],Tabla34[#All],3,0)</f>
        <v>4.8</v>
      </c>
      <c r="H103" s="14">
        <f>+Tabla1103453454455456479120125[[#This Row],[Coste Componente]]*Tabla1103453454455456479120125[[#This Row],[Unidades Netas]]</f>
        <v>480.00002207999995</v>
      </c>
      <c r="J103" s="8" t="s">
        <v>16</v>
      </c>
      <c r="K103" s="15">
        <f>+K101-K102</f>
        <v>25000</v>
      </c>
      <c r="M103" s="346" t="s">
        <v>1722</v>
      </c>
    </row>
    <row r="104" spans="2:13" x14ac:dyDescent="0.3">
      <c r="B104" s="10" t="s">
        <v>725</v>
      </c>
      <c r="C104" s="11" t="s">
        <v>67</v>
      </c>
      <c r="D104" s="12">
        <v>100.000005</v>
      </c>
      <c r="E104" s="12">
        <v>30</v>
      </c>
      <c r="F104" s="12">
        <v>142.85714999999999</v>
      </c>
      <c r="G104" s="13">
        <f>+VLOOKUP(Tabla1103453454455456479120125[[#This Row],[ArtÃ­culo]],Tabla34[#All],3,0)</f>
        <v>2.5</v>
      </c>
      <c r="H104" s="14">
        <f>+Tabla1103453454455456479120125[[#This Row],[Coste Componente]]*Tabla1103453454455456479120125[[#This Row],[Unidades Netas]]</f>
        <v>250.0000125</v>
      </c>
      <c r="J104" s="8" t="s">
        <v>17</v>
      </c>
      <c r="K104" s="22">
        <f>+K100/K103</f>
        <v>0.15950267107236002</v>
      </c>
    </row>
    <row r="105" spans="2:13" x14ac:dyDescent="0.3">
      <c r="B105" s="10" t="s">
        <v>923</v>
      </c>
      <c r="C105" s="11" t="s">
        <v>67</v>
      </c>
      <c r="D105" s="12">
        <v>4.9999998000000003</v>
      </c>
      <c r="E105" s="12">
        <v>40</v>
      </c>
      <c r="F105" s="12">
        <v>8.3333329999999997</v>
      </c>
      <c r="G105" s="13">
        <f>+VLOOKUP(Tabla1103453454455456479120125[[#This Row],[ArtÃ­culo]],Tabla34[#All],3,0)</f>
        <v>25</v>
      </c>
      <c r="H105" s="14">
        <f>+Tabla1103453454455456479120125[[#This Row],[Coste Componente]]*Tabla1103453454455456479120125[[#This Row],[Unidades Netas]]</f>
        <v>124.99999500000001</v>
      </c>
      <c r="J105" s="8" t="s">
        <v>18</v>
      </c>
      <c r="K105" s="23">
        <f>+K103-K100</f>
        <v>21012.433223191001</v>
      </c>
    </row>
    <row r="106" spans="2:13" x14ac:dyDescent="0.3">
      <c r="B106" s="16"/>
      <c r="C106" s="17"/>
      <c r="D106" s="17"/>
      <c r="E106" s="17"/>
      <c r="F106" s="17"/>
      <c r="G106" s="18"/>
      <c r="H106" s="18">
        <f>SUBTOTAL(109,Tabla1103453454455456479120125[Coste LÃ­nea])</f>
        <v>3797.6826445800002</v>
      </c>
      <c r="J106" s="8" t="s">
        <v>19</v>
      </c>
      <c r="K106" s="25">
        <f>+K105/K100</f>
        <v>5.2694874842963593</v>
      </c>
    </row>
    <row r="109" spans="2:13" ht="15.6" x14ac:dyDescent="0.3">
      <c r="B109" s="1" t="s">
        <v>879</v>
      </c>
      <c r="C109" s="2"/>
      <c r="D109" s="2"/>
      <c r="E109" s="3"/>
      <c r="F109" s="3"/>
      <c r="G109" s="3"/>
      <c r="H109" s="3"/>
      <c r="J109" s="399" t="s">
        <v>0</v>
      </c>
      <c r="K109" s="399"/>
      <c r="M109" s="377" t="s">
        <v>1394</v>
      </c>
    </row>
    <row r="110" spans="2:13" x14ac:dyDescent="0.3">
      <c r="B110" t="s">
        <v>857</v>
      </c>
      <c r="C110" t="s">
        <v>895</v>
      </c>
      <c r="D110" t="s">
        <v>892</v>
      </c>
      <c r="E110" t="s">
        <v>893</v>
      </c>
      <c r="F110" t="s">
        <v>894</v>
      </c>
      <c r="G110" t="s">
        <v>901</v>
      </c>
      <c r="H110" t="s">
        <v>902</v>
      </c>
      <c r="J110" s="8" t="s">
        <v>6</v>
      </c>
      <c r="K110" s="9">
        <f>SUM(Tabla1103453454455456479120125258[Coste LÃ­nea])</f>
        <v>8266.5594656899993</v>
      </c>
      <c r="M110" s="346" t="s">
        <v>1723</v>
      </c>
    </row>
    <row r="111" spans="2:13" x14ac:dyDescent="0.3">
      <c r="B111" s="10" t="s">
        <v>309</v>
      </c>
      <c r="C111" s="11" t="s">
        <v>847</v>
      </c>
      <c r="D111" s="12">
        <v>2</v>
      </c>
      <c r="E111" s="12">
        <v>0</v>
      </c>
      <c r="F111" s="12">
        <v>2</v>
      </c>
      <c r="G111" s="13">
        <f>+VLOOKUP(Tabla1103453454455456479120125258[[#This Row],[ArtÃ­culo]],Tabla34[#All],3,0)</f>
        <v>1892.5</v>
      </c>
      <c r="H111" s="14">
        <f>+Tabla1103453454455456479120125258[[#This Row],[Coste Componente]]*Tabla1103453454455456479120125258[[#This Row],[Unidades Netas]]</f>
        <v>3785</v>
      </c>
      <c r="J111" s="8" t="s">
        <v>12</v>
      </c>
      <c r="K111" s="15">
        <f>+K110*5%</f>
        <v>413.32797328449999</v>
      </c>
      <c r="M111" s="346" t="s">
        <v>1724</v>
      </c>
    </row>
    <row r="112" spans="2:13" x14ac:dyDescent="0.3">
      <c r="B112" s="10" t="s">
        <v>107</v>
      </c>
      <c r="C112" s="11" t="s">
        <v>67</v>
      </c>
      <c r="D112" s="12">
        <v>30</v>
      </c>
      <c r="E112" s="12">
        <v>0</v>
      </c>
      <c r="F112" s="12">
        <v>30</v>
      </c>
      <c r="G112" s="13">
        <f>+VLOOKUP(Tabla1103453454455456479120125258[[#This Row],[ArtÃ­culo]],Tabla34[#All],3,0)</f>
        <v>19.747499999999999</v>
      </c>
      <c r="H112" s="14">
        <f>+Tabla1103453454455456479120125258[[#This Row],[Coste Componente]]*Tabla1103453454455456479120125258[[#This Row],[Unidades Netas]]</f>
        <v>592.42499999999995</v>
      </c>
      <c r="J112" s="8" t="s">
        <v>13</v>
      </c>
      <c r="K112" s="15">
        <f>+K110+K111</f>
        <v>8679.8874389744997</v>
      </c>
      <c r="M112" s="346" t="s">
        <v>1725</v>
      </c>
    </row>
    <row r="113" spans="2:13" x14ac:dyDescent="0.3">
      <c r="B113" s="10" t="s">
        <v>711</v>
      </c>
      <c r="C113" s="11" t="s">
        <v>67</v>
      </c>
      <c r="D113" s="12">
        <v>29.9999988</v>
      </c>
      <c r="E113" s="12">
        <v>10</v>
      </c>
      <c r="F113" s="12">
        <v>33.333331999999999</v>
      </c>
      <c r="G113" s="13">
        <f>+VLOOKUP(Tabla1103453454455456479120125258[[#This Row],[ArtÃ­culo]],Tabla34[#All],3,0)</f>
        <v>12.5</v>
      </c>
      <c r="H113" s="14">
        <f>+Tabla1103453454455456479120125258[[#This Row],[Coste Componente]]*Tabla1103453454455456479120125258[[#This Row],[Unidades Netas]]</f>
        <v>374.99998499999998</v>
      </c>
      <c r="J113" s="20" t="s">
        <v>44</v>
      </c>
      <c r="K113" s="21">
        <v>28000</v>
      </c>
      <c r="M113" s="346" t="s">
        <v>1726</v>
      </c>
    </row>
    <row r="114" spans="2:13" x14ac:dyDescent="0.3">
      <c r="B114" s="10" t="s">
        <v>724</v>
      </c>
      <c r="C114" s="11" t="s">
        <v>67</v>
      </c>
      <c r="D114" s="12">
        <v>100</v>
      </c>
      <c r="E114" s="12">
        <v>0</v>
      </c>
      <c r="F114" s="12">
        <v>100</v>
      </c>
      <c r="G114" s="13">
        <f>+VLOOKUP(Tabla1103453454455456479120125258[[#This Row],[ArtÃ­culo]],Tabla34[#All],3,0)</f>
        <v>17.88</v>
      </c>
      <c r="H114" s="14">
        <f>+Tabla1103453454455456479120125258[[#This Row],[Coste Componente]]*Tabla1103453454455456479120125258[[#This Row],[Unidades Netas]]</f>
        <v>1788</v>
      </c>
      <c r="J114" s="8" t="s">
        <v>15</v>
      </c>
      <c r="K114" s="15">
        <f>+K113/1.08*0.08</f>
        <v>2074.0740740740739</v>
      </c>
      <c r="M114" s="346" t="s">
        <v>1727</v>
      </c>
    </row>
    <row r="115" spans="2:13" x14ac:dyDescent="0.3">
      <c r="B115" s="10" t="s">
        <v>213</v>
      </c>
      <c r="C115" s="11" t="s">
        <v>67</v>
      </c>
      <c r="D115" s="12">
        <v>20</v>
      </c>
      <c r="E115" s="12">
        <v>0</v>
      </c>
      <c r="F115" s="12">
        <v>20</v>
      </c>
      <c r="G115" s="13">
        <f>+VLOOKUP(Tabla1103453454455456479120125258[[#This Row],[ArtÃ­culo]],Tabla34[#All],3,0)</f>
        <v>18.571208330000001</v>
      </c>
      <c r="H115" s="14">
        <f>+Tabla1103453454455456479120125258[[#This Row],[Coste Componente]]*Tabla1103453454455456479120125258[[#This Row],[Unidades Netas]]</f>
        <v>371.42416660000004</v>
      </c>
      <c r="J115" s="8" t="s">
        <v>16</v>
      </c>
      <c r="K115" s="15">
        <f>+K113-K114</f>
        <v>25925.925925925927</v>
      </c>
      <c r="M115" s="346"/>
    </row>
    <row r="116" spans="2:13" x14ac:dyDescent="0.3">
      <c r="B116" s="10" t="s">
        <v>783</v>
      </c>
      <c r="C116" s="11" t="s">
        <v>67</v>
      </c>
      <c r="D116" s="12">
        <v>1</v>
      </c>
      <c r="E116" s="12">
        <v>0</v>
      </c>
      <c r="F116" s="12">
        <v>1</v>
      </c>
      <c r="G116" s="13">
        <f>+VLOOKUP(Tabla1103453454455456479120125258[[#This Row],[ArtÃ­culo]],Tabla34[#All],3,0)</f>
        <v>57.990152889999997</v>
      </c>
      <c r="H116" s="14">
        <f>+Tabla1103453454455456479120125258[[#This Row],[Coste Componente]]*Tabla1103453454455456479120125258[[#This Row],[Unidades Netas]]</f>
        <v>57.990152889999997</v>
      </c>
      <c r="J116" s="8" t="s">
        <v>17</v>
      </c>
      <c r="K116" s="22">
        <f>+K112/K115</f>
        <v>0.33479565836044495</v>
      </c>
      <c r="M116" s="377" t="s">
        <v>1377</v>
      </c>
    </row>
    <row r="117" spans="2:13" x14ac:dyDescent="0.3">
      <c r="B117" s="10" t="s">
        <v>923</v>
      </c>
      <c r="C117" s="11" t="s">
        <v>67</v>
      </c>
      <c r="D117" s="12">
        <v>4.9999998000000003</v>
      </c>
      <c r="E117" s="12">
        <v>40</v>
      </c>
      <c r="F117" s="12">
        <v>8.3333329999999997</v>
      </c>
      <c r="G117" s="13">
        <f>+VLOOKUP(Tabla1103453454455456479120125258[[#This Row],[ArtÃ­culo]],Tabla34[#All],3,0)</f>
        <v>25</v>
      </c>
      <c r="H117" s="14">
        <f>+Tabla1103453454455456479120125258[[#This Row],[Coste Componente]]*Tabla1103453454455456479120125258[[#This Row],[Unidades Netas]]</f>
        <v>124.99999500000001</v>
      </c>
      <c r="J117" s="8" t="s">
        <v>18</v>
      </c>
      <c r="K117" s="23">
        <f>+K115-K112</f>
        <v>17246.038486951427</v>
      </c>
      <c r="M117" s="346" t="s">
        <v>1728</v>
      </c>
    </row>
    <row r="118" spans="2:13" x14ac:dyDescent="0.3">
      <c r="B118" s="10" t="s">
        <v>677</v>
      </c>
      <c r="C118" s="11" t="s">
        <v>67</v>
      </c>
      <c r="D118" s="12">
        <v>9.9999997999999994</v>
      </c>
      <c r="E118" s="12">
        <v>30</v>
      </c>
      <c r="F118" s="12">
        <v>14.285714</v>
      </c>
      <c r="G118" s="13">
        <f>+VLOOKUP(Tabla1103453454455456479120125258[[#This Row],[ArtÃ­culo]],Tabla34[#All],3,0)</f>
        <v>2.5</v>
      </c>
      <c r="H118" s="14">
        <f>+Tabla1103453454455456479120125258[[#This Row],[Coste Componente]]*Tabla1103453454455456479120125258[[#This Row],[Unidades Netas]]</f>
        <v>24.999999499999998</v>
      </c>
      <c r="J118" s="8" t="s">
        <v>19</v>
      </c>
      <c r="K118" s="25">
        <f>+K117/K112</f>
        <v>1.9868965592241585</v>
      </c>
      <c r="M118" s="346" t="s">
        <v>1729</v>
      </c>
    </row>
    <row r="119" spans="2:13" x14ac:dyDescent="0.3">
      <c r="B119" s="10" t="s">
        <v>749</v>
      </c>
      <c r="C119" s="11" t="s">
        <v>67</v>
      </c>
      <c r="D119" s="12">
        <v>5</v>
      </c>
      <c r="E119" s="12">
        <v>0</v>
      </c>
      <c r="F119" s="12">
        <v>5</v>
      </c>
      <c r="G119" s="13">
        <f>+VLOOKUP(Tabla1103453454455456479120125258[[#This Row],[ArtÃ­culo]],Tabla34[#All],3,0)</f>
        <v>7.7007000000000003</v>
      </c>
      <c r="H119" s="14">
        <f>+Tabla1103453454455456479120125258[[#This Row],[Coste Componente]]*Tabla1103453454455456479120125258[[#This Row],[Unidades Netas]]</f>
        <v>38.503500000000003</v>
      </c>
      <c r="J119" s="4"/>
      <c r="K119" s="31"/>
      <c r="M119" s="346" t="s">
        <v>1730</v>
      </c>
    </row>
    <row r="120" spans="2:13" x14ac:dyDescent="0.3">
      <c r="B120" s="10" t="s">
        <v>85</v>
      </c>
      <c r="C120" s="11" t="s">
        <v>67</v>
      </c>
      <c r="D120" s="12">
        <v>10</v>
      </c>
      <c r="E120" s="12">
        <v>0</v>
      </c>
      <c r="F120" s="12">
        <v>10</v>
      </c>
      <c r="G120" s="13">
        <f>+VLOOKUP(Tabla1103453454455456479120125258[[#This Row],[ArtÃ­culo]],Tabla34[#All],3,0)</f>
        <v>4.8816666700000004</v>
      </c>
      <c r="H120" s="14">
        <f>+Tabla1103453454455456479120125258[[#This Row],[Coste Componente]]*Tabla1103453454455456479120125258[[#This Row],[Unidades Netas]]</f>
        <v>48.816666700000006</v>
      </c>
      <c r="J120" s="4"/>
      <c r="K120" s="31"/>
      <c r="M120" s="346"/>
    </row>
    <row r="121" spans="2:13" x14ac:dyDescent="0.3">
      <c r="B121" s="10" t="s">
        <v>734</v>
      </c>
      <c r="C121" s="11" t="s">
        <v>67</v>
      </c>
      <c r="D121" s="12">
        <v>15</v>
      </c>
      <c r="E121" s="12">
        <v>0</v>
      </c>
      <c r="F121" s="12">
        <v>15</v>
      </c>
      <c r="G121" s="13">
        <f>+VLOOKUP(Tabla1103453454455456479120125258[[#This Row],[ArtÃ­culo]],Tabla34[#All],3,0)</f>
        <v>60</v>
      </c>
      <c r="H121" s="14">
        <f>+Tabla1103453454455456479120125258[[#This Row],[Coste Componente]]*Tabla1103453454455456479120125258[[#This Row],[Unidades Netas]]</f>
        <v>900</v>
      </c>
    </row>
    <row r="122" spans="2:13" x14ac:dyDescent="0.3">
      <c r="B122" s="10" t="s">
        <v>949</v>
      </c>
      <c r="C122" s="11" t="s">
        <v>605</v>
      </c>
      <c r="D122" s="46">
        <v>0.1</v>
      </c>
      <c r="E122" s="12">
        <v>0</v>
      </c>
      <c r="F122" s="12">
        <v>0.1</v>
      </c>
      <c r="G122" s="13">
        <f>+VLOOKUP(Tabla1103453454455456479120125258[[#This Row],[ArtÃ­culo]],Tabla34[#All],3,0)</f>
        <v>1594</v>
      </c>
      <c r="H122" s="14">
        <f>+Tabla1103453454455456479120125258[[#This Row],[Coste Componente]]*Tabla1103453454455456479120125258[[#This Row],[Unidades Netas]]</f>
        <v>159.4</v>
      </c>
    </row>
    <row r="123" spans="2:13" x14ac:dyDescent="0.3">
      <c r="B123" s="16"/>
      <c r="C123" s="17"/>
      <c r="D123" s="17"/>
      <c r="E123" s="17"/>
      <c r="F123" s="17"/>
      <c r="G123" s="18"/>
      <c r="H123" s="18">
        <f>SUBTOTAL(109,Tabla1103453454455456479120125258[Coste LÃ­nea])</f>
        <v>8266.5594656899993</v>
      </c>
    </row>
    <row r="126" spans="2:13" ht="15.6" x14ac:dyDescent="0.3">
      <c r="B126" s="1" t="s">
        <v>289</v>
      </c>
      <c r="C126" s="2"/>
      <c r="D126" s="2"/>
      <c r="E126" s="3"/>
      <c r="F126" s="3"/>
      <c r="G126" s="3"/>
      <c r="H126" s="3"/>
      <c r="J126" s="399" t="s">
        <v>0</v>
      </c>
      <c r="K126" s="399"/>
      <c r="M126" s="377" t="s">
        <v>1394</v>
      </c>
    </row>
    <row r="127" spans="2:13" x14ac:dyDescent="0.3">
      <c r="B127" t="s">
        <v>857</v>
      </c>
      <c r="C127" t="s">
        <v>895</v>
      </c>
      <c r="D127" t="s">
        <v>892</v>
      </c>
      <c r="E127" t="s">
        <v>893</v>
      </c>
      <c r="F127" t="s">
        <v>894</v>
      </c>
      <c r="G127" t="s">
        <v>901</v>
      </c>
      <c r="H127" t="s">
        <v>902</v>
      </c>
      <c r="J127" s="8" t="s">
        <v>6</v>
      </c>
      <c r="K127" s="9">
        <f>SUM(Tabla1103453454455456479120125258259[Coste LÃ­nea])</f>
        <v>4139.1906865999999</v>
      </c>
      <c r="M127" s="346" t="s">
        <v>1731</v>
      </c>
    </row>
    <row r="128" spans="2:13" x14ac:dyDescent="0.3">
      <c r="B128" s="10" t="s">
        <v>283</v>
      </c>
      <c r="C128" s="11" t="s">
        <v>847</v>
      </c>
      <c r="D128" s="12">
        <v>5</v>
      </c>
      <c r="E128" s="12">
        <v>0</v>
      </c>
      <c r="F128" s="12">
        <v>5</v>
      </c>
      <c r="G128" s="13">
        <f>+VLOOKUP(Tabla1103453454455456479120125258259[[#This Row],[ArtÃ­culo]],Tabla34[#All],3,0)</f>
        <v>272.31950964999999</v>
      </c>
      <c r="H128" s="14">
        <f>+Tabla1103453454455456479120125258259[[#This Row],[Coste Componente]]*Tabla1103453454455456479120125258259[[#This Row],[Unidades]]</f>
        <v>1361.5975482499998</v>
      </c>
      <c r="J128" s="8" t="s">
        <v>12</v>
      </c>
      <c r="K128" s="15">
        <f>+K127*5%</f>
        <v>206.95953433</v>
      </c>
      <c r="M128" s="346" t="s">
        <v>1732</v>
      </c>
    </row>
    <row r="129" spans="2:13" x14ac:dyDescent="0.3">
      <c r="B129" s="10" t="s">
        <v>830</v>
      </c>
      <c r="C129" s="11" t="s">
        <v>67</v>
      </c>
      <c r="D129" s="12">
        <v>20</v>
      </c>
      <c r="E129" s="12">
        <v>0</v>
      </c>
      <c r="F129" s="12">
        <v>20</v>
      </c>
      <c r="G129" s="13">
        <f>+VLOOKUP(Tabla1103453454455456479120125258259[[#This Row],[ArtÃ­culo]],Tabla34[#All],3,0)</f>
        <v>31.5345288</v>
      </c>
      <c r="H129" s="14">
        <f>+Tabla1103453454455456479120125258259[[#This Row],[Coste Componente]]*Tabla1103453454455456479120125258259[[#This Row],[Unidades]]</f>
        <v>630.69057599999996</v>
      </c>
      <c r="J129" s="8" t="s">
        <v>13</v>
      </c>
      <c r="K129" s="15">
        <f>+K127+K128</f>
        <v>4346.1502209299997</v>
      </c>
      <c r="M129" s="346"/>
    </row>
    <row r="130" spans="2:13" x14ac:dyDescent="0.3">
      <c r="B130" s="10" t="s">
        <v>213</v>
      </c>
      <c r="C130" s="11" t="s">
        <v>67</v>
      </c>
      <c r="D130" s="12">
        <v>40</v>
      </c>
      <c r="E130" s="12">
        <v>0</v>
      </c>
      <c r="F130" s="12">
        <v>40</v>
      </c>
      <c r="G130" s="13">
        <f>+VLOOKUP(Tabla1103453454455456479120125258259[[#This Row],[ArtÃ­culo]],Tabla34[#All],3,0)</f>
        <v>18.571208330000001</v>
      </c>
      <c r="H130" s="14">
        <f>+Tabla1103453454455456479120125258259[[#This Row],[Coste Componente]]*Tabla1103453454455456479120125258259[[#This Row],[Unidades]]</f>
        <v>742.84833320000007</v>
      </c>
      <c r="J130" s="20" t="s">
        <v>44</v>
      </c>
      <c r="K130" s="21">
        <v>29000</v>
      </c>
      <c r="M130" s="346"/>
    </row>
    <row r="131" spans="2:13" x14ac:dyDescent="0.3">
      <c r="B131" s="10" t="s">
        <v>734</v>
      </c>
      <c r="C131" s="11" t="s">
        <v>67</v>
      </c>
      <c r="D131" s="12">
        <v>10</v>
      </c>
      <c r="E131" s="12">
        <v>0</v>
      </c>
      <c r="F131" s="12">
        <v>10</v>
      </c>
      <c r="G131" s="13">
        <f>+VLOOKUP(Tabla1103453454455456479120125258259[[#This Row],[ArtÃ­culo]],Tabla34[#All],3,0)</f>
        <v>60</v>
      </c>
      <c r="H131" s="14">
        <f>+Tabla1103453454455456479120125258259[[#This Row],[Coste Componente]]*Tabla1103453454455456479120125258259[[#This Row],[Unidades]]</f>
        <v>600</v>
      </c>
      <c r="J131" s="8" t="s">
        <v>15</v>
      </c>
      <c r="K131" s="15">
        <f>+K130/1.08*0.08</f>
        <v>2148.1481481481483</v>
      </c>
    </row>
    <row r="132" spans="2:13" x14ac:dyDescent="0.3">
      <c r="B132" s="10" t="s">
        <v>711</v>
      </c>
      <c r="C132" s="11" t="s">
        <v>67</v>
      </c>
      <c r="D132" s="12">
        <v>29.9999988</v>
      </c>
      <c r="E132" s="12">
        <v>10</v>
      </c>
      <c r="F132" s="12">
        <v>33.333331999999999</v>
      </c>
      <c r="G132" s="13">
        <f>+VLOOKUP(Tabla1103453454455456479120125258259[[#This Row],[ArtÃ­culo]],Tabla34[#All],3,0)</f>
        <v>12.5</v>
      </c>
      <c r="H132" s="14">
        <f>+Tabla1103453454455456479120125258259[[#This Row],[Coste Componente]]*Tabla1103453454455456479120125258259[[#This Row],[Unidades]]</f>
        <v>416.66665</v>
      </c>
      <c r="J132" s="8" t="s">
        <v>16</v>
      </c>
      <c r="K132" s="15">
        <f>+K130-K131</f>
        <v>26851.85185185185</v>
      </c>
      <c r="M132" s="377" t="s">
        <v>1377</v>
      </c>
    </row>
    <row r="133" spans="2:13" x14ac:dyDescent="0.3">
      <c r="B133" s="10" t="s">
        <v>101</v>
      </c>
      <c r="C133" s="11" t="s">
        <v>67</v>
      </c>
      <c r="D133" s="12">
        <v>15</v>
      </c>
      <c r="E133" s="12">
        <v>0</v>
      </c>
      <c r="F133" s="12">
        <v>15</v>
      </c>
      <c r="G133" s="13">
        <f>+VLOOKUP(Tabla1103453454455456479120125258259[[#This Row],[ArtÃ­culo]],Tabla34[#All],3,0)</f>
        <v>21.149943329999999</v>
      </c>
      <c r="H133" s="14">
        <f>+Tabla1103453454455456479120125258259[[#This Row],[Coste Componente]]*Tabla1103453454455456479120125258259[[#This Row],[Unidades]]</f>
        <v>317.24914995</v>
      </c>
      <c r="J133" s="8" t="s">
        <v>17</v>
      </c>
      <c r="K133" s="22">
        <f>+K129/K132</f>
        <v>0.16185662891739311</v>
      </c>
      <c r="M133" s="346" t="s">
        <v>1733</v>
      </c>
    </row>
    <row r="134" spans="2:13" x14ac:dyDescent="0.3">
      <c r="B134" s="10" t="s">
        <v>124</v>
      </c>
      <c r="C134" s="11" t="s">
        <v>67</v>
      </c>
      <c r="D134" s="12">
        <v>15</v>
      </c>
      <c r="E134" s="12">
        <v>0</v>
      </c>
      <c r="F134" s="12">
        <v>15</v>
      </c>
      <c r="G134" s="13">
        <f>+VLOOKUP(Tabla1103453454455456479120125258259[[#This Row],[ArtÃ­culo]],Tabla34[#All],3,0)</f>
        <v>3.1357552800000001</v>
      </c>
      <c r="H134" s="14">
        <f>+Tabla1103453454455456479120125258259[[#This Row],[Coste Componente]]*Tabla1103453454455456479120125258259[[#This Row],[Unidades]]</f>
        <v>47.036329200000004</v>
      </c>
      <c r="J134" s="8" t="s">
        <v>18</v>
      </c>
      <c r="K134" s="23">
        <f>+K132-K129</f>
        <v>22505.701630921852</v>
      </c>
      <c r="M134" s="346" t="s">
        <v>1734</v>
      </c>
    </row>
    <row r="135" spans="2:13" x14ac:dyDescent="0.3">
      <c r="B135" s="10" t="s">
        <v>749</v>
      </c>
      <c r="C135" s="11" t="s">
        <v>67</v>
      </c>
      <c r="D135" s="12">
        <v>3</v>
      </c>
      <c r="E135" s="12">
        <v>0</v>
      </c>
      <c r="F135" s="12">
        <v>3</v>
      </c>
      <c r="G135" s="13">
        <f>+VLOOKUP(Tabla1103453454455456479120125258259[[#This Row],[ArtÃ­culo]],Tabla34[#All],3,0)</f>
        <v>7.7007000000000003</v>
      </c>
      <c r="H135" s="14">
        <f>+Tabla1103453454455456479120125258259[[#This Row],[Coste Componente]]*Tabla1103453454455456479120125258259[[#This Row],[Unidades]]</f>
        <v>23.1021</v>
      </c>
      <c r="J135" s="8" t="s">
        <v>19</v>
      </c>
      <c r="K135" s="25">
        <f>+K134/K129</f>
        <v>5.1783073494652534</v>
      </c>
      <c r="M135" s="346" t="s">
        <v>1735</v>
      </c>
    </row>
    <row r="136" spans="2:13" x14ac:dyDescent="0.3">
      <c r="B136" s="10" t="s">
        <v>848</v>
      </c>
      <c r="C136" s="11" t="s">
        <v>67</v>
      </c>
      <c r="D136" s="12">
        <v>10</v>
      </c>
      <c r="E136" s="12">
        <v>0</v>
      </c>
      <c r="F136" s="12">
        <v>10</v>
      </c>
      <c r="G136" s="13"/>
      <c r="H136" s="14">
        <f>+Tabla1103453454455456479120125258259[[#This Row],[Coste Componente]]*Tabla1103453454455456479120125258259[[#This Row],[Unidades]]</f>
        <v>0</v>
      </c>
      <c r="M136" s="346" t="s">
        <v>1736</v>
      </c>
    </row>
    <row r="137" spans="2:13" x14ac:dyDescent="0.3">
      <c r="B137" s="16"/>
      <c r="C137" s="17"/>
      <c r="D137" s="17"/>
      <c r="E137" s="17"/>
      <c r="F137" s="17"/>
      <c r="G137" s="18"/>
      <c r="H137" s="18">
        <f>SUBTOTAL(109,Tabla1103453454455456479120125258259[Coste LÃ­nea])</f>
        <v>4139.1906865999999</v>
      </c>
    </row>
    <row r="140" spans="2:13" ht="15.6" x14ac:dyDescent="0.3">
      <c r="B140" s="19" t="s">
        <v>290</v>
      </c>
      <c r="C140" s="2"/>
      <c r="D140" s="2"/>
      <c r="E140" s="3"/>
      <c r="F140" s="3"/>
      <c r="G140" s="3"/>
      <c r="H140" s="3"/>
      <c r="J140" s="399" t="s">
        <v>0</v>
      </c>
      <c r="K140" s="399"/>
      <c r="M140" s="377" t="s">
        <v>1394</v>
      </c>
    </row>
    <row r="141" spans="2:13" x14ac:dyDescent="0.3">
      <c r="B141" t="s">
        <v>857</v>
      </c>
      <c r="C141" t="s">
        <v>895</v>
      </c>
      <c r="D141" t="s">
        <v>892</v>
      </c>
      <c r="E141" t="s">
        <v>893</v>
      </c>
      <c r="F141" t="s">
        <v>894</v>
      </c>
      <c r="G141" t="s">
        <v>901</v>
      </c>
      <c r="H141" t="s">
        <v>902</v>
      </c>
      <c r="J141" s="8" t="s">
        <v>6</v>
      </c>
      <c r="K141" s="9">
        <f>SUM(Tabla1103453454455456479120125258261[Coste LÃ­nea])</f>
        <v>11416.760816125901</v>
      </c>
      <c r="M141" s="346"/>
    </row>
    <row r="142" spans="2:13" x14ac:dyDescent="0.3">
      <c r="B142" s="10" t="s">
        <v>315</v>
      </c>
      <c r="C142" s="11" t="s">
        <v>847</v>
      </c>
      <c r="D142" s="12">
        <v>0.33</v>
      </c>
      <c r="E142" s="12">
        <v>0</v>
      </c>
      <c r="F142" s="12">
        <v>0.33</v>
      </c>
      <c r="G142" s="13">
        <f>+VLOOKUP(Tabla1103453454455456479120125258261[[#This Row],[ArtÃ­culo]],Tabla34[#All],3,0)</f>
        <v>9017.9941012300005</v>
      </c>
      <c r="H142" s="14">
        <f>+Tabla1103453454455456479120125258261[[#This Row],[Coste Componente]]*Tabla1103453454455456479120125258261[[#This Row],[Unidades]]</f>
        <v>2975.9380534059005</v>
      </c>
      <c r="J142" s="8" t="s">
        <v>12</v>
      </c>
      <c r="K142" s="15">
        <f>+K141*5%</f>
        <v>570.83804080629511</v>
      </c>
      <c r="M142" s="346"/>
    </row>
    <row r="143" spans="2:13" x14ac:dyDescent="0.3">
      <c r="B143" s="10" t="s">
        <v>106</v>
      </c>
      <c r="C143" s="11" t="s">
        <v>67</v>
      </c>
      <c r="D143" s="12">
        <v>100</v>
      </c>
      <c r="E143" s="12">
        <v>0</v>
      </c>
      <c r="F143" s="12">
        <v>100</v>
      </c>
      <c r="G143" s="13">
        <f>+VLOOKUP(Tabla1103453454455456479120125258261[[#This Row],[ArtÃ­culo]],Tabla34[#All],3,0)</f>
        <v>19.804166670000001</v>
      </c>
      <c r="H143" s="14">
        <f>+Tabla1103453454455456479120125258261[[#This Row],[Coste Componente]]*Tabla1103453454455456479120125258261[[#This Row],[Unidades]]</f>
        <v>1980.416667</v>
      </c>
      <c r="J143" s="8" t="s">
        <v>13</v>
      </c>
      <c r="K143" s="15">
        <f>+K141+K142</f>
        <v>11987.598856932196</v>
      </c>
      <c r="M143" s="346"/>
    </row>
    <row r="144" spans="2:13" x14ac:dyDescent="0.3">
      <c r="B144" s="10" t="s">
        <v>156</v>
      </c>
      <c r="C144" s="11" t="s">
        <v>847</v>
      </c>
      <c r="D144" s="12">
        <v>1</v>
      </c>
      <c r="E144" s="12">
        <v>0</v>
      </c>
      <c r="F144" s="12">
        <v>1</v>
      </c>
      <c r="G144" s="13">
        <f>+VLOOKUP(Tabla1103453454455456479120125258261[[#This Row],[ArtÃ­culo]],Tabla34[#All],3,0)</f>
        <v>3091.1246089000001</v>
      </c>
      <c r="H144" s="14">
        <f>+Tabla1103453454455456479120125258261[[#This Row],[Coste Componente]]*Tabla1103453454455456479120125258261[[#This Row],[Unidades]]</f>
        <v>3091.1246089000001</v>
      </c>
      <c r="J144" s="20" t="s">
        <v>44</v>
      </c>
      <c r="K144" s="21">
        <v>29000</v>
      </c>
      <c r="M144" s="346"/>
    </row>
    <row r="145" spans="2:13" x14ac:dyDescent="0.3">
      <c r="B145" s="10" t="s">
        <v>451</v>
      </c>
      <c r="C145" s="11" t="s">
        <v>67</v>
      </c>
      <c r="D145" s="12">
        <v>20</v>
      </c>
      <c r="E145" s="12">
        <v>0</v>
      </c>
      <c r="F145" s="12">
        <v>20</v>
      </c>
      <c r="G145" s="13">
        <f>+VLOOKUP(Tabla1103453454455456479120125258261[[#This Row],[ArtÃ­culo]],Tabla34[#All],3,0)</f>
        <v>60.987499999999997</v>
      </c>
      <c r="H145" s="14">
        <f>+Tabla1103453454455456479120125258261[[#This Row],[Coste Componente]]*Tabla1103453454455456479120125258261[[#This Row],[Unidades]]</f>
        <v>1219.75</v>
      </c>
      <c r="J145" s="8" t="s">
        <v>15</v>
      </c>
      <c r="K145" s="15">
        <f>+K144/1.08*0.08</f>
        <v>2148.1481481481483</v>
      </c>
    </row>
    <row r="146" spans="2:13" x14ac:dyDescent="0.3">
      <c r="B146" s="10" t="s">
        <v>1194</v>
      </c>
      <c r="C146" s="11" t="s">
        <v>847</v>
      </c>
      <c r="D146" s="12">
        <v>1</v>
      </c>
      <c r="E146" s="12">
        <v>0</v>
      </c>
      <c r="F146" s="12">
        <v>1</v>
      </c>
      <c r="G146" s="13">
        <f>+VLOOKUP(Tabla1103453454455456479120125258261[[#This Row],[ArtÃ­culo]],Tabla34[#All],3,0)</f>
        <v>726.66666667000004</v>
      </c>
      <c r="H146" s="14">
        <f>+Tabla1103453454455456479120125258261[[#This Row],[Coste Componente]]*Tabla1103453454455456479120125258261[[#This Row],[Unidades]]</f>
        <v>726.66666667000004</v>
      </c>
      <c r="J146" s="8" t="s">
        <v>16</v>
      </c>
      <c r="K146" s="15">
        <f>+K144-K145</f>
        <v>26851.85185185185</v>
      </c>
      <c r="M146" s="377" t="s">
        <v>1377</v>
      </c>
    </row>
    <row r="147" spans="2:13" x14ac:dyDescent="0.3">
      <c r="B147" s="10" t="s">
        <v>683</v>
      </c>
      <c r="C147" s="11" t="s">
        <v>67</v>
      </c>
      <c r="D147" s="12">
        <v>39.999999899999999</v>
      </c>
      <c r="E147" s="12">
        <v>30</v>
      </c>
      <c r="F147" s="12">
        <v>57.142856999999999</v>
      </c>
      <c r="G147" s="13">
        <f>+VLOOKUP(Tabla1103453454455456479120125258261[[#This Row],[ArtÃ­culo]],Tabla34[#All],3,0)</f>
        <v>8.5</v>
      </c>
      <c r="H147" s="14">
        <f>+Tabla1103453454455456479120125258261[[#This Row],[Coste Componente]]*Tabla1103453454455456479120125258261[[#This Row],[Unidades]]</f>
        <v>485.71428450000002</v>
      </c>
      <c r="J147" s="8" t="s">
        <v>17</v>
      </c>
      <c r="K147" s="22">
        <f>+K143/K146</f>
        <v>0.446434716051268</v>
      </c>
      <c r="M147" s="346"/>
    </row>
    <row r="148" spans="2:13" x14ac:dyDescent="0.3">
      <c r="B148" s="10" t="s">
        <v>833</v>
      </c>
      <c r="C148" s="11" t="s">
        <v>67</v>
      </c>
      <c r="D148" s="12">
        <v>1</v>
      </c>
      <c r="E148" s="12">
        <v>0</v>
      </c>
      <c r="F148" s="12">
        <v>1</v>
      </c>
      <c r="G148" s="13">
        <f>+VLOOKUP(Tabla1103453454455456479120125258261[[#This Row],[ArtÃ­culo]],Tabla34[#All],3,0)</f>
        <v>307.5</v>
      </c>
      <c r="H148" s="14">
        <f>+Tabla1103453454455456479120125258261[[#This Row],[Coste Componente]]*Tabla1103453454455456479120125258261[[#This Row],[Unidades]]</f>
        <v>307.5</v>
      </c>
      <c r="J148" s="8" t="s">
        <v>18</v>
      </c>
      <c r="K148" s="23">
        <f>+K146-K143</f>
        <v>14864.252994919654</v>
      </c>
      <c r="M148" s="346"/>
    </row>
    <row r="149" spans="2:13" x14ac:dyDescent="0.3">
      <c r="B149" s="10" t="s">
        <v>1242</v>
      </c>
      <c r="C149" s="11" t="s">
        <v>67</v>
      </c>
      <c r="D149" s="12">
        <v>10</v>
      </c>
      <c r="E149" s="12">
        <v>0</v>
      </c>
      <c r="F149" s="12">
        <v>10</v>
      </c>
      <c r="G149" s="13">
        <f>+VLOOKUP(Tabla1103453454455456479120125258261[[#This Row],[ArtÃ­culo]],Tabla34[#All],3,0)</f>
        <v>21.997626329999999</v>
      </c>
      <c r="H149" s="14">
        <f>+Tabla1103453454455456479120125258261[[#This Row],[Coste Componente]]*Tabla1103453454455456479120125258261[[#This Row],[Unidades]]</f>
        <v>219.9762633</v>
      </c>
      <c r="J149" s="8" t="s">
        <v>19</v>
      </c>
      <c r="K149" s="25">
        <f>+K148/K143</f>
        <v>1.2399691691655117</v>
      </c>
      <c r="M149" s="346"/>
    </row>
    <row r="150" spans="2:13" x14ac:dyDescent="0.3">
      <c r="B150" s="10" t="s">
        <v>141</v>
      </c>
      <c r="C150" s="11" t="s">
        <v>67</v>
      </c>
      <c r="D150" s="12">
        <v>15</v>
      </c>
      <c r="E150" s="12">
        <v>0</v>
      </c>
      <c r="F150" s="12">
        <v>15</v>
      </c>
      <c r="G150" s="13">
        <f>+VLOOKUP(Tabla1103453454455456479120125258261[[#This Row],[ArtÃ­culo]],Tabla34[#All],3,0)</f>
        <v>18.392951490000002</v>
      </c>
      <c r="H150" s="14">
        <f>+Tabla1103453454455456479120125258261[[#This Row],[Coste Componente]]*Tabla1103453454455456479120125258261[[#This Row],[Unidades]]</f>
        <v>275.89427235000005</v>
      </c>
      <c r="M150" s="346"/>
    </row>
    <row r="151" spans="2:13" x14ac:dyDescent="0.3">
      <c r="B151" s="10" t="s">
        <v>321</v>
      </c>
      <c r="C151" s="11" t="s">
        <v>67</v>
      </c>
      <c r="D151" s="12">
        <v>5</v>
      </c>
      <c r="E151" s="12">
        <v>0</v>
      </c>
      <c r="F151" s="12">
        <v>5</v>
      </c>
      <c r="G151" s="13">
        <f>+VLOOKUP(Tabla1103453454455456479120125258261[[#This Row],[ArtÃ­culo]],Tabla34[#All],3,0)</f>
        <v>12</v>
      </c>
      <c r="H151" s="14">
        <f>+Tabla1103453454455456479120125258261[[#This Row],[Coste Componente]]*Tabla1103453454455456479120125258261[[#This Row],[Unidades]]</f>
        <v>60</v>
      </c>
    </row>
    <row r="152" spans="2:13" x14ac:dyDescent="0.3">
      <c r="B152" s="10" t="s">
        <v>1091</v>
      </c>
      <c r="C152" s="11" t="s">
        <v>67</v>
      </c>
      <c r="D152" s="12">
        <v>1</v>
      </c>
      <c r="E152" s="12">
        <v>0</v>
      </c>
      <c r="F152" s="12">
        <v>1</v>
      </c>
      <c r="G152" s="13">
        <f>+VLOOKUP(Tabla1103453454455456479120125258261[[#This Row],[ArtÃ­culo]],Tabla34[#All],3,0)</f>
        <v>73.78</v>
      </c>
      <c r="H152" s="14">
        <f>+Tabla1103453454455456479120125258261[[#This Row],[Coste Componente]]*Tabla1103453454455456479120125258261[[#This Row],[Unidades]]</f>
        <v>73.78</v>
      </c>
    </row>
    <row r="153" spans="2:13" x14ac:dyDescent="0.3">
      <c r="B153" s="16"/>
      <c r="C153" s="17"/>
      <c r="D153" s="17"/>
      <c r="E153" s="17"/>
      <c r="F153" s="17"/>
      <c r="G153" s="18"/>
      <c r="H153" s="18">
        <f>SUBTOTAL(109,Tabla1103453454455456479120125258261[Coste LÃ­nea])</f>
        <v>11416.760816125901</v>
      </c>
    </row>
    <row r="156" spans="2:13" ht="15.6" x14ac:dyDescent="0.3">
      <c r="B156" s="1" t="s">
        <v>1097</v>
      </c>
      <c r="C156" s="2"/>
      <c r="D156" s="2"/>
      <c r="E156" s="3"/>
      <c r="F156" s="3"/>
      <c r="G156" s="3"/>
      <c r="H156" s="3"/>
      <c r="J156" s="399" t="s">
        <v>0</v>
      </c>
      <c r="K156" s="399"/>
      <c r="M156" s="377" t="s">
        <v>1394</v>
      </c>
    </row>
    <row r="157" spans="2:13" x14ac:dyDescent="0.3">
      <c r="B157" t="s">
        <v>857</v>
      </c>
      <c r="C157" t="s">
        <v>895</v>
      </c>
      <c r="D157" t="s">
        <v>892</v>
      </c>
      <c r="E157" t="s">
        <v>893</v>
      </c>
      <c r="F157" t="s">
        <v>894</v>
      </c>
      <c r="G157" t="s">
        <v>901</v>
      </c>
      <c r="H157" t="s">
        <v>902</v>
      </c>
      <c r="J157" s="8" t="s">
        <v>6</v>
      </c>
      <c r="K157" s="9">
        <f>SUM(Tabla1103453454455456479120125258262[Coste LÃ­nea])</f>
        <v>7526.1607285099999</v>
      </c>
      <c r="M157" s="346" t="s">
        <v>1737</v>
      </c>
    </row>
    <row r="158" spans="2:13" x14ac:dyDescent="0.3">
      <c r="B158" s="10" t="s">
        <v>712</v>
      </c>
      <c r="C158" s="11" t="s">
        <v>67</v>
      </c>
      <c r="D158" s="12">
        <v>60</v>
      </c>
      <c r="E158" s="12">
        <v>0</v>
      </c>
      <c r="F158" s="12">
        <v>60</v>
      </c>
      <c r="G158" s="13">
        <f>+VLOOKUP(Tabla1103453454455456479120125258262[[#This Row],[ArtÃ­culo]],Tabla34[#All],3,0)</f>
        <v>32.5</v>
      </c>
      <c r="H158" s="14">
        <f>+Tabla1103453454455456479120125258262[[#This Row],[Coste Componente]]*Tabla1103453454455456479120125258262[[#This Row],[Unidades]]</f>
        <v>1950</v>
      </c>
      <c r="J158" s="8" t="s">
        <v>12</v>
      </c>
      <c r="K158" s="15">
        <f>+K157*5%</f>
        <v>376.30803642550001</v>
      </c>
      <c r="M158" s="346" t="s">
        <v>1738</v>
      </c>
    </row>
    <row r="159" spans="2:13" x14ac:dyDescent="0.3">
      <c r="B159" s="10" t="s">
        <v>1194</v>
      </c>
      <c r="C159" s="11" t="s">
        <v>847</v>
      </c>
      <c r="D159" s="12">
        <v>2</v>
      </c>
      <c r="E159" s="12">
        <v>0</v>
      </c>
      <c r="F159" s="12">
        <v>2</v>
      </c>
      <c r="G159" s="13">
        <f>+VLOOKUP(Tabla1103453454455456479120125258262[[#This Row],[ArtÃ­culo]],Tabla34[#All],3,0)</f>
        <v>726.66666667000004</v>
      </c>
      <c r="H159" s="14">
        <f>+Tabla1103453454455456479120125258262[[#This Row],[Coste Componente]]*Tabla1103453454455456479120125258262[[#This Row],[Unidades]]</f>
        <v>1453.3333333400001</v>
      </c>
      <c r="J159" s="8" t="s">
        <v>13</v>
      </c>
      <c r="K159" s="15">
        <f>+K157+K158</f>
        <v>7902.4687649355001</v>
      </c>
      <c r="M159" s="346" t="s">
        <v>1739</v>
      </c>
    </row>
    <row r="160" spans="2:13" x14ac:dyDescent="0.3">
      <c r="B160" s="10" t="s">
        <v>345</v>
      </c>
      <c r="C160" s="11" t="s">
        <v>847</v>
      </c>
      <c r="D160" s="12">
        <v>1</v>
      </c>
      <c r="E160" s="12">
        <v>0</v>
      </c>
      <c r="F160" s="12">
        <v>1</v>
      </c>
      <c r="G160" s="13">
        <f>+VLOOKUP(Tabla1103453454455456479120125258262[[#This Row],[ArtÃ­culo]],Tabla34[#All],3,0)</f>
        <v>1600</v>
      </c>
      <c r="H160" s="14">
        <f>+Tabla1103453454455456479120125258262[[#This Row],[Coste Componente]]*Tabla1103453454455456479120125258262[[#This Row],[Unidades]]</f>
        <v>1600</v>
      </c>
      <c r="J160" s="20" t="s">
        <v>44</v>
      </c>
      <c r="K160" s="21">
        <v>29000</v>
      </c>
      <c r="M160" s="346"/>
    </row>
    <row r="161" spans="2:13" x14ac:dyDescent="0.3">
      <c r="B161" s="10" t="s">
        <v>106</v>
      </c>
      <c r="C161" s="11" t="s">
        <v>67</v>
      </c>
      <c r="D161" s="12">
        <v>50</v>
      </c>
      <c r="E161" s="12">
        <v>0</v>
      </c>
      <c r="F161" s="12">
        <v>50</v>
      </c>
      <c r="G161" s="13">
        <f>+VLOOKUP(Tabla1103453454455456479120125258262[[#This Row],[ArtÃ­culo]],Tabla34[#All],3,0)</f>
        <v>19.804166670000001</v>
      </c>
      <c r="H161" s="14">
        <f>+Tabla1103453454455456479120125258262[[#This Row],[Coste Componente]]*Tabla1103453454455456479120125258262[[#This Row],[Unidades]]</f>
        <v>990.20833349999998</v>
      </c>
      <c r="J161" s="8" t="s">
        <v>15</v>
      </c>
      <c r="K161" s="15">
        <f>+K160/1.08*0.08</f>
        <v>2148.1481481481483</v>
      </c>
    </row>
    <row r="162" spans="2:13" x14ac:dyDescent="0.3">
      <c r="B162" s="10" t="s">
        <v>451</v>
      </c>
      <c r="C162" s="11" t="s">
        <v>67</v>
      </c>
      <c r="D162" s="12">
        <v>10</v>
      </c>
      <c r="E162" s="12">
        <v>0</v>
      </c>
      <c r="F162" s="12">
        <v>10</v>
      </c>
      <c r="G162" s="13">
        <f>+VLOOKUP(Tabla1103453454455456479120125258262[[#This Row],[ArtÃ­culo]],Tabla34[#All],3,0)</f>
        <v>60.987499999999997</v>
      </c>
      <c r="H162" s="14">
        <f>+Tabla1103453454455456479120125258262[[#This Row],[Coste Componente]]*Tabla1103453454455456479120125258262[[#This Row],[Unidades]]</f>
        <v>609.875</v>
      </c>
      <c r="J162" s="8" t="s">
        <v>16</v>
      </c>
      <c r="K162" s="15">
        <f>+K160-K161</f>
        <v>26851.85185185185</v>
      </c>
      <c r="M162" s="377" t="s">
        <v>1377</v>
      </c>
    </row>
    <row r="163" spans="2:13" x14ac:dyDescent="0.3">
      <c r="B163" s="10" t="s">
        <v>833</v>
      </c>
      <c r="C163" s="11" t="s">
        <v>67</v>
      </c>
      <c r="D163" s="12">
        <v>1</v>
      </c>
      <c r="E163" s="12">
        <v>0</v>
      </c>
      <c r="F163" s="12">
        <v>1</v>
      </c>
      <c r="G163" s="13">
        <f>+VLOOKUP(Tabla1103453454455456479120125258262[[#This Row],[ArtÃ­culo]],Tabla34[#All],3,0)</f>
        <v>307.5</v>
      </c>
      <c r="H163" s="14">
        <f>+Tabla1103453454455456479120125258262[[#This Row],[Coste Componente]]*Tabla1103453454455456479120125258262[[#This Row],[Unidades]]</f>
        <v>307.5</v>
      </c>
      <c r="J163" s="8" t="s">
        <v>17</v>
      </c>
      <c r="K163" s="22">
        <f>+K159/K162</f>
        <v>0.29429883676311519</v>
      </c>
      <c r="M163" s="346" t="s">
        <v>1740</v>
      </c>
    </row>
    <row r="164" spans="2:13" x14ac:dyDescent="0.3">
      <c r="B164" s="10" t="s">
        <v>827</v>
      </c>
      <c r="C164" s="11" t="s">
        <v>67</v>
      </c>
      <c r="D164" s="12">
        <v>1</v>
      </c>
      <c r="E164" s="12">
        <v>0</v>
      </c>
      <c r="F164" s="12">
        <v>1</v>
      </c>
      <c r="G164" s="13">
        <f>+VLOOKUP(Tabla1103453454455456479120125258262[[#This Row],[ArtÃ­culo]],Tabla34[#All],3,0)</f>
        <v>511</v>
      </c>
      <c r="H164" s="14">
        <f>+Tabla1103453454455456479120125258262[[#This Row],[Coste Componente]]*Tabla1103453454455456479120125258262[[#This Row],[Unidades]]</f>
        <v>511</v>
      </c>
      <c r="J164" s="8" t="s">
        <v>18</v>
      </c>
      <c r="K164" s="23">
        <f>+K162-K159</f>
        <v>18949.38308691635</v>
      </c>
      <c r="M164" s="346" t="s">
        <v>1741</v>
      </c>
    </row>
    <row r="165" spans="2:13" x14ac:dyDescent="0.3">
      <c r="B165" s="10" t="s">
        <v>840</v>
      </c>
      <c r="C165" s="11" t="s">
        <v>67</v>
      </c>
      <c r="D165" s="12">
        <v>1</v>
      </c>
      <c r="E165" s="12">
        <v>0</v>
      </c>
      <c r="F165" s="12">
        <v>1</v>
      </c>
      <c r="G165" s="13">
        <f>+VLOOKUP(Tabla1103453454455456479120125258262[[#This Row],[ArtÃ­culo]],Tabla34[#All],3,0)</f>
        <v>57.218061669999997</v>
      </c>
      <c r="H165" s="14">
        <f>+Tabla1103453454455456479120125258262[[#This Row],[Coste Componente]]*Tabla1103453454455456479120125258262[[#This Row],[Unidades]]</f>
        <v>57.218061669999997</v>
      </c>
      <c r="J165" s="8" t="s">
        <v>19</v>
      </c>
      <c r="K165" s="25">
        <f>+K164/K159</f>
        <v>2.397906736562851</v>
      </c>
      <c r="M165" s="346" t="s">
        <v>1742</v>
      </c>
    </row>
    <row r="166" spans="2:13" x14ac:dyDescent="0.3">
      <c r="B166" s="10" t="s">
        <v>634</v>
      </c>
      <c r="C166" s="11" t="s">
        <v>67</v>
      </c>
      <c r="D166" s="12">
        <v>5</v>
      </c>
      <c r="E166" s="12">
        <v>0</v>
      </c>
      <c r="F166" s="12">
        <v>5</v>
      </c>
      <c r="G166" s="13">
        <f>+VLOOKUP(Tabla1103453454455456479120125258262[[#This Row],[ArtÃ­culo]],Tabla34[#All],3,0)</f>
        <v>8.9250000000000007</v>
      </c>
      <c r="H166" s="14">
        <f>+Tabla1103453454455456479120125258262[[#This Row],[Coste Componente]]*Tabla1103453454455456479120125258262[[#This Row],[Unidades]]</f>
        <v>44.625</v>
      </c>
      <c r="M166" s="346"/>
    </row>
    <row r="167" spans="2:13" x14ac:dyDescent="0.3">
      <c r="B167" s="10" t="s">
        <v>89</v>
      </c>
      <c r="C167" s="11" t="s">
        <v>67</v>
      </c>
      <c r="D167" s="12">
        <v>1</v>
      </c>
      <c r="E167" s="12">
        <v>0</v>
      </c>
      <c r="F167" s="12">
        <v>1</v>
      </c>
      <c r="G167" s="13">
        <f>+VLOOKUP(Tabla1103453454455456479120125258262[[#This Row],[ArtÃ­culo]],Tabla34[#All],3,0)</f>
        <v>2.4009999999999998</v>
      </c>
      <c r="H167" s="14">
        <f>+Tabla1103453454455456479120125258262[[#This Row],[Coste Componente]]*Tabla1103453454455456479120125258262[[#This Row],[Unidades]]</f>
        <v>2.4009999999999998</v>
      </c>
    </row>
    <row r="168" spans="2:13" x14ac:dyDescent="0.3">
      <c r="B168" s="16"/>
      <c r="C168" s="17"/>
      <c r="D168" s="17"/>
      <c r="E168" s="17"/>
      <c r="F168" s="17"/>
      <c r="G168" s="18"/>
      <c r="H168" s="18">
        <f>SUBTOTAL(109,Tabla1103453454455456479120125258262[Coste LÃ­nea])</f>
        <v>7526.1607285099999</v>
      </c>
    </row>
    <row r="171" spans="2:13" ht="15.6" x14ac:dyDescent="0.3">
      <c r="B171" s="1" t="s">
        <v>291</v>
      </c>
      <c r="C171" s="2"/>
      <c r="D171" s="2"/>
      <c r="E171" s="3"/>
      <c r="F171" s="3"/>
      <c r="G171" s="3"/>
      <c r="H171" s="3"/>
      <c r="J171" s="78" t="s">
        <v>0</v>
      </c>
      <c r="K171" s="78"/>
      <c r="M171" s="377" t="s">
        <v>1394</v>
      </c>
    </row>
    <row r="172" spans="2:13" x14ac:dyDescent="0.3">
      <c r="B172" t="s">
        <v>857</v>
      </c>
      <c r="C172" t="s">
        <v>895</v>
      </c>
      <c r="D172" t="s">
        <v>892</v>
      </c>
      <c r="E172" t="s">
        <v>893</v>
      </c>
      <c r="F172" t="s">
        <v>894</v>
      </c>
      <c r="G172" t="s">
        <v>901</v>
      </c>
      <c r="H172" t="s">
        <v>902</v>
      </c>
      <c r="J172" s="8" t="s">
        <v>6</v>
      </c>
      <c r="K172" s="9">
        <f>SUM(Tabla1103453454455456479120125258263[Coste LÃ­nea])</f>
        <v>11233.709114005</v>
      </c>
      <c r="M172" s="346" t="s">
        <v>1743</v>
      </c>
    </row>
    <row r="173" spans="2:13" x14ac:dyDescent="0.3">
      <c r="B173" s="10" t="s">
        <v>155</v>
      </c>
      <c r="C173" s="11" t="s">
        <v>847</v>
      </c>
      <c r="D173" s="12">
        <v>0.5</v>
      </c>
      <c r="E173" s="12">
        <v>0</v>
      </c>
      <c r="F173" s="12">
        <v>0.5</v>
      </c>
      <c r="G173" s="13">
        <f>+VLOOKUP(Tabla1103453454455456479120125258263[[#This Row],[ArtÃ­culo]],Tabla34[#All],3,0)</f>
        <v>13895.99832975</v>
      </c>
      <c r="H173" s="14">
        <f>+Tabla1103453454455456479120125258263[[#This Row],[Coste Componente]]*Tabla1103453454455456479120125258263[[#This Row],[Unidades]]</f>
        <v>6947.9991648750001</v>
      </c>
      <c r="J173" s="8" t="s">
        <v>12</v>
      </c>
      <c r="K173" s="15">
        <f>+K172*5%</f>
        <v>561.68545570025003</v>
      </c>
      <c r="M173" s="346" t="s">
        <v>1744</v>
      </c>
    </row>
    <row r="174" spans="2:13" x14ac:dyDescent="0.3">
      <c r="B174" s="10" t="s">
        <v>229</v>
      </c>
      <c r="C174" s="11" t="s">
        <v>67</v>
      </c>
      <c r="D174" s="12">
        <v>15</v>
      </c>
      <c r="E174" s="12">
        <v>0</v>
      </c>
      <c r="F174" s="12">
        <v>15</v>
      </c>
      <c r="G174" s="13">
        <f>+VLOOKUP(Tabla1103453454455456479120125258263[[#This Row],[ArtÃ­culo]],Tabla34[#All],3,0)</f>
        <v>24.714500000000001</v>
      </c>
      <c r="H174" s="14">
        <f>+Tabla1103453454455456479120125258263[[#This Row],[Coste Componente]]*Tabla1103453454455456479120125258263[[#This Row],[Unidades]]</f>
        <v>370.71750000000003</v>
      </c>
      <c r="J174" s="8" t="s">
        <v>13</v>
      </c>
      <c r="K174" s="15">
        <f>+K172+K173</f>
        <v>11795.39456970525</v>
      </c>
      <c r="M174" s="346" t="s">
        <v>1745</v>
      </c>
    </row>
    <row r="175" spans="2:13" x14ac:dyDescent="0.3">
      <c r="B175" s="10" t="s">
        <v>308</v>
      </c>
      <c r="C175" s="11" t="s">
        <v>67</v>
      </c>
      <c r="D175" s="12">
        <v>70</v>
      </c>
      <c r="E175" s="12">
        <v>0</v>
      </c>
      <c r="F175" s="12">
        <v>70</v>
      </c>
      <c r="G175" s="13">
        <f>+VLOOKUP(Tabla1103453454455456479120125258263[[#This Row],[ArtÃ­culo]],Tabla34[#All],3,0)</f>
        <v>24.115200000000002</v>
      </c>
      <c r="H175" s="14">
        <f>+Tabla1103453454455456479120125258263[[#This Row],[Coste Componente]]*Tabla1103453454455456479120125258263[[#This Row],[Unidades]]</f>
        <v>1688.0640000000001</v>
      </c>
      <c r="J175" s="20" t="s">
        <v>44</v>
      </c>
      <c r="K175" s="21">
        <v>32000</v>
      </c>
      <c r="M175" s="346" t="s">
        <v>1746</v>
      </c>
    </row>
    <row r="176" spans="2:13" x14ac:dyDescent="0.3">
      <c r="B176" s="10" t="s">
        <v>345</v>
      </c>
      <c r="C176" s="11" t="s">
        <v>847</v>
      </c>
      <c r="D176" s="12">
        <v>1</v>
      </c>
      <c r="E176" s="12">
        <v>0</v>
      </c>
      <c r="F176" s="12">
        <v>1</v>
      </c>
      <c r="G176" s="13">
        <f>+VLOOKUP(Tabla1103453454455456479120125258263[[#This Row],[ArtÃ­culo]],Tabla34[#All],3,0)</f>
        <v>1600</v>
      </c>
      <c r="H176" s="14">
        <f>+Tabla1103453454455456479120125258263[[#This Row],[Coste Componente]]*Tabla1103453454455456479120125258263[[#This Row],[Unidades]]</f>
        <v>1600</v>
      </c>
      <c r="J176" s="8" t="s">
        <v>15</v>
      </c>
      <c r="K176" s="15">
        <f>+K175/1.08*0.08</f>
        <v>2370.3703703703704</v>
      </c>
      <c r="M176" s="346" t="s">
        <v>1750</v>
      </c>
    </row>
    <row r="177" spans="2:13" x14ac:dyDescent="0.3">
      <c r="B177" s="10" t="s">
        <v>708</v>
      </c>
      <c r="C177" s="11" t="s">
        <v>67</v>
      </c>
      <c r="D177" s="12">
        <v>19.999999450000001</v>
      </c>
      <c r="E177" s="12">
        <v>5</v>
      </c>
      <c r="F177" s="12">
        <v>21.052631000000002</v>
      </c>
      <c r="G177" s="13">
        <f>+VLOOKUP(Tabla1103453454455456479120125258263[[#This Row],[ArtÃ­culo]],Tabla34[#All],3,0)</f>
        <v>11</v>
      </c>
      <c r="H177" s="14">
        <f>+Tabla1103453454455456479120125258263[[#This Row],[Coste Componente]]*Tabla1103453454455456479120125258263[[#This Row],[Unidades]]</f>
        <v>231.57894100000001</v>
      </c>
      <c r="J177" s="8" t="s">
        <v>16</v>
      </c>
      <c r="K177" s="15">
        <f>+K175-K176</f>
        <v>29629.629629629628</v>
      </c>
      <c r="M177" s="346"/>
    </row>
    <row r="178" spans="2:13" x14ac:dyDescent="0.3">
      <c r="B178" s="10" t="s">
        <v>128</v>
      </c>
      <c r="C178" s="11" t="s">
        <v>67</v>
      </c>
      <c r="D178" s="12">
        <v>5</v>
      </c>
      <c r="E178" s="12">
        <v>0</v>
      </c>
      <c r="F178" s="12">
        <v>5</v>
      </c>
      <c r="G178" s="13">
        <f>+VLOOKUP(Tabla1103453454455456479120125258263[[#This Row],[ArtÃ­culo]],Tabla34[#All],3,0)</f>
        <v>18.434479750000001</v>
      </c>
      <c r="H178" s="14">
        <f>+Tabla1103453454455456479120125258263[[#This Row],[Coste Componente]]*Tabla1103453454455456479120125258263[[#This Row],[Unidades]]</f>
        <v>92.172398750000013</v>
      </c>
      <c r="J178" s="8" t="s">
        <v>17</v>
      </c>
      <c r="K178" s="22">
        <f>+K174/K177</f>
        <v>0.39809456672755222</v>
      </c>
      <c r="M178" s="377" t="s">
        <v>1377</v>
      </c>
    </row>
    <row r="179" spans="2:13" x14ac:dyDescent="0.3">
      <c r="B179" s="10" t="s">
        <v>321</v>
      </c>
      <c r="C179" s="11" t="s">
        <v>67</v>
      </c>
      <c r="D179" s="12">
        <v>3</v>
      </c>
      <c r="E179" s="12">
        <v>0</v>
      </c>
      <c r="F179" s="12">
        <v>3</v>
      </c>
      <c r="G179" s="13">
        <f>+VLOOKUP(Tabla1103453454455456479120125258263[[#This Row],[ArtÃ­culo]],Tabla34[#All],3,0)</f>
        <v>12</v>
      </c>
      <c r="H179" s="14">
        <f>+Tabla1103453454455456479120125258263[[#This Row],[Coste Componente]]*Tabla1103453454455456479120125258263[[#This Row],[Unidades]]</f>
        <v>36</v>
      </c>
      <c r="J179" s="8" t="s">
        <v>18</v>
      </c>
      <c r="K179" s="23">
        <f>+K177-K174</f>
        <v>17834.23505992438</v>
      </c>
      <c r="M179" s="346" t="s">
        <v>1747</v>
      </c>
    </row>
    <row r="180" spans="2:13" x14ac:dyDescent="0.3">
      <c r="B180" s="10" t="s">
        <v>634</v>
      </c>
      <c r="C180" s="11" t="s">
        <v>67</v>
      </c>
      <c r="D180" s="12">
        <v>5</v>
      </c>
      <c r="E180" s="12">
        <v>0</v>
      </c>
      <c r="F180" s="12">
        <v>5</v>
      </c>
      <c r="G180" s="13">
        <f>+VLOOKUP(Tabla1103453454455456479120125258263[[#This Row],[ArtÃ­culo]],Tabla34[#All],3,0)</f>
        <v>8.9250000000000007</v>
      </c>
      <c r="H180" s="14">
        <f>+Tabla1103453454455456479120125258263[[#This Row],[Coste Componente]]*Tabla1103453454455456479120125258263[[#This Row],[Unidades]]</f>
        <v>44.625</v>
      </c>
      <c r="J180" s="8" t="s">
        <v>19</v>
      </c>
      <c r="K180" s="25">
        <f>+K179/K174</f>
        <v>1.5119659587928505</v>
      </c>
      <c r="M180" s="346" t="s">
        <v>1748</v>
      </c>
    </row>
    <row r="181" spans="2:13" x14ac:dyDescent="0.3">
      <c r="B181" s="10" t="s">
        <v>134</v>
      </c>
      <c r="C181" s="11" t="s">
        <v>67</v>
      </c>
      <c r="D181" s="12">
        <v>10</v>
      </c>
      <c r="E181" s="12">
        <v>0</v>
      </c>
      <c r="F181" s="12">
        <v>10</v>
      </c>
      <c r="G181" s="13">
        <f>+VLOOKUP(Tabla1103453454455456479120125258263[[#This Row],[ArtÃ­culo]],Tabla34[#All],3,0)</f>
        <v>5.7702915900000002</v>
      </c>
      <c r="H181" s="14">
        <f>+Tabla1103453454455456479120125258263[[#This Row],[Coste Componente]]*Tabla1103453454455456479120125258263[[#This Row],[Unidades]]</f>
        <v>57.702915900000001</v>
      </c>
      <c r="M181" s="346" t="s">
        <v>1749</v>
      </c>
    </row>
    <row r="182" spans="2:13" x14ac:dyDescent="0.3">
      <c r="B182" s="10" t="s">
        <v>730</v>
      </c>
      <c r="C182" s="11" t="s">
        <v>67</v>
      </c>
      <c r="D182" s="12">
        <v>4.9999998000000003</v>
      </c>
      <c r="E182" s="12">
        <v>40</v>
      </c>
      <c r="F182" s="12">
        <v>8.3333329999999997</v>
      </c>
      <c r="G182" s="13">
        <f>+VLOOKUP(Tabla1103453454455456479120125258263[[#This Row],[ArtÃ­culo]],Tabla34[#All],3,0)</f>
        <v>12</v>
      </c>
      <c r="H182" s="14">
        <f>+Tabla1103453454455456479120125258263[[#This Row],[Coste Componente]]*Tabla1103453454455456479120125258263[[#This Row],[Unidades]]</f>
        <v>99.999995999999996</v>
      </c>
      <c r="M182" s="346" t="s">
        <v>1751</v>
      </c>
    </row>
    <row r="183" spans="2:13" x14ac:dyDescent="0.3">
      <c r="B183" s="10" t="s">
        <v>312</v>
      </c>
      <c r="C183" s="11" t="s">
        <v>67</v>
      </c>
      <c r="D183" s="12">
        <v>10</v>
      </c>
      <c r="E183" s="12">
        <v>0</v>
      </c>
      <c r="F183" s="12">
        <v>10</v>
      </c>
      <c r="G183" s="13">
        <f>+VLOOKUP(Tabla1103453454455456479120125258263[[#This Row],[ArtÃ­culo]],Tabla34[#All],3,0)</f>
        <v>4.2671999999999999</v>
      </c>
      <c r="H183" s="14">
        <f>+Tabla1103453454455456479120125258263[[#This Row],[Coste Componente]]*Tabla1103453454455456479120125258263[[#This Row],[Unidades]]</f>
        <v>42.671999999999997</v>
      </c>
    </row>
    <row r="184" spans="2:13" x14ac:dyDescent="0.3">
      <c r="B184" s="10" t="s">
        <v>806</v>
      </c>
      <c r="C184" s="11" t="s">
        <v>67</v>
      </c>
      <c r="D184" s="12">
        <v>1</v>
      </c>
      <c r="E184" s="12">
        <v>0</v>
      </c>
      <c r="F184" s="12">
        <v>1</v>
      </c>
      <c r="G184" s="13">
        <f>+VLOOKUP(Tabla1103453454455456479120125258263[[#This Row],[ArtÃ­culo]],Tabla34[#All],3,0)</f>
        <v>19.77619748</v>
      </c>
      <c r="H184" s="14">
        <f>+Tabla1103453454455456479120125258263[[#This Row],[Coste Componente]]*Tabla1103453454455456479120125258263[[#This Row],[Unidades]]</f>
        <v>19.77619748</v>
      </c>
    </row>
    <row r="185" spans="2:13" x14ac:dyDescent="0.3">
      <c r="B185" s="10" t="s">
        <v>89</v>
      </c>
      <c r="C185" s="11" t="s">
        <v>67</v>
      </c>
      <c r="D185" s="12">
        <v>1</v>
      </c>
      <c r="E185" s="12">
        <v>0</v>
      </c>
      <c r="F185" s="12">
        <v>1</v>
      </c>
      <c r="G185" s="13">
        <f>+VLOOKUP(Tabla1103453454455456479120125258263[[#This Row],[ArtÃ­culo]],Tabla34[#All],3,0)</f>
        <v>2.4009999999999998</v>
      </c>
      <c r="H185" s="14">
        <f>+Tabla1103453454455456479120125258263[[#This Row],[Coste Componente]]*Tabla1103453454455456479120125258263[[#This Row],[Unidades]]</f>
        <v>2.4009999999999998</v>
      </c>
    </row>
    <row r="186" spans="2:13" x14ac:dyDescent="0.3">
      <c r="B186" s="16"/>
      <c r="C186" s="17"/>
      <c r="D186" s="17"/>
      <c r="E186" s="17"/>
      <c r="F186" s="17"/>
      <c r="G186" s="18"/>
      <c r="H186" s="18">
        <f>SUBTOTAL(109,Tabla1103453454455456479120125258263[Coste LÃ­nea])</f>
        <v>11233.709114005</v>
      </c>
    </row>
    <row r="189" spans="2:13" ht="15.6" x14ac:dyDescent="0.3">
      <c r="B189" s="1" t="s">
        <v>294</v>
      </c>
      <c r="C189" s="2"/>
      <c r="D189" s="2"/>
      <c r="E189" s="3"/>
      <c r="F189" s="3"/>
      <c r="G189" s="3"/>
      <c r="H189" s="3"/>
      <c r="J189" s="78" t="s">
        <v>0</v>
      </c>
      <c r="K189" s="78"/>
      <c r="M189" s="377" t="s">
        <v>1394</v>
      </c>
    </row>
    <row r="190" spans="2:13" x14ac:dyDescent="0.3">
      <c r="B190" t="s">
        <v>857</v>
      </c>
      <c r="C190" t="s">
        <v>895</v>
      </c>
      <c r="D190" t="s">
        <v>892</v>
      </c>
      <c r="E190" t="s">
        <v>893</v>
      </c>
      <c r="F190" t="s">
        <v>894</v>
      </c>
      <c r="G190" t="s">
        <v>901</v>
      </c>
      <c r="H190" t="s">
        <v>902</v>
      </c>
      <c r="J190" s="8" t="s">
        <v>6</v>
      </c>
      <c r="K190" s="9">
        <f>SUM(Tabla1103453454455456479120125258263265[Coste LÃ­nea])</f>
        <v>7806.0280645599987</v>
      </c>
      <c r="M190" s="346" t="s">
        <v>1752</v>
      </c>
    </row>
    <row r="191" spans="2:13" x14ac:dyDescent="0.3">
      <c r="B191" s="10" t="s">
        <v>624</v>
      </c>
      <c r="C191" s="11" t="s">
        <v>67</v>
      </c>
      <c r="D191" s="12">
        <v>70</v>
      </c>
      <c r="E191" s="12">
        <v>0</v>
      </c>
      <c r="F191" s="12">
        <v>70</v>
      </c>
      <c r="G191" s="13">
        <f>+VLOOKUP(Tabla1103453454455456479120125258263265[[#This Row],[ArtÃ­culo]],Tabla34[#All],3,0)</f>
        <v>32.29</v>
      </c>
      <c r="H191" s="14">
        <f>+Tabla1103453454455456479120125258263265[[#This Row],[Coste Componente]]*Tabla1103453454455456479120125258263265[[#This Row],[Unidades]]</f>
        <v>2260.2999999999997</v>
      </c>
      <c r="J191" s="8" t="s">
        <v>12</v>
      </c>
      <c r="K191" s="15">
        <f>+K190*5%</f>
        <v>390.30140322799997</v>
      </c>
      <c r="M191" s="346" t="s">
        <v>1753</v>
      </c>
    </row>
    <row r="192" spans="2:13" x14ac:dyDescent="0.3">
      <c r="B192" s="10" t="s">
        <v>737</v>
      </c>
      <c r="C192" s="11" t="s">
        <v>847</v>
      </c>
      <c r="D192" s="12">
        <v>1</v>
      </c>
      <c r="E192" s="12">
        <v>0</v>
      </c>
      <c r="F192" s="12">
        <v>1</v>
      </c>
      <c r="G192" s="13">
        <f>+VLOOKUP(Tabla1103453454455456479120125258263265[[#This Row],[ArtÃ­culo]],Tabla34[#All],3,0)</f>
        <v>2000</v>
      </c>
      <c r="H192" s="14">
        <f>+Tabla1103453454455456479120125258263265[[#This Row],[Coste Componente]]*Tabla1103453454455456479120125258263265[[#This Row],[Unidades]]</f>
        <v>2000</v>
      </c>
      <c r="J192" s="8" t="s">
        <v>13</v>
      </c>
      <c r="K192" s="15">
        <f>+K190+K191</f>
        <v>8196.3294677879985</v>
      </c>
      <c r="M192" s="346" t="s">
        <v>1754</v>
      </c>
    </row>
    <row r="193" spans="2:13" x14ac:dyDescent="0.3">
      <c r="B193" s="10" t="s">
        <v>229</v>
      </c>
      <c r="C193" s="11" t="s">
        <v>67</v>
      </c>
      <c r="D193" s="12">
        <v>20</v>
      </c>
      <c r="E193" s="12">
        <v>0</v>
      </c>
      <c r="F193" s="12">
        <v>20</v>
      </c>
      <c r="G193" s="13">
        <f>+VLOOKUP(Tabla1103453454455456479120125258263265[[#This Row],[ArtÃ­culo]],Tabla34[#All],3,0)</f>
        <v>24.714500000000001</v>
      </c>
      <c r="H193" s="14">
        <f>+Tabla1103453454455456479120125258263265[[#This Row],[Coste Componente]]*Tabla1103453454455456479120125258263265[[#This Row],[Unidades]]</f>
        <v>494.29</v>
      </c>
      <c r="J193" s="20" t="s">
        <v>44</v>
      </c>
      <c r="K193" s="21">
        <v>31000</v>
      </c>
      <c r="M193" s="346"/>
    </row>
    <row r="194" spans="2:13" x14ac:dyDescent="0.3">
      <c r="B194" s="10" t="s">
        <v>308</v>
      </c>
      <c r="C194" s="11" t="s">
        <v>67</v>
      </c>
      <c r="D194" s="12">
        <v>40</v>
      </c>
      <c r="E194" s="12">
        <v>0</v>
      </c>
      <c r="F194" s="12">
        <v>40</v>
      </c>
      <c r="G194" s="13">
        <f>+VLOOKUP(Tabla1103453454455456479120125258263265[[#This Row],[ArtÃ­culo]],Tabla34[#All],3,0)</f>
        <v>24.115200000000002</v>
      </c>
      <c r="H194" s="14">
        <f>+Tabla1103453454455456479120125258263265[[#This Row],[Coste Componente]]*Tabla1103453454455456479120125258263265[[#This Row],[Unidades]]</f>
        <v>964.60800000000006</v>
      </c>
      <c r="J194" s="8" t="s">
        <v>15</v>
      </c>
      <c r="K194" s="15">
        <f>+K193/1.08*0.08</f>
        <v>2296.2962962962961</v>
      </c>
    </row>
    <row r="195" spans="2:13" x14ac:dyDescent="0.3">
      <c r="B195" s="10" t="s">
        <v>132</v>
      </c>
      <c r="C195" s="11" t="s">
        <v>67</v>
      </c>
      <c r="D195" s="12">
        <v>30</v>
      </c>
      <c r="E195" s="12">
        <v>0</v>
      </c>
      <c r="F195" s="12">
        <v>30</v>
      </c>
      <c r="G195" s="13">
        <f>+VLOOKUP(Tabla1103453454455456479120125258263265[[#This Row],[ArtÃ­culo]],Tabla34[#All],3,0)</f>
        <v>9.1207600099999997</v>
      </c>
      <c r="H195" s="14">
        <f>+Tabla1103453454455456479120125258263265[[#This Row],[Coste Componente]]*Tabla1103453454455456479120125258263265[[#This Row],[Unidades]]</f>
        <v>273.62280029999999</v>
      </c>
      <c r="J195" s="8" t="s">
        <v>16</v>
      </c>
      <c r="K195" s="15">
        <f>+K193-K194</f>
        <v>28703.703703703704</v>
      </c>
      <c r="M195" s="377" t="s">
        <v>1377</v>
      </c>
    </row>
    <row r="196" spans="2:13" x14ac:dyDescent="0.3">
      <c r="B196" s="10" t="s">
        <v>1194</v>
      </c>
      <c r="C196" s="11" t="s">
        <v>847</v>
      </c>
      <c r="D196" s="12">
        <v>1</v>
      </c>
      <c r="E196" s="12">
        <v>0</v>
      </c>
      <c r="F196" s="12">
        <v>1</v>
      </c>
      <c r="G196" s="13">
        <f>+VLOOKUP(Tabla1103453454455456479120125258263265[[#This Row],[ArtÃ­culo]],Tabla34[#All],3,0)</f>
        <v>726.66666667000004</v>
      </c>
      <c r="H196" s="14">
        <f>+Tabla1103453454455456479120125258263265[[#This Row],[Coste Componente]]*Tabla1103453454455456479120125258263265[[#This Row],[Unidades]]</f>
        <v>726.66666667000004</v>
      </c>
      <c r="J196" s="8" t="s">
        <v>17</v>
      </c>
      <c r="K196" s="22">
        <f>+K192/K195</f>
        <v>0.28554954274874317</v>
      </c>
      <c r="M196" s="346" t="s">
        <v>1755</v>
      </c>
    </row>
    <row r="197" spans="2:13" x14ac:dyDescent="0.3">
      <c r="B197" s="10" t="s">
        <v>50</v>
      </c>
      <c r="C197" s="11" t="s">
        <v>67</v>
      </c>
      <c r="D197" s="12">
        <v>40</v>
      </c>
      <c r="E197" s="12">
        <v>0</v>
      </c>
      <c r="F197" s="12">
        <v>40</v>
      </c>
      <c r="G197" s="13">
        <f>+VLOOKUP(Tabla1103453454455456479120125258263265[[#This Row],[ArtÃ­culo]],Tabla34[#All],3,0)</f>
        <v>15.28420193</v>
      </c>
      <c r="H197" s="14">
        <f>+Tabla1103453454455456479120125258263265[[#This Row],[Coste Componente]]*Tabla1103453454455456479120125258263265[[#This Row],[Unidades]]</f>
        <v>611.36807720000002</v>
      </c>
      <c r="J197" s="8" t="s">
        <v>18</v>
      </c>
      <c r="K197" s="23">
        <f>+K195-K192</f>
        <v>20507.374235915704</v>
      </c>
      <c r="M197" s="346" t="s">
        <v>1756</v>
      </c>
    </row>
    <row r="198" spans="2:13" x14ac:dyDescent="0.3">
      <c r="B198" s="10" t="s">
        <v>833</v>
      </c>
      <c r="C198" s="11" t="s">
        <v>67</v>
      </c>
      <c r="D198" s="12">
        <v>1</v>
      </c>
      <c r="E198" s="12">
        <v>0</v>
      </c>
      <c r="F198" s="12">
        <v>1</v>
      </c>
      <c r="G198" s="13">
        <f>+VLOOKUP(Tabla1103453454455456479120125258263265[[#This Row],[ArtÃ­culo]],Tabla34[#All],3,0)</f>
        <v>307.5</v>
      </c>
      <c r="H198" s="14">
        <f>+Tabla1103453454455456479120125258263265[[#This Row],[Coste Componente]]*Tabla1103453454455456479120125258263265[[#This Row],[Unidades]]</f>
        <v>307.5</v>
      </c>
      <c r="J198" s="8" t="s">
        <v>19</v>
      </c>
      <c r="K198" s="25">
        <f>+K197/K192</f>
        <v>2.5020192656372284</v>
      </c>
      <c r="M198" s="346" t="s">
        <v>1757</v>
      </c>
    </row>
    <row r="199" spans="2:13" x14ac:dyDescent="0.3">
      <c r="B199" s="10" t="s">
        <v>87</v>
      </c>
      <c r="C199" s="11" t="s">
        <v>67</v>
      </c>
      <c r="D199" s="12">
        <v>30</v>
      </c>
      <c r="E199" s="12">
        <v>0</v>
      </c>
      <c r="F199" s="12">
        <v>30</v>
      </c>
      <c r="G199" s="13">
        <f>+VLOOKUP(Tabla1103453454455456479120125258263265[[#This Row],[ArtÃ­culo]],Tabla34[#All],3,0)</f>
        <v>3.718</v>
      </c>
      <c r="H199" s="14">
        <f>+Tabla1103453454455456479120125258263265[[#This Row],[Coste Componente]]*Tabla1103453454455456479120125258263265[[#This Row],[Unidades]]</f>
        <v>111.53999999999999</v>
      </c>
      <c r="M199" s="346" t="s">
        <v>1758</v>
      </c>
    </row>
    <row r="200" spans="2:13" x14ac:dyDescent="0.3">
      <c r="B200" s="10" t="s">
        <v>745</v>
      </c>
      <c r="C200" s="11" t="s">
        <v>67</v>
      </c>
      <c r="D200" s="12">
        <v>1.0000000200000001</v>
      </c>
      <c r="E200" s="12">
        <v>5</v>
      </c>
      <c r="F200" s="12">
        <v>1.0526316</v>
      </c>
      <c r="G200" s="13">
        <f>+VLOOKUP(Tabla1103453454455456479120125258263265[[#This Row],[ArtÃ­culo]],Tabla34[#All],3,0)</f>
        <v>37.5</v>
      </c>
      <c r="H200" s="14">
        <f>+Tabla1103453454455456479120125258263265[[#This Row],[Coste Componente]]*Tabla1103453454455456479120125258263265[[#This Row],[Unidades]]</f>
        <v>39.473685000000003</v>
      </c>
    </row>
    <row r="201" spans="2:13" x14ac:dyDescent="0.3">
      <c r="B201" s="10" t="s">
        <v>37</v>
      </c>
      <c r="C201" s="11" t="s">
        <v>67</v>
      </c>
      <c r="D201" s="12">
        <v>1</v>
      </c>
      <c r="E201" s="12">
        <v>0</v>
      </c>
      <c r="F201" s="12">
        <v>1</v>
      </c>
      <c r="G201" s="13">
        <f>+VLOOKUP(Tabla1103453454455456479120125258263265[[#This Row],[ArtÃ­culo]],Tabla34[#All],3,0)</f>
        <v>14.25783539</v>
      </c>
      <c r="H201" s="14">
        <f>+Tabla1103453454455456479120125258263265[[#This Row],[Coste Componente]]*Tabla1103453454455456479120125258263265[[#This Row],[Unidades]]</f>
        <v>14.25783539</v>
      </c>
    </row>
    <row r="202" spans="2:13" x14ac:dyDescent="0.3">
      <c r="B202" s="10" t="s">
        <v>89</v>
      </c>
      <c r="C202" s="11" t="s">
        <v>67</v>
      </c>
      <c r="D202" s="12">
        <v>1</v>
      </c>
      <c r="E202" s="12">
        <v>0</v>
      </c>
      <c r="F202" s="12">
        <v>1</v>
      </c>
      <c r="G202" s="13">
        <f>+VLOOKUP(Tabla1103453454455456479120125258263265[[#This Row],[ArtÃ­culo]],Tabla34[#All],3,0)</f>
        <v>2.4009999999999998</v>
      </c>
      <c r="H202" s="14">
        <f>+Tabla1103453454455456479120125258263265[[#This Row],[Coste Componente]]*Tabla1103453454455456479120125258263265[[#This Row],[Unidades]]</f>
        <v>2.4009999999999998</v>
      </c>
    </row>
    <row r="203" spans="2:13" x14ac:dyDescent="0.3">
      <c r="B203" s="16"/>
      <c r="C203" s="17"/>
      <c r="D203" s="17"/>
      <c r="E203" s="17"/>
      <c r="F203" s="17"/>
      <c r="G203" s="18"/>
      <c r="H203" s="18">
        <f>SUBTOTAL(109,Tabla1103453454455456479120125258263265[Coste LÃ­nea])</f>
        <v>7806.0280645599987</v>
      </c>
    </row>
    <row r="206" spans="2:13" ht="15.6" x14ac:dyDescent="0.3">
      <c r="B206" s="1" t="s">
        <v>546</v>
      </c>
      <c r="C206" s="2"/>
      <c r="D206" s="2"/>
      <c r="E206" s="3"/>
      <c r="F206" s="3"/>
      <c r="G206" s="3"/>
      <c r="H206" s="3"/>
      <c r="J206" s="78" t="s">
        <v>0</v>
      </c>
      <c r="K206" s="78"/>
      <c r="M206" s="377" t="s">
        <v>1394</v>
      </c>
    </row>
    <row r="207" spans="2:13" x14ac:dyDescent="0.3">
      <c r="B207" t="s">
        <v>857</v>
      </c>
      <c r="C207" t="s">
        <v>895</v>
      </c>
      <c r="D207" t="s">
        <v>892</v>
      </c>
      <c r="E207" t="s">
        <v>893</v>
      </c>
      <c r="F207" t="s">
        <v>894</v>
      </c>
      <c r="G207" t="s">
        <v>901</v>
      </c>
      <c r="H207" t="s">
        <v>902</v>
      </c>
      <c r="J207" s="8" t="s">
        <v>6</v>
      </c>
      <c r="K207" s="9">
        <f>SUM(Tabla1103453454455456479120125258263265291[Coste LÃ­nea])</f>
        <v>5827.8852836100004</v>
      </c>
      <c r="M207" s="346"/>
    </row>
    <row r="208" spans="2:13" x14ac:dyDescent="0.3">
      <c r="B208" s="10" t="s">
        <v>283</v>
      </c>
      <c r="C208" s="11" t="s">
        <v>847</v>
      </c>
      <c r="D208" s="12">
        <v>6</v>
      </c>
      <c r="E208" s="12">
        <v>0</v>
      </c>
      <c r="F208" s="12">
        <v>6</v>
      </c>
      <c r="G208" s="13">
        <f>+VLOOKUP(Tabla1103453454455456479120125258263265291[[#This Row],[ArtÃ­culo]],Tabla34[#All],3,0)</f>
        <v>272.31950964999999</v>
      </c>
      <c r="H208" s="14">
        <f>+Tabla1103453454455456479120125258263265291[[#This Row],[Coste Componente]]*Tabla1103453454455456479120125258263265291[[#This Row],[Unidades]]</f>
        <v>1633.9170578999999</v>
      </c>
      <c r="J208" s="8" t="s">
        <v>12</v>
      </c>
      <c r="K208" s="15">
        <f>+K207*5%</f>
        <v>291.39426418050004</v>
      </c>
      <c r="M208" s="346"/>
    </row>
    <row r="209" spans="2:13" x14ac:dyDescent="0.3">
      <c r="B209" s="10" t="s">
        <v>712</v>
      </c>
      <c r="C209" s="11" t="s">
        <v>67</v>
      </c>
      <c r="D209" s="12">
        <v>30</v>
      </c>
      <c r="E209" s="12">
        <v>0</v>
      </c>
      <c r="F209" s="12">
        <v>30</v>
      </c>
      <c r="G209" s="13">
        <f>+VLOOKUP(Tabla1103453454455456479120125258263265291[[#This Row],[ArtÃ­culo]],Tabla34[#All],3,0)</f>
        <v>32.5</v>
      </c>
      <c r="H209" s="14">
        <f>+Tabla1103453454455456479120125258263265291[[#This Row],[Coste Componente]]*Tabla1103453454455456479120125258263265291[[#This Row],[Unidades]]</f>
        <v>975</v>
      </c>
      <c r="J209" s="8" t="s">
        <v>13</v>
      </c>
      <c r="K209" s="15">
        <f>+K207+K208</f>
        <v>6119.2795477905001</v>
      </c>
      <c r="M209" s="346"/>
    </row>
    <row r="210" spans="2:13" x14ac:dyDescent="0.3">
      <c r="B210" s="10" t="s">
        <v>1194</v>
      </c>
      <c r="C210" s="11" t="s">
        <v>847</v>
      </c>
      <c r="D210" s="12">
        <v>1</v>
      </c>
      <c r="E210" s="12">
        <v>0</v>
      </c>
      <c r="F210" s="12">
        <v>1</v>
      </c>
      <c r="G210" s="13">
        <f>+VLOOKUP(Tabla1103453454455456479120125258263265291[[#This Row],[ArtÃ­culo]],Tabla34[#All],3,0)</f>
        <v>726.66666667000004</v>
      </c>
      <c r="H210" s="14">
        <f>+Tabla1103453454455456479120125258263265291[[#This Row],[Coste Componente]]*Tabla1103453454455456479120125258263265291[[#This Row],[Unidades]]</f>
        <v>726.66666667000004</v>
      </c>
      <c r="J210" s="20" t="s">
        <v>44</v>
      </c>
      <c r="K210" s="21">
        <v>32000</v>
      </c>
      <c r="M210" s="346"/>
    </row>
    <row r="211" spans="2:13" x14ac:dyDescent="0.3">
      <c r="B211" s="10" t="s">
        <v>106</v>
      </c>
      <c r="C211" s="11" t="s">
        <v>67</v>
      </c>
      <c r="D211" s="12">
        <v>40</v>
      </c>
      <c r="E211" s="12">
        <v>0</v>
      </c>
      <c r="F211" s="12">
        <v>40</v>
      </c>
      <c r="G211" s="13">
        <f>+VLOOKUP(Tabla1103453454455456479120125258263265291[[#This Row],[ArtÃ­culo]],Tabla34[#All],3,0)</f>
        <v>19.804166670000001</v>
      </c>
      <c r="H211" s="14">
        <f>+Tabla1103453454455456479120125258263265291[[#This Row],[Coste Componente]]*Tabla1103453454455456479120125258263265291[[#This Row],[Unidades]]</f>
        <v>792.16666680000003</v>
      </c>
      <c r="J211" s="8" t="s">
        <v>15</v>
      </c>
      <c r="K211" s="15">
        <f>+K210/1.08*0.08</f>
        <v>2370.3703703703704</v>
      </c>
    </row>
    <row r="212" spans="2:13" x14ac:dyDescent="0.3">
      <c r="B212" s="10" t="s">
        <v>683</v>
      </c>
      <c r="C212" s="11" t="s">
        <v>67</v>
      </c>
      <c r="D212" s="12">
        <v>39.999999899999999</v>
      </c>
      <c r="E212" s="12">
        <v>30</v>
      </c>
      <c r="F212" s="12">
        <v>57.142856999999999</v>
      </c>
      <c r="G212" s="13">
        <f>+VLOOKUP(Tabla1103453454455456479120125258263265291[[#This Row],[ArtÃ­culo]],Tabla34[#All],3,0)</f>
        <v>8.5</v>
      </c>
      <c r="H212" s="14">
        <f>+Tabla1103453454455456479120125258263265291[[#This Row],[Coste Componente]]*Tabla1103453454455456479120125258263265291[[#This Row],[Unidades]]</f>
        <v>485.71428450000002</v>
      </c>
      <c r="J212" s="8" t="s">
        <v>16</v>
      </c>
      <c r="K212" s="15">
        <f>+K210-K211</f>
        <v>29629.629629629628</v>
      </c>
      <c r="M212" s="377" t="s">
        <v>1377</v>
      </c>
    </row>
    <row r="213" spans="2:13" x14ac:dyDescent="0.3">
      <c r="B213" s="10" t="s">
        <v>308</v>
      </c>
      <c r="C213" s="11" t="s">
        <v>67</v>
      </c>
      <c r="D213" s="12">
        <v>30</v>
      </c>
      <c r="E213" s="12">
        <v>0</v>
      </c>
      <c r="F213" s="12">
        <v>30</v>
      </c>
      <c r="G213" s="13">
        <f>+VLOOKUP(Tabla1103453454455456479120125258263265291[[#This Row],[ArtÃ­culo]],Tabla34[#All],3,0)</f>
        <v>24.115200000000002</v>
      </c>
      <c r="H213" s="14">
        <f>+Tabla1103453454455456479120125258263265291[[#This Row],[Coste Componente]]*Tabla1103453454455456479120125258263265291[[#This Row],[Unidades]]</f>
        <v>723.45600000000002</v>
      </c>
      <c r="J213" s="8" t="s">
        <v>17</v>
      </c>
      <c r="K213" s="22">
        <f>+K209/K212</f>
        <v>0.2065256847379294</v>
      </c>
      <c r="M213" s="346"/>
    </row>
    <row r="214" spans="2:13" x14ac:dyDescent="0.3">
      <c r="B214" s="10" t="s">
        <v>141</v>
      </c>
      <c r="C214" s="11" t="s">
        <v>67</v>
      </c>
      <c r="D214" s="12">
        <v>15</v>
      </c>
      <c r="E214" s="12">
        <v>0</v>
      </c>
      <c r="F214" s="12">
        <v>15</v>
      </c>
      <c r="G214" s="13">
        <f>+VLOOKUP(Tabla1103453454455456479120125258263265291[[#This Row],[ArtÃ­culo]],Tabla34[#All],3,0)</f>
        <v>18.392951490000002</v>
      </c>
      <c r="H214" s="14">
        <f>+Tabla1103453454455456479120125258263265291[[#This Row],[Coste Componente]]*Tabla1103453454455456479120125258263265291[[#This Row],[Unidades]]</f>
        <v>275.89427235000005</v>
      </c>
      <c r="J214" s="8" t="s">
        <v>18</v>
      </c>
      <c r="K214" s="23">
        <f>+K212-K209</f>
        <v>23510.350081839126</v>
      </c>
      <c r="M214" s="346"/>
    </row>
    <row r="215" spans="2:13" x14ac:dyDescent="0.3">
      <c r="B215" s="10" t="s">
        <v>451</v>
      </c>
      <c r="C215" s="11" t="s">
        <v>67</v>
      </c>
      <c r="D215" s="12">
        <v>3</v>
      </c>
      <c r="E215" s="12">
        <v>0</v>
      </c>
      <c r="F215" s="12">
        <v>3</v>
      </c>
      <c r="G215" s="13">
        <f>+VLOOKUP(Tabla1103453454455456479120125258263265291[[#This Row],[ArtÃ­culo]],Tabla34[#All],3,0)</f>
        <v>60.987499999999997</v>
      </c>
      <c r="H215" s="14">
        <f>+Tabla1103453454455456479120125258263265291[[#This Row],[Coste Componente]]*Tabla1103453454455456479120125258263265291[[#This Row],[Unidades]]</f>
        <v>182.96249999999998</v>
      </c>
      <c r="J215" s="8" t="s">
        <v>19</v>
      </c>
      <c r="K215" s="25">
        <f>+K214/K209</f>
        <v>3.8420127562775019</v>
      </c>
      <c r="M215" s="346"/>
    </row>
    <row r="216" spans="2:13" x14ac:dyDescent="0.3">
      <c r="B216" s="10" t="s">
        <v>634</v>
      </c>
      <c r="C216" s="11" t="s">
        <v>67</v>
      </c>
      <c r="D216" s="12">
        <v>2</v>
      </c>
      <c r="E216" s="12">
        <v>0</v>
      </c>
      <c r="F216" s="12">
        <v>2</v>
      </c>
      <c r="G216" s="13">
        <f>+VLOOKUP(Tabla1103453454455456479120125258263265291[[#This Row],[ArtÃ­culo]],Tabla34[#All],3,0)</f>
        <v>8.9250000000000007</v>
      </c>
      <c r="H216" s="14">
        <f>+Tabla1103453454455456479120125258263265291[[#This Row],[Coste Componente]]*Tabla1103453454455456479120125258263265291[[#This Row],[Unidades]]</f>
        <v>17.850000000000001</v>
      </c>
      <c r="M216" s="346"/>
    </row>
    <row r="217" spans="2:13" x14ac:dyDescent="0.3">
      <c r="B217" s="10" t="s">
        <v>37</v>
      </c>
      <c r="C217" s="11" t="s">
        <v>67</v>
      </c>
      <c r="D217" s="12">
        <v>1</v>
      </c>
      <c r="E217" s="12">
        <v>0</v>
      </c>
      <c r="F217" s="12">
        <v>1</v>
      </c>
      <c r="G217" s="13">
        <f>+VLOOKUP(Tabla1103453454455456479120125258263265291[[#This Row],[ArtÃ­culo]],Tabla34[#All],3,0)</f>
        <v>14.25783539</v>
      </c>
      <c r="H217" s="14">
        <f>+Tabla1103453454455456479120125258263265291[[#This Row],[Coste Componente]]*Tabla1103453454455456479120125258263265291[[#This Row],[Unidades]]</f>
        <v>14.25783539</v>
      </c>
    </row>
    <row r="218" spans="2:13" x14ac:dyDescent="0.3">
      <c r="B218" s="16"/>
      <c r="C218" s="17"/>
      <c r="D218" s="17"/>
      <c r="E218" s="17"/>
      <c r="F218" s="17"/>
      <c r="G218" s="18"/>
      <c r="H218" s="18">
        <f>SUBTOTAL(109,Tabla1103453454455456479120125258263265291[Coste LÃ­nea])</f>
        <v>5827.8852836100004</v>
      </c>
    </row>
    <row r="221" spans="2:13" ht="15.6" x14ac:dyDescent="0.3">
      <c r="B221" s="1" t="s">
        <v>547</v>
      </c>
      <c r="C221" s="2"/>
      <c r="D221" s="2"/>
      <c r="E221" s="3"/>
      <c r="F221" s="3"/>
      <c r="G221" s="3"/>
      <c r="H221" s="3"/>
      <c r="J221" s="78" t="s">
        <v>0</v>
      </c>
      <c r="K221" s="78"/>
      <c r="M221" s="377" t="s">
        <v>1394</v>
      </c>
    </row>
    <row r="222" spans="2:13" x14ac:dyDescent="0.3">
      <c r="B222" t="s">
        <v>857</v>
      </c>
      <c r="C222" t="s">
        <v>895</v>
      </c>
      <c r="D222" t="s">
        <v>892</v>
      </c>
      <c r="E222" t="s">
        <v>893</v>
      </c>
      <c r="F222" t="s">
        <v>894</v>
      </c>
      <c r="G222" t="s">
        <v>901</v>
      </c>
      <c r="H222" t="s">
        <v>902</v>
      </c>
      <c r="J222" s="8" t="s">
        <v>6</v>
      </c>
      <c r="K222" s="9">
        <f>SUM(Tabla1103453454455456479120125258263265291292[Coste LÃ­nea])</f>
        <v>5377.7845313200005</v>
      </c>
      <c r="M222" s="346"/>
    </row>
    <row r="223" spans="2:13" x14ac:dyDescent="0.3">
      <c r="B223" s="10" t="s">
        <v>283</v>
      </c>
      <c r="C223" s="11" t="s">
        <v>847</v>
      </c>
      <c r="D223" s="12">
        <v>6</v>
      </c>
      <c r="E223" s="12">
        <v>0</v>
      </c>
      <c r="F223" s="12">
        <v>6</v>
      </c>
      <c r="G223" s="13">
        <f>+VLOOKUP(Tabla1103453454455456479120125258263265291292[[#This Row],[ArtÃ­culo]],Tabla34[#All],3,0)</f>
        <v>272.31950964999999</v>
      </c>
      <c r="H223" s="14">
        <f>+Tabla1103453454455456479120125258263265291292[[#This Row],[Coste Componente]]*Tabla1103453454455456479120125258263265291292[[#This Row],[Unidades]]</f>
        <v>1633.9170578999999</v>
      </c>
      <c r="J223" s="8" t="s">
        <v>12</v>
      </c>
      <c r="K223" s="15">
        <f>+K222*5%</f>
        <v>268.88922656600005</v>
      </c>
      <c r="M223" s="346"/>
    </row>
    <row r="224" spans="2:13" x14ac:dyDescent="0.3">
      <c r="B224" s="10" t="s">
        <v>712</v>
      </c>
      <c r="C224" s="11" t="s">
        <v>67</v>
      </c>
      <c r="D224" s="12">
        <v>30</v>
      </c>
      <c r="E224" s="12">
        <v>0</v>
      </c>
      <c r="F224" s="12">
        <v>30</v>
      </c>
      <c r="G224" s="13">
        <f>+VLOOKUP(Tabla1103453454455456479120125258263265291292[[#This Row],[ArtÃ­culo]],Tabla34[#All],3,0)</f>
        <v>32.5</v>
      </c>
      <c r="H224" s="14">
        <f>+Tabla1103453454455456479120125258263265291292[[#This Row],[Coste Componente]]*Tabla1103453454455456479120125258263265291292[[#This Row],[Unidades]]</f>
        <v>975</v>
      </c>
      <c r="J224" s="8" t="s">
        <v>13</v>
      </c>
      <c r="K224" s="15">
        <f>+K222+K223</f>
        <v>5646.6737578860002</v>
      </c>
      <c r="M224" s="346"/>
    </row>
    <row r="225" spans="2:13" x14ac:dyDescent="0.3">
      <c r="B225" s="10" t="s">
        <v>1194</v>
      </c>
      <c r="C225" s="11" t="s">
        <v>847</v>
      </c>
      <c r="D225" s="12">
        <v>1</v>
      </c>
      <c r="E225" s="12">
        <v>0</v>
      </c>
      <c r="F225" s="12">
        <v>1</v>
      </c>
      <c r="G225" s="13">
        <f>+VLOOKUP(Tabla1103453454455456479120125258263265291292[[#This Row],[ArtÃ­culo]],Tabla34[#All],3,0)</f>
        <v>726.66666667000004</v>
      </c>
      <c r="H225" s="14">
        <f>+Tabla1103453454455456479120125258263265291292[[#This Row],[Coste Componente]]*Tabla1103453454455456479120125258263265291292[[#This Row],[Unidades]]</f>
        <v>726.66666667000004</v>
      </c>
      <c r="J225" s="20" t="s">
        <v>44</v>
      </c>
      <c r="K225" s="21">
        <v>32000</v>
      </c>
      <c r="M225" s="346"/>
    </row>
    <row r="226" spans="2:13" x14ac:dyDescent="0.3">
      <c r="B226" s="10" t="s">
        <v>683</v>
      </c>
      <c r="C226" s="11" t="s">
        <v>67</v>
      </c>
      <c r="D226" s="12">
        <v>39.999999899999999</v>
      </c>
      <c r="E226" s="12">
        <v>30</v>
      </c>
      <c r="F226" s="12">
        <v>57.142856999999999</v>
      </c>
      <c r="G226" s="13">
        <f>+VLOOKUP(Tabla1103453454455456479120125258263265291292[[#This Row],[ArtÃ­culo]],Tabla34[#All],3,0)</f>
        <v>8.5</v>
      </c>
      <c r="H226" s="14">
        <f>+Tabla1103453454455456479120125258263265291292[[#This Row],[Coste Componente]]*Tabla1103453454455456479120125258263265291292[[#This Row],[Unidades]]</f>
        <v>485.71428450000002</v>
      </c>
      <c r="J226" s="8" t="s">
        <v>15</v>
      </c>
      <c r="K226" s="15">
        <f>+K225/1.08*0.08</f>
        <v>2370.3703703703704</v>
      </c>
    </row>
    <row r="227" spans="2:13" x14ac:dyDescent="0.3">
      <c r="B227" s="10" t="s">
        <v>308</v>
      </c>
      <c r="C227" s="11" t="s">
        <v>67</v>
      </c>
      <c r="D227" s="12">
        <v>30</v>
      </c>
      <c r="E227" s="12">
        <v>0</v>
      </c>
      <c r="F227" s="12">
        <v>30</v>
      </c>
      <c r="G227" s="13">
        <f>+VLOOKUP(Tabla1103453454455456479120125258263265291292[[#This Row],[ArtÃ­culo]],Tabla34[#All],3,0)</f>
        <v>24.115200000000002</v>
      </c>
      <c r="H227" s="14">
        <f>+Tabla1103453454455456479120125258263265291292[[#This Row],[Coste Componente]]*Tabla1103453454455456479120125258263265291292[[#This Row],[Unidades]]</f>
        <v>723.45600000000002</v>
      </c>
      <c r="J227" s="8" t="s">
        <v>16</v>
      </c>
      <c r="K227" s="15">
        <f>+K225-K226</f>
        <v>29629.629629629628</v>
      </c>
      <c r="M227" s="377" t="s">
        <v>1377</v>
      </c>
    </row>
    <row r="228" spans="2:13" x14ac:dyDescent="0.3">
      <c r="B228" s="10" t="s">
        <v>213</v>
      </c>
      <c r="C228" s="11" t="s">
        <v>67</v>
      </c>
      <c r="D228" s="12">
        <v>30</v>
      </c>
      <c r="E228" s="12">
        <v>0</v>
      </c>
      <c r="F228" s="12">
        <v>30</v>
      </c>
      <c r="G228" s="13">
        <f>+VLOOKUP(Tabla1103453454455456479120125258263265291292[[#This Row],[ArtÃ­culo]],Tabla34[#All],3,0)</f>
        <v>18.571208330000001</v>
      </c>
      <c r="H228" s="14">
        <f>+Tabla1103453454455456479120125258263265291292[[#This Row],[Coste Componente]]*Tabla1103453454455456479120125258263265291292[[#This Row],[Unidades]]</f>
        <v>557.13624990000005</v>
      </c>
      <c r="J228" s="8" t="s">
        <v>17</v>
      </c>
      <c r="K228" s="22">
        <f>+K224/K227</f>
        <v>0.19057523932865253</v>
      </c>
      <c r="M228" s="346"/>
    </row>
    <row r="229" spans="2:13" x14ac:dyDescent="0.3">
      <c r="B229" s="10" t="s">
        <v>141</v>
      </c>
      <c r="C229" s="11" t="s">
        <v>67</v>
      </c>
      <c r="D229" s="12">
        <v>15</v>
      </c>
      <c r="E229" s="12">
        <v>0</v>
      </c>
      <c r="F229" s="12">
        <v>15</v>
      </c>
      <c r="G229" s="13">
        <f>+VLOOKUP(Tabla1103453454455456479120125258263265291292[[#This Row],[ArtÃ­culo]],Tabla34[#All],3,0)</f>
        <v>18.392951490000002</v>
      </c>
      <c r="H229" s="14">
        <f>+Tabla1103453454455456479120125258263265291292[[#This Row],[Coste Componente]]*Tabla1103453454455456479120125258263265291292[[#This Row],[Unidades]]</f>
        <v>275.89427235000005</v>
      </c>
      <c r="J229" s="8" t="s">
        <v>18</v>
      </c>
      <c r="K229" s="23">
        <f>+K227-K224</f>
        <v>23982.955871743627</v>
      </c>
      <c r="M229" s="346"/>
    </row>
    <row r="230" spans="2:13" x14ac:dyDescent="0.3">
      <c r="B230" s="16"/>
      <c r="C230" s="17"/>
      <c r="D230" s="17"/>
      <c r="E230" s="17"/>
      <c r="F230" s="17"/>
      <c r="G230" s="18"/>
      <c r="H230" s="18">
        <f>SUBTOTAL(109,Tabla1103453454455456479120125258263265291292[Coste LÃ­nea])</f>
        <v>5377.7845313200005</v>
      </c>
      <c r="J230" s="8" t="s">
        <v>19</v>
      </c>
      <c r="K230" s="25">
        <f>+K229/K224</f>
        <v>4.2472713849015351</v>
      </c>
      <c r="M230" s="346"/>
    </row>
    <row r="231" spans="2:13" x14ac:dyDescent="0.3">
      <c r="M231" s="346"/>
    </row>
    <row r="233" spans="2:13" ht="15.6" x14ac:dyDescent="0.3">
      <c r="B233" s="1" t="s">
        <v>318</v>
      </c>
      <c r="C233" s="2"/>
      <c r="D233" s="2"/>
      <c r="E233" s="3"/>
      <c r="F233" s="3"/>
      <c r="G233" s="3"/>
      <c r="H233" s="3"/>
      <c r="I233" s="4"/>
      <c r="J233" s="78" t="s">
        <v>0</v>
      </c>
      <c r="K233" s="78"/>
      <c r="M233" s="377" t="s">
        <v>1394</v>
      </c>
    </row>
    <row r="234" spans="2:13" x14ac:dyDescent="0.3">
      <c r="B234" t="s">
        <v>857</v>
      </c>
      <c r="C234" t="s">
        <v>895</v>
      </c>
      <c r="D234" t="s">
        <v>892</v>
      </c>
      <c r="E234" t="s">
        <v>893</v>
      </c>
      <c r="F234" t="s">
        <v>894</v>
      </c>
      <c r="G234" t="s">
        <v>901</v>
      </c>
      <c r="H234" t="s">
        <v>902</v>
      </c>
      <c r="I234" s="4"/>
      <c r="J234" s="8" t="s">
        <v>6</v>
      </c>
      <c r="K234" s="9">
        <f>SUM(Tabla11034534544554564793638293[Coste LÃ­nea])</f>
        <v>9230.1927164000008</v>
      </c>
      <c r="M234" s="346" t="s">
        <v>1390</v>
      </c>
    </row>
    <row r="235" spans="2:13" x14ac:dyDescent="0.3">
      <c r="B235" s="10" t="s">
        <v>820</v>
      </c>
      <c r="C235" s="11" t="s">
        <v>67</v>
      </c>
      <c r="D235" s="12">
        <v>50.000000999999997</v>
      </c>
      <c r="E235" s="12">
        <v>5</v>
      </c>
      <c r="F235" s="12">
        <v>52.63158</v>
      </c>
      <c r="G235" s="13">
        <f>+VLOOKUP(Tabla11034534544554564793638293[[#This Row],[ArtÃ­culo]],Tabla34[#All],3,0)</f>
        <v>35</v>
      </c>
      <c r="H235" s="14">
        <f>+Tabla11034534544554564793638293[[#This Row],[Coste Componente]]*Tabla11034534544554564793638293[[#This Row],[Unidades]]</f>
        <v>1842.1052999999999</v>
      </c>
      <c r="I235" s="4"/>
      <c r="J235" s="8" t="s">
        <v>12</v>
      </c>
      <c r="K235" s="15">
        <f>+K234*10%</f>
        <v>923.01927164000017</v>
      </c>
      <c r="M235" s="346" t="s">
        <v>1391</v>
      </c>
    </row>
    <row r="236" spans="2:13" x14ac:dyDescent="0.3">
      <c r="B236" s="10" t="s">
        <v>633</v>
      </c>
      <c r="C236" s="11" t="s">
        <v>67</v>
      </c>
      <c r="D236" s="12">
        <v>50.000000999999997</v>
      </c>
      <c r="E236" s="12">
        <v>5</v>
      </c>
      <c r="F236" s="12">
        <v>52.63158</v>
      </c>
      <c r="G236" s="13">
        <f>+VLOOKUP(Tabla11034534544554564793638293[[#This Row],[ArtÃ­culo]],Tabla34[#All],3,0)</f>
        <v>27</v>
      </c>
      <c r="H236" s="14">
        <f>+Tabla11034534544554564793638293[[#This Row],[Coste Componente]]*Tabla11034534544554564793638293[[#This Row],[Unidades]]</f>
        <v>1421.0526600000001</v>
      </c>
      <c r="I236" s="4"/>
      <c r="J236" s="8" t="s">
        <v>13</v>
      </c>
      <c r="K236" s="15">
        <f>+K234+K235</f>
        <v>10153.211988040001</v>
      </c>
      <c r="M236" s="346" t="s">
        <v>1392</v>
      </c>
    </row>
    <row r="237" spans="2:13" x14ac:dyDescent="0.3">
      <c r="B237" s="10" t="s">
        <v>805</v>
      </c>
      <c r="C237" s="11" t="s">
        <v>67</v>
      </c>
      <c r="D237" s="12">
        <v>50.000000999999997</v>
      </c>
      <c r="E237" s="12">
        <v>5</v>
      </c>
      <c r="F237" s="12">
        <v>52.63158</v>
      </c>
      <c r="G237" s="13">
        <f>+VLOOKUP(Tabla11034534544554564793638293[[#This Row],[ArtÃ­culo]],Tabla34[#All],3,0)</f>
        <v>28</v>
      </c>
      <c r="H237" s="14">
        <f>+Tabla11034534544554564793638293[[#This Row],[Coste Componente]]*Tabla11034534544554564793638293[[#This Row],[Unidades]]</f>
        <v>1473.68424</v>
      </c>
      <c r="I237" s="4"/>
      <c r="J237" s="20" t="s">
        <v>14</v>
      </c>
      <c r="K237" s="21">
        <v>37000</v>
      </c>
      <c r="M237" s="346" t="s">
        <v>1393</v>
      </c>
    </row>
    <row r="238" spans="2:13" x14ac:dyDescent="0.3">
      <c r="B238" s="10" t="s">
        <v>451</v>
      </c>
      <c r="C238" s="11" t="s">
        <v>67</v>
      </c>
      <c r="D238" s="12">
        <v>20</v>
      </c>
      <c r="E238" s="12">
        <v>0</v>
      </c>
      <c r="F238" s="12">
        <v>20</v>
      </c>
      <c r="G238" s="13">
        <f>+VLOOKUP(Tabla11034534544554564793638293[[#This Row],[ArtÃ­culo]],Tabla34[#All],3,0)</f>
        <v>60.987499999999997</v>
      </c>
      <c r="H238" s="14">
        <f>+Tabla11034534544554564793638293[[#This Row],[Coste Componente]]*Tabla11034534544554564793638293[[#This Row],[Unidades]]</f>
        <v>1219.75</v>
      </c>
      <c r="I238" s="4"/>
      <c r="J238" s="8" t="s">
        <v>15</v>
      </c>
      <c r="K238" s="15">
        <f>+K237/1.08*0.08</f>
        <v>2740.7407407407404</v>
      </c>
      <c r="M238" s="346" t="s">
        <v>1759</v>
      </c>
    </row>
    <row r="239" spans="2:13" x14ac:dyDescent="0.3">
      <c r="B239" s="10" t="s">
        <v>103</v>
      </c>
      <c r="C239" s="11" t="s">
        <v>847</v>
      </c>
      <c r="D239" s="12">
        <v>0.33</v>
      </c>
      <c r="E239" s="12">
        <v>0</v>
      </c>
      <c r="F239" s="12">
        <v>0.33</v>
      </c>
      <c r="G239" s="13">
        <f>+VLOOKUP(Tabla11034534544554564793638293[[#This Row],[ArtÃ­culo]],Tabla34[#All],3,0)</f>
        <v>2800</v>
      </c>
      <c r="H239" s="14">
        <f>+Tabla11034534544554564793638293[[#This Row],[Coste Componente]]*Tabla11034534544554564793638293[[#This Row],[Unidades]]</f>
        <v>924</v>
      </c>
      <c r="I239" s="27"/>
      <c r="J239" s="8" t="s">
        <v>16</v>
      </c>
      <c r="K239" s="15">
        <f>+K237-K238</f>
        <v>34259.259259259263</v>
      </c>
      <c r="M239" s="346"/>
    </row>
    <row r="240" spans="2:13" x14ac:dyDescent="0.3">
      <c r="B240" s="10" t="s">
        <v>308</v>
      </c>
      <c r="C240" s="11" t="s">
        <v>67</v>
      </c>
      <c r="D240" s="12">
        <v>40</v>
      </c>
      <c r="E240" s="12">
        <v>0</v>
      </c>
      <c r="F240" s="12">
        <v>40</v>
      </c>
      <c r="G240" s="13">
        <f>+VLOOKUP(Tabla11034534544554564793638293[[#This Row],[ArtÃ­culo]],Tabla34[#All],3,0)</f>
        <v>24.115200000000002</v>
      </c>
      <c r="H240" s="14">
        <f>+Tabla11034534544554564793638293[[#This Row],[Coste Componente]]*Tabla11034534544554564793638293[[#This Row],[Unidades]]</f>
        <v>964.60800000000006</v>
      </c>
      <c r="J240" s="8" t="s">
        <v>17</v>
      </c>
      <c r="K240" s="22">
        <f>+K236/K239</f>
        <v>0.29636402559684322</v>
      </c>
      <c r="M240" s="377" t="s">
        <v>1377</v>
      </c>
    </row>
    <row r="241" spans="2:13" x14ac:dyDescent="0.3">
      <c r="B241" s="10" t="s">
        <v>106</v>
      </c>
      <c r="C241" s="11" t="s">
        <v>67</v>
      </c>
      <c r="D241" s="12">
        <v>30</v>
      </c>
      <c r="E241" s="12">
        <v>0</v>
      </c>
      <c r="F241" s="12">
        <v>30</v>
      </c>
      <c r="G241" s="13">
        <f>+VLOOKUP(Tabla11034534544554564793638293[[#This Row],[ArtÃ­culo]],Tabla34[#All],3,0)</f>
        <v>19.804166670000001</v>
      </c>
      <c r="H241" s="13">
        <f>+Tabla11034534544554564793638293[[#This Row],[Coste Componente]]*Tabla11034534544554564793638293[[#This Row],[Unidades]]</f>
        <v>594.12500010000008</v>
      </c>
      <c r="I241" s="4"/>
      <c r="J241" s="8" t="s">
        <v>18</v>
      </c>
      <c r="K241" s="23">
        <f>+K239-K236</f>
        <v>24106.047271219264</v>
      </c>
      <c r="M241" s="346" t="s">
        <v>1396</v>
      </c>
    </row>
    <row r="242" spans="2:13" x14ac:dyDescent="0.3">
      <c r="B242" s="10" t="s">
        <v>631</v>
      </c>
      <c r="C242" s="11" t="s">
        <v>67</v>
      </c>
      <c r="D242" s="12">
        <v>10</v>
      </c>
      <c r="E242" s="12">
        <v>0</v>
      </c>
      <c r="F242" s="12">
        <v>10</v>
      </c>
      <c r="G242" s="13">
        <f>+VLOOKUP(Tabla11034534544554564793638293[[#This Row],[ArtÃ­culo]],Tabla34[#All],3,0)</f>
        <v>34.714285709999999</v>
      </c>
      <c r="H242" s="14">
        <f>+Tabla11034534544554564793638293[[#This Row],[Coste Componente]]*Tabla11034534544554564793638293[[#This Row],[Unidades]]</f>
        <v>347.14285710000001</v>
      </c>
      <c r="I242" s="4"/>
      <c r="J242" s="8" t="s">
        <v>19</v>
      </c>
      <c r="K242" s="25">
        <f>+K241/K236</f>
        <v>2.3742286972452695</v>
      </c>
      <c r="M242" s="346" t="s">
        <v>1388</v>
      </c>
    </row>
    <row r="243" spans="2:13" x14ac:dyDescent="0.3">
      <c r="B243" s="10" t="s">
        <v>833</v>
      </c>
      <c r="C243" s="11" t="s">
        <v>67</v>
      </c>
      <c r="D243" s="12">
        <v>1</v>
      </c>
      <c r="E243" s="12">
        <v>0</v>
      </c>
      <c r="F243" s="12">
        <v>1</v>
      </c>
      <c r="G243" s="13">
        <f>+VLOOKUP(Tabla11034534544554564793638293[[#This Row],[ArtÃ­culo]],Tabla34[#All],3,0)</f>
        <v>307.5</v>
      </c>
      <c r="H243" s="14">
        <f>+Tabla11034534544554564793638293[[#This Row],[Coste Componente]]*Tabla11034534544554564793638293[[#This Row],[Unidades]]</f>
        <v>307.5</v>
      </c>
      <c r="I243" s="4"/>
      <c r="J243" s="4"/>
      <c r="K243" s="31"/>
      <c r="M243" s="346" t="s">
        <v>1389</v>
      </c>
    </row>
    <row r="244" spans="2:13" x14ac:dyDescent="0.3">
      <c r="B244" s="10" t="s">
        <v>687</v>
      </c>
      <c r="C244" s="11" t="s">
        <v>67</v>
      </c>
      <c r="D244" s="12">
        <v>14.99999987</v>
      </c>
      <c r="E244" s="12">
        <v>17</v>
      </c>
      <c r="F244" s="12">
        <v>18.072289000000001</v>
      </c>
      <c r="G244" s="13">
        <f>+VLOOKUP(Tabla11034534544554564793638293[[#This Row],[ArtÃ­culo]],Tabla34[#All],3,0)</f>
        <v>2.8</v>
      </c>
      <c r="H244" s="14">
        <f>+Tabla11034534544554564793638293[[#This Row],[Coste Componente]]*Tabla11034534544554564793638293[[#This Row],[Unidades]]</f>
        <v>50.602409200000004</v>
      </c>
      <c r="I244" s="4"/>
      <c r="J244" s="4"/>
      <c r="K244" s="31"/>
      <c r="M244" s="346"/>
    </row>
    <row r="245" spans="2:13" x14ac:dyDescent="0.3">
      <c r="B245" s="10" t="s">
        <v>313</v>
      </c>
      <c r="C245" s="11" t="s">
        <v>67</v>
      </c>
      <c r="D245" s="12">
        <v>5</v>
      </c>
      <c r="E245" s="12">
        <v>0</v>
      </c>
      <c r="F245" s="12">
        <v>5</v>
      </c>
      <c r="G245" s="13">
        <f>+VLOOKUP(Tabla11034534544554564793638293[[#This Row],[ArtÃ­culo]],Tabla34[#All],3,0)</f>
        <v>7.6838499999999996</v>
      </c>
      <c r="H245" s="14">
        <f>+Tabla11034534544554564793638293[[#This Row],[Coste Componente]]*Tabla11034534544554564793638293[[#This Row],[Unidades]]</f>
        <v>38.419249999999998</v>
      </c>
      <c r="I245" s="4"/>
      <c r="J245" s="4"/>
      <c r="K245" s="31"/>
    </row>
    <row r="246" spans="2:13" x14ac:dyDescent="0.3">
      <c r="B246" s="10" t="s">
        <v>818</v>
      </c>
      <c r="C246" s="11" t="s">
        <v>67</v>
      </c>
      <c r="D246" s="12">
        <v>3</v>
      </c>
      <c r="E246" s="12">
        <v>40</v>
      </c>
      <c r="F246" s="12">
        <v>5</v>
      </c>
      <c r="G246" s="13">
        <f>+VLOOKUP(Tabla11034534544554564793638293[[#This Row],[ArtÃ­culo]],Tabla34[#All],3,0)</f>
        <v>8</v>
      </c>
      <c r="H246" s="14">
        <f>+Tabla11034534544554564793638293[[#This Row],[Coste Componente]]*Tabla11034534544554564793638293[[#This Row],[Unidades]]</f>
        <v>40</v>
      </c>
      <c r="I246" s="4"/>
      <c r="J246" s="4"/>
      <c r="K246" s="31"/>
    </row>
    <row r="247" spans="2:13" x14ac:dyDescent="0.3">
      <c r="B247" s="10" t="s">
        <v>89</v>
      </c>
      <c r="C247" s="11" t="s">
        <v>67</v>
      </c>
      <c r="D247" s="12">
        <v>3</v>
      </c>
      <c r="E247" s="12">
        <v>0</v>
      </c>
      <c r="F247" s="12">
        <v>3</v>
      </c>
      <c r="G247" s="13">
        <f>+VLOOKUP(Tabla11034534544554564793638293[[#This Row],[ArtÃ­culo]],Tabla34[#All],3,0)</f>
        <v>2.4009999999999998</v>
      </c>
      <c r="H247" s="14">
        <f>+Tabla11034534544554564793638293[[#This Row],[Coste Componente]]*Tabla11034534544554564793638293[[#This Row],[Unidades]]</f>
        <v>7.2029999999999994</v>
      </c>
      <c r="I247" s="4"/>
      <c r="J247" s="4"/>
      <c r="K247" s="31"/>
    </row>
    <row r="248" spans="2:13" x14ac:dyDescent="0.3">
      <c r="B248" s="16"/>
      <c r="C248" s="17"/>
      <c r="D248" s="17"/>
      <c r="E248" s="17"/>
      <c r="F248" s="17"/>
      <c r="G248" s="18"/>
      <c r="H248" s="18">
        <f>SUBTOTAL(109,Tabla11034534544554564793638293[Coste LÃ­nea])</f>
        <v>9230.1927164000008</v>
      </c>
      <c r="I248" s="4"/>
      <c r="J248" s="4"/>
      <c r="K248" s="26"/>
    </row>
    <row r="251" spans="2:13" x14ac:dyDescent="0.3">
      <c r="B251" s="1" t="s">
        <v>548</v>
      </c>
      <c r="C251" s="2"/>
      <c r="D251" s="2"/>
      <c r="E251" s="3"/>
      <c r="F251" s="3"/>
      <c r="G251" s="3"/>
      <c r="H251" s="3"/>
      <c r="I251" s="4"/>
      <c r="J251" s="78" t="s">
        <v>0</v>
      </c>
      <c r="K251" s="78"/>
    </row>
    <row r="252" spans="2:13" ht="15.6" x14ac:dyDescent="0.3">
      <c r="B252" t="s">
        <v>857</v>
      </c>
      <c r="C252" t="s">
        <v>895</v>
      </c>
      <c r="D252" t="s">
        <v>892</v>
      </c>
      <c r="E252" t="s">
        <v>893</v>
      </c>
      <c r="F252" t="s">
        <v>894</v>
      </c>
      <c r="G252" t="s">
        <v>901</v>
      </c>
      <c r="H252" t="s">
        <v>902</v>
      </c>
      <c r="I252" s="4"/>
      <c r="J252" s="8" t="s">
        <v>6</v>
      </c>
      <c r="K252" s="9">
        <f>SUM(Tabla11034534544554564793638293294[Coste LÃ­nea])</f>
        <v>4914.4468496999989</v>
      </c>
      <c r="M252" s="377" t="s">
        <v>1394</v>
      </c>
    </row>
    <row r="253" spans="2:13" x14ac:dyDescent="0.3">
      <c r="B253" s="10" t="s">
        <v>1072</v>
      </c>
      <c r="C253" s="11" t="s">
        <v>67</v>
      </c>
      <c r="D253" s="12">
        <v>50</v>
      </c>
      <c r="E253" s="12">
        <v>0</v>
      </c>
      <c r="F253" s="12">
        <v>50</v>
      </c>
      <c r="G253" s="13">
        <f>+VLOOKUP(Tabla11034534544554564793638293294[[#This Row],[ArtÃ­culo]],Tabla34[#All],3,0)</f>
        <v>33.200159659999997</v>
      </c>
      <c r="H253" s="14">
        <f>+Tabla11034534544554564793638293294[[#This Row],[Coste Componente]]*Tabla11034534544554564793638293294[[#This Row],[Unidades]]</f>
        <v>1660.007983</v>
      </c>
      <c r="I253" s="4"/>
      <c r="J253" s="8" t="s">
        <v>12</v>
      </c>
      <c r="K253" s="15">
        <f>+K252*10%</f>
        <v>491.44468496999991</v>
      </c>
      <c r="M253" s="346"/>
    </row>
    <row r="254" spans="2:13" x14ac:dyDescent="0.3">
      <c r="B254" s="10" t="s">
        <v>724</v>
      </c>
      <c r="C254" s="11" t="s">
        <v>67</v>
      </c>
      <c r="D254" s="12">
        <v>150</v>
      </c>
      <c r="E254" s="12">
        <v>0</v>
      </c>
      <c r="F254" s="12">
        <v>150</v>
      </c>
      <c r="G254" s="13">
        <f>+VLOOKUP(Tabla11034534544554564793638293294[[#This Row],[ArtÃ­culo]],Tabla34[#All],3,0)</f>
        <v>17.88</v>
      </c>
      <c r="H254" s="14">
        <f>+Tabla11034534544554564793638293294[[#This Row],[Coste Componente]]*Tabla11034534544554564793638293294[[#This Row],[Unidades]]</f>
        <v>2682</v>
      </c>
      <c r="I254" s="4"/>
      <c r="J254" s="8" t="s">
        <v>13</v>
      </c>
      <c r="K254" s="15">
        <f>+K252+K253</f>
        <v>5405.8915346699987</v>
      </c>
      <c r="M254" s="346"/>
    </row>
    <row r="255" spans="2:13" x14ac:dyDescent="0.3">
      <c r="B255" s="10" t="s">
        <v>101</v>
      </c>
      <c r="C255" s="11" t="s">
        <v>67</v>
      </c>
      <c r="D255" s="12">
        <v>20</v>
      </c>
      <c r="E255" s="12">
        <v>0</v>
      </c>
      <c r="F255" s="12">
        <v>20</v>
      </c>
      <c r="G255" s="13">
        <f>+VLOOKUP(Tabla11034534544554564793638293294[[#This Row],[ArtÃ­culo]],Tabla34[#All],3,0)</f>
        <v>21.149943329999999</v>
      </c>
      <c r="H255" s="14">
        <f>+Tabla11034534544554564793638293294[[#This Row],[Coste Componente]]*Tabla11034534544554564793638293294[[#This Row],[Unidades]]</f>
        <v>422.99886659999999</v>
      </c>
      <c r="I255" s="4"/>
      <c r="J255" s="20" t="s">
        <v>14</v>
      </c>
      <c r="K255" s="21">
        <v>12000</v>
      </c>
      <c r="M255" s="346"/>
    </row>
    <row r="256" spans="2:13" x14ac:dyDescent="0.3">
      <c r="B256" s="10" t="s">
        <v>85</v>
      </c>
      <c r="C256" s="11" t="s">
        <v>67</v>
      </c>
      <c r="D256" s="12">
        <v>30</v>
      </c>
      <c r="E256" s="12">
        <v>0</v>
      </c>
      <c r="F256" s="12">
        <v>30</v>
      </c>
      <c r="G256" s="13">
        <f>+VLOOKUP(Tabla11034534544554564793638293294[[#This Row],[ArtÃ­culo]],Tabla34[#All],3,0)</f>
        <v>4.8816666700000004</v>
      </c>
      <c r="H256" s="14">
        <f>+Tabla11034534544554564793638293294[[#This Row],[Coste Componente]]*Tabla11034534544554564793638293294[[#This Row],[Unidades]]</f>
        <v>146.45000010000001</v>
      </c>
      <c r="I256" s="4"/>
      <c r="J256" s="8" t="s">
        <v>15</v>
      </c>
      <c r="K256" s="15">
        <f>+K255/1.08*0.08</f>
        <v>888.8888888888888</v>
      </c>
      <c r="M256" s="346"/>
    </row>
    <row r="257" spans="2:13" x14ac:dyDescent="0.3">
      <c r="B257" s="10" t="s">
        <v>210</v>
      </c>
      <c r="C257" s="11" t="s">
        <v>67</v>
      </c>
      <c r="D257" s="12">
        <v>1</v>
      </c>
      <c r="E257" s="12">
        <v>0</v>
      </c>
      <c r="F257" s="12">
        <v>1</v>
      </c>
      <c r="G257" s="13">
        <f>+VLOOKUP(Tabla11034534544554564793638293294[[#This Row],[ArtÃ­culo]],Tabla34[#All],3,0)</f>
        <v>2.99</v>
      </c>
      <c r="H257" s="14">
        <f>+Tabla11034534544554564793638293294[[#This Row],[Coste Componente]]*Tabla11034534544554564793638293294[[#This Row],[Unidades]]</f>
        <v>2.99</v>
      </c>
      <c r="I257" s="27"/>
      <c r="J257" s="8" t="s">
        <v>16</v>
      </c>
      <c r="K257" s="15">
        <f>+K255-K256</f>
        <v>11111.111111111111</v>
      </c>
    </row>
    <row r="258" spans="2:13" x14ac:dyDescent="0.3">
      <c r="B258" s="16"/>
      <c r="C258" s="17"/>
      <c r="D258" s="17"/>
      <c r="E258" s="17"/>
      <c r="F258" s="17"/>
      <c r="G258" s="18"/>
      <c r="H258" s="18">
        <f>SUBTOTAL(109,Tabla11034534544554564793638293294[Coste LÃ­nea])</f>
        <v>4914.4468496999989</v>
      </c>
      <c r="J258" s="8" t="s">
        <v>17</v>
      </c>
      <c r="K258" s="22">
        <f>+K254/K257</f>
        <v>0.48653023812029988</v>
      </c>
      <c r="M258" s="377" t="s">
        <v>1377</v>
      </c>
    </row>
    <row r="259" spans="2:13" x14ac:dyDescent="0.3">
      <c r="I259" s="4"/>
      <c r="J259" s="8" t="s">
        <v>18</v>
      </c>
      <c r="K259" s="23">
        <f>+K257-K254</f>
        <v>5705.2195764411126</v>
      </c>
      <c r="M259" s="346"/>
    </row>
    <row r="260" spans="2:13" x14ac:dyDescent="0.3">
      <c r="I260" s="4"/>
      <c r="J260" s="8" t="s">
        <v>19</v>
      </c>
      <c r="K260" s="25">
        <f>+K259/K254</f>
        <v>1.0553707080231653</v>
      </c>
      <c r="M260" s="346"/>
    </row>
    <row r="261" spans="2:13" x14ac:dyDescent="0.3">
      <c r="G261" s="4"/>
      <c r="H261" s="4"/>
      <c r="I261" s="31"/>
      <c r="M261" s="346"/>
    </row>
    <row r="262" spans="2:13" x14ac:dyDescent="0.3">
      <c r="B262" s="1" t="s">
        <v>549</v>
      </c>
      <c r="C262" s="2"/>
      <c r="D262" s="2"/>
      <c r="E262" s="3"/>
      <c r="F262" s="3"/>
      <c r="G262" s="3"/>
      <c r="H262" s="3"/>
      <c r="I262" s="4"/>
      <c r="J262" s="78" t="s">
        <v>0</v>
      </c>
      <c r="K262" s="78"/>
      <c r="M262" s="346"/>
    </row>
    <row r="263" spans="2:13" ht="15.6" x14ac:dyDescent="0.3">
      <c r="B263" t="s">
        <v>857</v>
      </c>
      <c r="C263" t="s">
        <v>895</v>
      </c>
      <c r="D263" t="s">
        <v>892</v>
      </c>
      <c r="E263" t="s">
        <v>893</v>
      </c>
      <c r="F263" t="s">
        <v>894</v>
      </c>
      <c r="G263" t="s">
        <v>901</v>
      </c>
      <c r="H263" t="s">
        <v>902</v>
      </c>
      <c r="I263" s="4"/>
      <c r="J263" s="8" t="s">
        <v>6</v>
      </c>
      <c r="K263" s="9">
        <f>SUM(Tabla11034534544554564793638293294295[Coste LÃ­nea])</f>
        <v>4828.5335431100002</v>
      </c>
      <c r="M263" s="377" t="s">
        <v>1394</v>
      </c>
    </row>
    <row r="264" spans="2:13" x14ac:dyDescent="0.3">
      <c r="B264" s="10" t="s">
        <v>203</v>
      </c>
      <c r="C264" s="11" t="s">
        <v>605</v>
      </c>
      <c r="D264" s="12">
        <v>3</v>
      </c>
      <c r="E264" s="12">
        <v>0</v>
      </c>
      <c r="F264" s="12">
        <v>3</v>
      </c>
      <c r="G264" s="13">
        <f>+VLOOKUP(Tabla11034534544554564793638293294295[[#This Row],[ArtÃ­culo]],Tabla34[#All],3,0)</f>
        <v>1395.1416666699999</v>
      </c>
      <c r="H264" s="14">
        <f>+Tabla11034534544554564793638293294295[[#This Row],[Coste Componente]]*Tabla11034534544554564793638293294295[[#This Row],[Unidades]]</f>
        <v>4185.4250000100001</v>
      </c>
      <c r="I264" s="4"/>
      <c r="J264" s="8" t="s">
        <v>12</v>
      </c>
      <c r="K264" s="15">
        <f>+K263*10%</f>
        <v>482.85335431100003</v>
      </c>
      <c r="M264" s="346"/>
    </row>
    <row r="265" spans="2:13" x14ac:dyDescent="0.3">
      <c r="B265" s="10" t="s">
        <v>1130</v>
      </c>
      <c r="C265" s="11" t="s">
        <v>67</v>
      </c>
      <c r="D265" s="12">
        <v>100</v>
      </c>
      <c r="E265" s="12">
        <v>0</v>
      </c>
      <c r="F265" s="12">
        <v>100</v>
      </c>
      <c r="G265" s="13">
        <f>+VLOOKUP(Tabla11034534544554564793638293294295[[#This Row],[ArtÃ­culo]],Tabla34[#All],3,0)</f>
        <v>4.2533333300000002</v>
      </c>
      <c r="H265" s="14">
        <f>+Tabla11034534544554564793638293294295[[#This Row],[Coste Componente]]*Tabla11034534544554564793638293294295[[#This Row],[Unidades]]</f>
        <v>425.33333300000004</v>
      </c>
      <c r="I265" s="4"/>
      <c r="J265" s="8" t="s">
        <v>13</v>
      </c>
      <c r="K265" s="15">
        <f>+K263+K264</f>
        <v>5311.386897421</v>
      </c>
      <c r="M265" s="346"/>
    </row>
    <row r="266" spans="2:13" x14ac:dyDescent="0.3">
      <c r="B266" s="10" t="s">
        <v>188</v>
      </c>
      <c r="C266" s="11" t="s">
        <v>67</v>
      </c>
      <c r="D266" s="12">
        <v>10</v>
      </c>
      <c r="E266" s="12">
        <v>0</v>
      </c>
      <c r="F266" s="12">
        <v>10</v>
      </c>
      <c r="G266" s="13">
        <f>+VLOOKUP(Tabla11034534544554564793638293294295[[#This Row],[ArtÃ­culo]],Tabla34[#All],3,0)</f>
        <v>21.777521010000001</v>
      </c>
      <c r="H266" s="14">
        <f>+Tabla11034534544554564793638293294295[[#This Row],[Coste Componente]]*Tabla11034534544554564793638293294295[[#This Row],[Unidades]]</f>
        <v>217.77521010000001</v>
      </c>
      <c r="I266" s="4"/>
      <c r="J266" s="20" t="s">
        <v>14</v>
      </c>
      <c r="K266" s="21">
        <v>23000</v>
      </c>
      <c r="M266" s="346"/>
    </row>
    <row r="267" spans="2:13" x14ac:dyDescent="0.3">
      <c r="B267" s="16"/>
      <c r="C267" s="17"/>
      <c r="D267" s="17"/>
      <c r="E267" s="17"/>
      <c r="F267" s="17"/>
      <c r="G267" s="18"/>
      <c r="H267" s="18">
        <f>SUBTOTAL(109,Tabla11034534544554564793638293294295[Coste LÃ­nea])</f>
        <v>4828.5335431100002</v>
      </c>
      <c r="J267" s="8" t="s">
        <v>15</v>
      </c>
      <c r="K267" s="15">
        <f>+K266/1.08*0.08</f>
        <v>1703.7037037037037</v>
      </c>
      <c r="M267" s="346"/>
    </row>
    <row r="268" spans="2:13" x14ac:dyDescent="0.3">
      <c r="J268" s="8" t="s">
        <v>16</v>
      </c>
      <c r="K268" s="15">
        <f>+K266-K267</f>
        <v>21296.296296296296</v>
      </c>
    </row>
    <row r="269" spans="2:13" x14ac:dyDescent="0.3">
      <c r="I269" s="4"/>
      <c r="J269" s="8" t="s">
        <v>17</v>
      </c>
      <c r="K269" s="22">
        <f>+K265/K268</f>
        <v>0.24940425431368174</v>
      </c>
      <c r="M269" s="377" t="s">
        <v>1377</v>
      </c>
    </row>
    <row r="270" spans="2:13" x14ac:dyDescent="0.3">
      <c r="I270" s="4"/>
      <c r="J270" s="8" t="s">
        <v>18</v>
      </c>
      <c r="K270" s="23">
        <f>+K268-K265</f>
        <v>15984.909398875296</v>
      </c>
      <c r="M270" s="346"/>
    </row>
    <row r="271" spans="2:13" x14ac:dyDescent="0.3">
      <c r="I271" s="4"/>
      <c r="J271" s="8" t="s">
        <v>19</v>
      </c>
      <c r="K271" s="25">
        <f>+K270/K265</f>
        <v>3.0095546996655314</v>
      </c>
      <c r="M271" s="346"/>
    </row>
    <row r="272" spans="2:13" x14ac:dyDescent="0.3">
      <c r="G272" s="4"/>
      <c r="H272" s="4"/>
      <c r="I272" s="31"/>
      <c r="M272" s="346"/>
    </row>
    <row r="273" spans="2:13" x14ac:dyDescent="0.3">
      <c r="B273" s="1" t="s">
        <v>555</v>
      </c>
      <c r="C273" s="2"/>
      <c r="D273" s="2"/>
      <c r="E273" s="3"/>
      <c r="F273" s="3"/>
      <c r="G273" s="3"/>
      <c r="H273" s="3"/>
      <c r="I273" s="4"/>
      <c r="J273" s="78" t="s">
        <v>0</v>
      </c>
      <c r="K273" s="78"/>
    </row>
    <row r="274" spans="2:13" ht="15.6" x14ac:dyDescent="0.3">
      <c r="B274" t="s">
        <v>857</v>
      </c>
      <c r="C274" t="s">
        <v>895</v>
      </c>
      <c r="D274" t="s">
        <v>892</v>
      </c>
      <c r="E274" t="s">
        <v>893</v>
      </c>
      <c r="F274" t="s">
        <v>894</v>
      </c>
      <c r="G274" t="s">
        <v>901</v>
      </c>
      <c r="H274" t="s">
        <v>902</v>
      </c>
      <c r="I274" s="4"/>
      <c r="J274" s="8" t="s">
        <v>6</v>
      </c>
      <c r="K274" s="9">
        <f>SUM(Tabla11034534544554564793638293294296[Coste LÃ­nea])</f>
        <v>5592.3948680100002</v>
      </c>
      <c r="M274" s="377" t="s">
        <v>1394</v>
      </c>
    </row>
    <row r="275" spans="2:13" x14ac:dyDescent="0.3">
      <c r="B275" s="10" t="s">
        <v>203</v>
      </c>
      <c r="C275" s="11" t="s">
        <v>605</v>
      </c>
      <c r="D275" s="12">
        <v>3</v>
      </c>
      <c r="E275" s="12">
        <v>0</v>
      </c>
      <c r="F275" s="12">
        <v>3</v>
      </c>
      <c r="G275" s="13">
        <f>+VLOOKUP(Tabla11034534544554564793638293294296[[#This Row],[ArtÃ­culo]],Tabla34[#All],3,0)</f>
        <v>1395.1416666699999</v>
      </c>
      <c r="H275" s="14">
        <f>+Tabla11034534544554564793638293294296[[#This Row],[Coste Componente]]*Tabla11034534544554564793638293294296[[#This Row],[Unidades]]</f>
        <v>4185.4250000100001</v>
      </c>
      <c r="I275" s="4"/>
      <c r="J275" s="8" t="s">
        <v>12</v>
      </c>
      <c r="K275" s="15">
        <f>+K274*10%</f>
        <v>559.239486801</v>
      </c>
      <c r="M275" s="346"/>
    </row>
    <row r="276" spans="2:13" x14ac:dyDescent="0.3">
      <c r="B276" s="10" t="s">
        <v>96</v>
      </c>
      <c r="C276" s="11" t="s">
        <v>847</v>
      </c>
      <c r="D276" s="12">
        <v>0.14000000000000001</v>
      </c>
      <c r="E276" s="12">
        <v>0</v>
      </c>
      <c r="F276" s="12">
        <v>0.14000000000000001</v>
      </c>
      <c r="G276" s="13">
        <f>+VLOOKUP(Tabla11034534544554564793638293294296[[#This Row],[ArtÃ­culo]],Tabla34[#All],3,0)</f>
        <v>4986</v>
      </c>
      <c r="H276" s="14">
        <f>+Tabla11034534544554564793638293294296[[#This Row],[Coste Componente]]*Tabla11034534544554564793638293294296[[#This Row],[Unidades]]</f>
        <v>698.04000000000008</v>
      </c>
      <c r="I276" s="4"/>
      <c r="J276" s="8" t="s">
        <v>13</v>
      </c>
      <c r="K276" s="15">
        <f>+K274+K275</f>
        <v>6151.6343548109999</v>
      </c>
      <c r="M276" s="346"/>
    </row>
    <row r="277" spans="2:13" x14ac:dyDescent="0.3">
      <c r="B277" s="10" t="s">
        <v>1130</v>
      </c>
      <c r="C277" s="11" t="s">
        <v>67</v>
      </c>
      <c r="D277" s="12">
        <v>60</v>
      </c>
      <c r="E277" s="12">
        <v>0</v>
      </c>
      <c r="F277" s="12">
        <v>60</v>
      </c>
      <c r="G277" s="13">
        <f>+VLOOKUP(Tabla11034534544554564793638293294296[[#This Row],[ArtÃ­culo]],Tabla34[#All],3,0)</f>
        <v>4.2533333300000002</v>
      </c>
      <c r="H277" s="14">
        <f>+Tabla11034534544554564793638293294296[[#This Row],[Coste Componente]]*Tabla11034534544554564793638293294296[[#This Row],[Unidades]]</f>
        <v>255.1999998</v>
      </c>
      <c r="I277" s="4"/>
      <c r="J277" s="20" t="s">
        <v>14</v>
      </c>
      <c r="K277" s="21">
        <v>25000</v>
      </c>
      <c r="M277" s="346"/>
    </row>
    <row r="278" spans="2:13" x14ac:dyDescent="0.3">
      <c r="B278" s="10" t="s">
        <v>146</v>
      </c>
      <c r="C278" s="11" t="s">
        <v>67</v>
      </c>
      <c r="D278" s="12">
        <v>30</v>
      </c>
      <c r="E278" s="12">
        <v>0</v>
      </c>
      <c r="F278" s="12">
        <v>30</v>
      </c>
      <c r="G278" s="13">
        <f>+VLOOKUP(Tabla11034534544554564793638293294296[[#This Row],[ArtÃ­culo]],Tabla34[#All],3,0)</f>
        <v>11.36127894</v>
      </c>
      <c r="H278" s="14">
        <f>+Tabla11034534544554564793638293294296[[#This Row],[Coste Componente]]*Tabla11034534544554564793638293294296[[#This Row],[Unidades]]</f>
        <v>340.83836819999999</v>
      </c>
      <c r="J278" s="8" t="s">
        <v>15</v>
      </c>
      <c r="K278" s="15">
        <f>+K277/1.08*0.08</f>
        <v>1851.8518518518517</v>
      </c>
      <c r="M278" s="346"/>
    </row>
    <row r="279" spans="2:13" x14ac:dyDescent="0.3">
      <c r="B279" s="10" t="s">
        <v>86</v>
      </c>
      <c r="C279" s="11" t="s">
        <v>67</v>
      </c>
      <c r="D279" s="12">
        <v>3</v>
      </c>
      <c r="E279" s="12">
        <v>0</v>
      </c>
      <c r="F279" s="12">
        <v>3</v>
      </c>
      <c r="G279" s="13">
        <f>+VLOOKUP(Tabla11034534544554564793638293294296[[#This Row],[ArtÃ­culo]],Tabla34[#All],3,0)</f>
        <v>37.630499999999998</v>
      </c>
      <c r="H279" s="14">
        <f>+Tabla11034534544554564793638293294296[[#This Row],[Coste Componente]]*Tabla11034534544554564793638293294296[[#This Row],[Unidades]]</f>
        <v>112.89149999999999</v>
      </c>
      <c r="J279" s="8" t="s">
        <v>16</v>
      </c>
      <c r="K279" s="15">
        <f>+K277-K278</f>
        <v>23148.14814814815</v>
      </c>
    </row>
    <row r="280" spans="2:13" x14ac:dyDescent="0.3">
      <c r="B280" s="16"/>
      <c r="C280" s="17"/>
      <c r="D280" s="17"/>
      <c r="E280" s="17"/>
      <c r="F280" s="17"/>
      <c r="G280" s="18"/>
      <c r="H280" s="18">
        <f>SUBTOTAL(109,Tabla11034534544554564793638293294296[Coste LÃ­nea])</f>
        <v>5592.3948680100002</v>
      </c>
      <c r="I280" s="4"/>
      <c r="J280" s="8" t="s">
        <v>17</v>
      </c>
      <c r="K280" s="22">
        <f>+K276/K279</f>
        <v>0.26575060412783519</v>
      </c>
      <c r="M280" s="377" t="s">
        <v>1377</v>
      </c>
    </row>
    <row r="281" spans="2:13" x14ac:dyDescent="0.3">
      <c r="I281" s="4"/>
      <c r="J281" s="8" t="s">
        <v>18</v>
      </c>
      <c r="K281" s="23">
        <f>+K279-K276</f>
        <v>16996.513793337152</v>
      </c>
      <c r="M281" s="346"/>
    </row>
    <row r="282" spans="2:13" x14ac:dyDescent="0.3">
      <c r="I282" s="4"/>
      <c r="J282" s="8" t="s">
        <v>19</v>
      </c>
      <c r="K282" s="25">
        <f>+K281/K276</f>
        <v>2.7629265351320358</v>
      </c>
      <c r="M282" s="346"/>
    </row>
    <row r="283" spans="2:13" x14ac:dyDescent="0.3">
      <c r="G283" s="4"/>
      <c r="H283" s="4"/>
      <c r="I283" s="31"/>
      <c r="M283" s="346"/>
    </row>
    <row r="284" spans="2:13" x14ac:dyDescent="0.3">
      <c r="G284" s="4"/>
      <c r="H284" s="4"/>
      <c r="I284" s="31"/>
    </row>
    <row r="285" spans="2:13" x14ac:dyDescent="0.3">
      <c r="G285" s="4"/>
      <c r="H285" s="4"/>
      <c r="I285" s="31"/>
    </row>
    <row r="286" spans="2:13" x14ac:dyDescent="0.3">
      <c r="B286" s="1" t="s">
        <v>532</v>
      </c>
      <c r="C286" s="2"/>
      <c r="D286" s="2"/>
      <c r="E286" s="3"/>
      <c r="F286" s="3"/>
      <c r="G286" s="3"/>
      <c r="H286" s="3"/>
      <c r="I286" s="4"/>
      <c r="J286" s="78" t="s">
        <v>0</v>
      </c>
      <c r="K286" s="78"/>
    </row>
    <row r="287" spans="2:13" ht="15.6" x14ac:dyDescent="0.3">
      <c r="B287" t="s">
        <v>857</v>
      </c>
      <c r="C287" t="s">
        <v>895</v>
      </c>
      <c r="D287" t="s">
        <v>892</v>
      </c>
      <c r="E287" t="s">
        <v>893</v>
      </c>
      <c r="F287" t="s">
        <v>894</v>
      </c>
      <c r="G287" t="s">
        <v>901</v>
      </c>
      <c r="H287" t="s">
        <v>902</v>
      </c>
      <c r="I287" s="4"/>
      <c r="J287" s="8" t="s">
        <v>6</v>
      </c>
      <c r="K287" s="9">
        <f>SUM(Tabla11034534544554564793638293294303[Coste LÃ­nea])</f>
        <v>603.9</v>
      </c>
      <c r="M287" s="377" t="s">
        <v>1394</v>
      </c>
    </row>
    <row r="288" spans="2:13" x14ac:dyDescent="0.3">
      <c r="B288" s="10" t="s">
        <v>834</v>
      </c>
      <c r="C288" s="11" t="s">
        <v>67</v>
      </c>
      <c r="D288" s="12">
        <v>18</v>
      </c>
      <c r="E288" s="12">
        <v>0</v>
      </c>
      <c r="F288" s="12">
        <v>18</v>
      </c>
      <c r="G288" s="13">
        <f>+VLOOKUP(Tabla11034534544554564793638293294303[[#This Row],[ArtÃ­culo]],Tabla34[#All],3,0)</f>
        <v>33.549999999999997</v>
      </c>
      <c r="H288" s="14">
        <f>+Tabla11034534544554564793638293294303[[#This Row],[Coste Componente]]*Tabla11034534544554564793638293294303[[#This Row],[Unidades]]</f>
        <v>603.9</v>
      </c>
      <c r="I288" s="27"/>
      <c r="J288" s="8" t="s">
        <v>12</v>
      </c>
      <c r="K288" s="15">
        <f>+K287*10%</f>
        <v>60.39</v>
      </c>
      <c r="M288" s="346"/>
    </row>
    <row r="289" spans="2:13" x14ac:dyDescent="0.3">
      <c r="B289" s="10" t="s">
        <v>38</v>
      </c>
      <c r="C289" s="11" t="s">
        <v>67</v>
      </c>
      <c r="D289" s="12">
        <v>80</v>
      </c>
      <c r="E289" s="12">
        <v>0</v>
      </c>
      <c r="F289" s="12">
        <v>80</v>
      </c>
      <c r="G289" s="13"/>
      <c r="H289" s="14">
        <f>+Tabla11034534544554564793638293294303[[#This Row],[Coste Componente]]*Tabla11034534544554564793638293294303[[#This Row],[Unidades]]</f>
        <v>0</v>
      </c>
      <c r="J289" s="8" t="s">
        <v>13</v>
      </c>
      <c r="K289" s="15">
        <f>+K287+K288</f>
        <v>664.29</v>
      </c>
      <c r="M289" s="346"/>
    </row>
    <row r="290" spans="2:13" x14ac:dyDescent="0.3">
      <c r="B290" s="16"/>
      <c r="C290" s="17"/>
      <c r="D290" s="17"/>
      <c r="E290" s="17"/>
      <c r="F290" s="17"/>
      <c r="G290" s="18"/>
      <c r="H290" s="18">
        <f>SUBTOTAL(109,Tabla11034534544554564793638293294303[Coste LÃ­nea])</f>
        <v>603.9</v>
      </c>
      <c r="I290" s="4"/>
      <c r="J290" s="20" t="s">
        <v>14</v>
      </c>
      <c r="K290" s="21">
        <v>6500</v>
      </c>
      <c r="M290" s="346"/>
    </row>
    <row r="291" spans="2:13" x14ac:dyDescent="0.3">
      <c r="I291" s="4"/>
      <c r="J291" s="8" t="s">
        <v>15</v>
      </c>
      <c r="K291" s="15">
        <f>+K290/1.08*0.08</f>
        <v>481.48148148148147</v>
      </c>
      <c r="M291" s="346"/>
    </row>
    <row r="292" spans="2:13" x14ac:dyDescent="0.3">
      <c r="I292" s="4"/>
      <c r="J292" s="8" t="s">
        <v>16</v>
      </c>
      <c r="K292" s="15">
        <f>+K290-K291</f>
        <v>6018.5185185185182</v>
      </c>
    </row>
    <row r="293" spans="2:13" x14ac:dyDescent="0.3">
      <c r="I293" s="4"/>
      <c r="J293" s="8" t="s">
        <v>17</v>
      </c>
      <c r="K293" s="22">
        <f>+K289/K292</f>
        <v>0.11037433846153846</v>
      </c>
      <c r="M293" s="377" t="s">
        <v>1377</v>
      </c>
    </row>
    <row r="294" spans="2:13" x14ac:dyDescent="0.3">
      <c r="I294" s="4"/>
      <c r="J294" s="8" t="s">
        <v>18</v>
      </c>
      <c r="K294" s="23">
        <f>+K292-K289</f>
        <v>5354.2285185185183</v>
      </c>
      <c r="M294" s="346"/>
    </row>
    <row r="295" spans="2:13" x14ac:dyDescent="0.3">
      <c r="I295" s="4"/>
      <c r="J295" s="8" t="s">
        <v>19</v>
      </c>
      <c r="K295" s="25">
        <f>+K294/K289</f>
        <v>8.0600769521120572</v>
      </c>
      <c r="M295" s="346"/>
    </row>
    <row r="296" spans="2:13" x14ac:dyDescent="0.3">
      <c r="G296" s="4"/>
      <c r="M296" s="346"/>
    </row>
    <row r="297" spans="2:13" x14ac:dyDescent="0.3">
      <c r="B297" s="1" t="s">
        <v>531</v>
      </c>
      <c r="C297" s="2"/>
      <c r="D297" s="2"/>
      <c r="E297" s="3"/>
      <c r="F297" s="3"/>
      <c r="G297" s="3"/>
      <c r="H297" s="3"/>
      <c r="I297" s="4"/>
      <c r="J297" s="78" t="s">
        <v>0</v>
      </c>
      <c r="K297" s="78"/>
    </row>
    <row r="298" spans="2:13" ht="15.6" x14ac:dyDescent="0.3">
      <c r="B298" t="s">
        <v>857</v>
      </c>
      <c r="C298" t="s">
        <v>895</v>
      </c>
      <c r="D298" t="s">
        <v>892</v>
      </c>
      <c r="E298" t="s">
        <v>893</v>
      </c>
      <c r="F298" t="s">
        <v>894</v>
      </c>
      <c r="G298" t="s">
        <v>901</v>
      </c>
      <c r="H298" t="s">
        <v>902</v>
      </c>
      <c r="I298" s="4"/>
      <c r="J298" s="8" t="s">
        <v>6</v>
      </c>
      <c r="K298" s="9">
        <f>SUM(Tabla11034534544554564793638293294303304[Coste LÃ­nea])</f>
        <v>3133.48030578</v>
      </c>
      <c r="M298" s="377" t="s">
        <v>1394</v>
      </c>
    </row>
    <row r="299" spans="2:13" x14ac:dyDescent="0.3">
      <c r="B299" s="10" t="s">
        <v>834</v>
      </c>
      <c r="C299" s="11" t="s">
        <v>67</v>
      </c>
      <c r="D299" s="12">
        <v>10</v>
      </c>
      <c r="E299" s="12">
        <v>0</v>
      </c>
      <c r="F299" s="12">
        <v>10</v>
      </c>
      <c r="G299" s="13">
        <f>+VLOOKUP(Tabla11034534544554564793638293294303304[[#This Row],[ArtÃ­culo]],Tabla34[#All],3,0)</f>
        <v>33.549999999999997</v>
      </c>
      <c r="H299" s="14">
        <f>+Tabla11034534544554564793638293294303304[[#This Row],[Coste Componente]]*Tabla11034534544554564793638293294303304[[#This Row],[Unidades]]</f>
        <v>335.5</v>
      </c>
      <c r="I299" s="27"/>
      <c r="J299" s="8" t="s">
        <v>12</v>
      </c>
      <c r="K299" s="15">
        <f>+K298*10%</f>
        <v>313.34803057800002</v>
      </c>
      <c r="M299" s="346"/>
    </row>
    <row r="300" spans="2:13" x14ac:dyDescent="0.3">
      <c r="B300" s="10" t="s">
        <v>724</v>
      </c>
      <c r="C300" s="11" t="s">
        <v>67</v>
      </c>
      <c r="D300" s="12">
        <v>150</v>
      </c>
      <c r="E300" s="12">
        <v>0</v>
      </c>
      <c r="F300" s="12">
        <v>150</v>
      </c>
      <c r="G300" s="13">
        <f>+VLOOKUP(Tabla11034534544554564793638293294303304[[#This Row],[ArtÃ­culo]],Tabla34[#All],3,0)</f>
        <v>17.88</v>
      </c>
      <c r="H300" s="14">
        <f>+Tabla11034534544554564793638293294303304[[#This Row],[Coste Componente]]*Tabla11034534544554564793638293294303304[[#This Row],[Unidades]]</f>
        <v>2682</v>
      </c>
      <c r="J300" s="8" t="s">
        <v>13</v>
      </c>
      <c r="K300" s="15">
        <f>+K298+K299</f>
        <v>3446.8283363579999</v>
      </c>
      <c r="M300" s="346"/>
    </row>
    <row r="301" spans="2:13" x14ac:dyDescent="0.3">
      <c r="B301" s="10" t="s">
        <v>783</v>
      </c>
      <c r="C301" s="11" t="s">
        <v>67</v>
      </c>
      <c r="D301" s="12">
        <v>2</v>
      </c>
      <c r="E301" s="12">
        <v>0</v>
      </c>
      <c r="F301" s="12">
        <v>2</v>
      </c>
      <c r="G301" s="13">
        <f>+VLOOKUP(Tabla11034534544554564793638293294303304[[#This Row],[ArtÃ­culo]],Tabla34[#All],3,0)</f>
        <v>57.990152889999997</v>
      </c>
      <c r="H301" s="14">
        <f>+Tabla11034534544554564793638293294303304[[#This Row],[Coste Componente]]*Tabla11034534544554564793638293294303304[[#This Row],[Unidades]]</f>
        <v>115.98030577999999</v>
      </c>
      <c r="I301" s="4"/>
      <c r="J301" s="20" t="s">
        <v>14</v>
      </c>
      <c r="K301" s="21">
        <v>12000</v>
      </c>
      <c r="M301" s="346"/>
    </row>
    <row r="302" spans="2:13" x14ac:dyDescent="0.3">
      <c r="B302" s="16"/>
      <c r="C302" s="17"/>
      <c r="D302" s="17"/>
      <c r="E302" s="17"/>
      <c r="F302" s="17"/>
      <c r="G302" s="18"/>
      <c r="H302" s="18">
        <f>SUBTOTAL(109,Tabla11034534544554564793638293294303304[Coste LÃ­nea])</f>
        <v>3133.48030578</v>
      </c>
      <c r="I302" s="4"/>
      <c r="J302" s="8" t="s">
        <v>15</v>
      </c>
      <c r="K302" s="15">
        <f>+K301/1.08*0.08</f>
        <v>888.8888888888888</v>
      </c>
      <c r="M302" s="346"/>
    </row>
    <row r="303" spans="2:13" x14ac:dyDescent="0.3">
      <c r="I303" s="4"/>
      <c r="J303" s="8" t="s">
        <v>16</v>
      </c>
      <c r="K303" s="15">
        <f>+K301-K302</f>
        <v>11111.111111111111</v>
      </c>
    </row>
    <row r="304" spans="2:13" x14ac:dyDescent="0.3">
      <c r="I304" s="4"/>
      <c r="J304" s="8" t="s">
        <v>17</v>
      </c>
      <c r="K304" s="22">
        <f>+K300/K303</f>
        <v>0.31021455027222</v>
      </c>
      <c r="M304" s="377" t="s">
        <v>1377</v>
      </c>
    </row>
    <row r="305" spans="2:13" x14ac:dyDescent="0.3">
      <c r="I305" s="4"/>
      <c r="J305" s="8" t="s">
        <v>18</v>
      </c>
      <c r="K305" s="23">
        <f>+K303-K300</f>
        <v>7664.2827747531119</v>
      </c>
      <c r="M305" s="346"/>
    </row>
    <row r="306" spans="2:13" x14ac:dyDescent="0.3">
      <c r="I306" s="4"/>
      <c r="J306" s="8" t="s">
        <v>19</v>
      </c>
      <c r="K306" s="25">
        <f>+K305/K300</f>
        <v>2.223575422630816</v>
      </c>
      <c r="M306" s="346"/>
    </row>
    <row r="307" spans="2:13" x14ac:dyDescent="0.3">
      <c r="G307" s="4"/>
      <c r="H307" s="4"/>
      <c r="I307" s="31"/>
      <c r="M307" s="346"/>
    </row>
    <row r="308" spans="2:13" x14ac:dyDescent="0.3">
      <c r="G308" s="4"/>
      <c r="H308" s="4"/>
      <c r="I308" s="31"/>
    </row>
    <row r="309" spans="2:13" x14ac:dyDescent="0.3">
      <c r="B309" s="1" t="s">
        <v>529</v>
      </c>
      <c r="C309" s="2"/>
      <c r="D309" s="2"/>
      <c r="E309" s="3"/>
      <c r="F309" s="3"/>
      <c r="G309" s="3"/>
      <c r="H309" s="3"/>
      <c r="I309" s="4"/>
      <c r="J309" s="78" t="s">
        <v>0</v>
      </c>
      <c r="K309" s="78"/>
    </row>
    <row r="310" spans="2:13" ht="15.6" x14ac:dyDescent="0.3">
      <c r="B310" t="s">
        <v>857</v>
      </c>
      <c r="C310" t="s">
        <v>895</v>
      </c>
      <c r="D310" t="s">
        <v>892</v>
      </c>
      <c r="E310" t="s">
        <v>893</v>
      </c>
      <c r="F310" t="s">
        <v>894</v>
      </c>
      <c r="G310" t="s">
        <v>901</v>
      </c>
      <c r="H310" t="s">
        <v>902</v>
      </c>
      <c r="I310" s="4"/>
      <c r="J310" s="8" t="s">
        <v>6</v>
      </c>
      <c r="K310" s="9">
        <f>SUM(Tabla11034534544554564793638293294303305[Coste LÃ­nea])</f>
        <v>603.9</v>
      </c>
      <c r="M310" s="377" t="s">
        <v>1394</v>
      </c>
    </row>
    <row r="311" spans="2:13" x14ac:dyDescent="0.3">
      <c r="B311" s="10" t="s">
        <v>834</v>
      </c>
      <c r="C311" s="11" t="s">
        <v>67</v>
      </c>
      <c r="D311" s="12">
        <v>18</v>
      </c>
      <c r="E311" s="12">
        <v>0</v>
      </c>
      <c r="F311" s="12">
        <v>18</v>
      </c>
      <c r="G311" s="13">
        <f>+VLOOKUP(Tabla11034534544554564793638293294303305[[#This Row],[ArtÃ­culo]],Tabla34[#All],3,0)</f>
        <v>33.549999999999997</v>
      </c>
      <c r="H311" s="14">
        <f>+Tabla11034534544554564793638293294303305[[#This Row],[Coste Componente]]*Tabla11034534544554564793638293294303305[[#This Row],[Unidades]]</f>
        <v>603.9</v>
      </c>
      <c r="I311" s="27"/>
      <c r="J311" s="8" t="s">
        <v>12</v>
      </c>
      <c r="K311" s="15">
        <f>+K310*10%</f>
        <v>60.39</v>
      </c>
      <c r="M311" s="346"/>
    </row>
    <row r="312" spans="2:13" x14ac:dyDescent="0.3">
      <c r="B312" s="10" t="s">
        <v>38</v>
      </c>
      <c r="C312" s="11" t="s">
        <v>67</v>
      </c>
      <c r="D312" s="12">
        <v>40</v>
      </c>
      <c r="E312" s="12">
        <v>0</v>
      </c>
      <c r="F312" s="12">
        <v>40</v>
      </c>
      <c r="G312" s="13"/>
      <c r="H312" s="14">
        <f>+Tabla11034534544554564793638293294303305[[#This Row],[Coste Componente]]*Tabla11034534544554564793638293294303305[[#This Row],[Unidades]]</f>
        <v>0</v>
      </c>
      <c r="J312" s="8" t="s">
        <v>13</v>
      </c>
      <c r="K312" s="15">
        <f>+K310+K311</f>
        <v>664.29</v>
      </c>
      <c r="M312" s="346"/>
    </row>
    <row r="313" spans="2:13" x14ac:dyDescent="0.3">
      <c r="B313" s="16"/>
      <c r="C313" s="17"/>
      <c r="D313" s="17"/>
      <c r="E313" s="17"/>
      <c r="F313" s="17"/>
      <c r="G313" s="18"/>
      <c r="H313" s="18">
        <f>SUBTOTAL(109,Tabla11034534544554564793638293294303305[Coste LÃ­nea])</f>
        <v>603.9</v>
      </c>
      <c r="I313" s="4"/>
      <c r="J313" s="20" t="s">
        <v>14</v>
      </c>
      <c r="K313" s="21">
        <v>7500</v>
      </c>
      <c r="M313" s="346"/>
    </row>
    <row r="314" spans="2:13" x14ac:dyDescent="0.3">
      <c r="I314" s="4"/>
      <c r="J314" s="8" t="s">
        <v>15</v>
      </c>
      <c r="K314" s="15">
        <f>+K313/1.08*0.08</f>
        <v>555.55555555555554</v>
      </c>
      <c r="M314" s="346"/>
    </row>
    <row r="315" spans="2:13" x14ac:dyDescent="0.3">
      <c r="I315" s="4"/>
      <c r="J315" s="8" t="s">
        <v>16</v>
      </c>
      <c r="K315" s="15">
        <f>+K313-K314</f>
        <v>6944.4444444444443</v>
      </c>
    </row>
    <row r="316" spans="2:13" x14ac:dyDescent="0.3">
      <c r="I316" s="4"/>
      <c r="J316" s="8" t="s">
        <v>17</v>
      </c>
      <c r="K316" s="22">
        <f>+K312/K315</f>
        <v>9.5657759999999994E-2</v>
      </c>
      <c r="M316" s="377" t="s">
        <v>1377</v>
      </c>
    </row>
    <row r="317" spans="2:13" x14ac:dyDescent="0.3">
      <c r="I317" s="4"/>
      <c r="J317" s="8" t="s">
        <v>18</v>
      </c>
      <c r="K317" s="23">
        <f>+K315-K312</f>
        <v>6280.1544444444444</v>
      </c>
      <c r="M317" s="346"/>
    </row>
    <row r="318" spans="2:13" x14ac:dyDescent="0.3">
      <c r="I318" s="4"/>
      <c r="J318" s="8" t="s">
        <v>19</v>
      </c>
      <c r="K318" s="25">
        <f>+K317/K312</f>
        <v>9.453934944744681</v>
      </c>
      <c r="M318" s="346"/>
    </row>
    <row r="319" spans="2:13" x14ac:dyDescent="0.3">
      <c r="G319" s="4"/>
      <c r="H319" s="4"/>
      <c r="I319" s="31"/>
      <c r="M319" s="346"/>
    </row>
    <row r="320" spans="2:13" x14ac:dyDescent="0.3">
      <c r="G320" s="4"/>
      <c r="H320" s="4"/>
      <c r="I320" s="31"/>
    </row>
    <row r="321" spans="2:13" x14ac:dyDescent="0.3">
      <c r="B321" s="1" t="s">
        <v>556</v>
      </c>
      <c r="C321" s="2"/>
      <c r="D321" s="2"/>
      <c r="E321" s="3"/>
      <c r="F321" s="3"/>
      <c r="G321" s="3"/>
      <c r="H321" s="3"/>
      <c r="I321" s="4"/>
      <c r="J321" s="78" t="s">
        <v>0</v>
      </c>
      <c r="K321" s="78"/>
    </row>
    <row r="322" spans="2:13" ht="15.6" x14ac:dyDescent="0.3">
      <c r="B322" s="80" t="s">
        <v>920</v>
      </c>
      <c r="C322" s="80" t="s">
        <v>319</v>
      </c>
      <c r="D322" s="80" t="s">
        <v>1085</v>
      </c>
      <c r="E322" s="80" t="s">
        <v>1086</v>
      </c>
      <c r="F322" s="80" t="s">
        <v>1087</v>
      </c>
      <c r="G322" s="80" t="s">
        <v>1088</v>
      </c>
      <c r="H322" s="80" t="s">
        <v>1089</v>
      </c>
      <c r="I322" s="4"/>
      <c r="J322" s="8" t="s">
        <v>6</v>
      </c>
      <c r="K322" s="9">
        <f>SUM(Tabla11034534544554564793638293294303304386[Columna7])</f>
        <v>6199.76155578</v>
      </c>
      <c r="M322" s="377" t="s">
        <v>1394</v>
      </c>
    </row>
    <row r="323" spans="2:13" x14ac:dyDescent="0.3">
      <c r="B323" s="10" t="s">
        <v>181</v>
      </c>
      <c r="C323" s="11" t="s">
        <v>605</v>
      </c>
      <c r="D323" s="12">
        <v>1</v>
      </c>
      <c r="E323" s="12">
        <v>0</v>
      </c>
      <c r="F323" s="12">
        <v>1</v>
      </c>
      <c r="G323" s="13">
        <f>+VLOOKUP(Tabla11034534544554564793638293294303304386[[#This Row],[Columna1]],Tabla34[#All],3,0)</f>
        <v>3066.28125</v>
      </c>
      <c r="H323" s="14">
        <f>+Tabla11034534544554564793638293294303304386[[#This Row],[Columna6]]*Tabla11034534544554564793638293294303304386[[#This Row],[Columna5]]</f>
        <v>3066.28125</v>
      </c>
      <c r="I323" s="27"/>
      <c r="J323" s="8" t="s">
        <v>12</v>
      </c>
      <c r="K323" s="15">
        <f>+K322*10%</f>
        <v>619.97615557800009</v>
      </c>
      <c r="M323" s="346"/>
    </row>
    <row r="324" spans="2:13" x14ac:dyDescent="0.3">
      <c r="B324" s="10" t="s">
        <v>724</v>
      </c>
      <c r="C324" s="11" t="s">
        <v>67</v>
      </c>
      <c r="D324" s="12">
        <v>150</v>
      </c>
      <c r="E324" s="12">
        <v>0</v>
      </c>
      <c r="F324" s="12">
        <v>150</v>
      </c>
      <c r="G324" s="13">
        <f>+VLOOKUP(Tabla11034534544554564793638293294303304386[[#This Row],[Columna1]],Tabla34[#All],3,0)</f>
        <v>17.88</v>
      </c>
      <c r="H324" s="14">
        <f>+Tabla11034534544554564793638293294303304386[[#This Row],[Columna6]]*Tabla11034534544554564793638293294303304386[[#This Row],[Columna5]]</f>
        <v>2682</v>
      </c>
      <c r="J324" s="8" t="s">
        <v>13</v>
      </c>
      <c r="K324" s="15">
        <f>+K322+K323</f>
        <v>6819.7377113580005</v>
      </c>
      <c r="M324" s="346"/>
    </row>
    <row r="325" spans="2:13" x14ac:dyDescent="0.3">
      <c r="B325" s="10" t="s">
        <v>834</v>
      </c>
      <c r="C325" s="11" t="s">
        <v>67</v>
      </c>
      <c r="D325" s="12">
        <v>10</v>
      </c>
      <c r="E325" s="12">
        <v>0</v>
      </c>
      <c r="F325" s="12">
        <v>10</v>
      </c>
      <c r="G325" s="13">
        <f>+VLOOKUP(Tabla11034534544554564793638293294303304386[[#This Row],[Columna1]],Tabla34[#All],3,0)</f>
        <v>33.549999999999997</v>
      </c>
      <c r="H325" s="14">
        <f>+Tabla11034534544554564793638293294303304386[[#This Row],[Columna6]]*Tabla11034534544554564793638293294303304386[[#This Row],[Columna5]]</f>
        <v>335.5</v>
      </c>
      <c r="I325" s="4"/>
      <c r="J325" s="20" t="s">
        <v>14</v>
      </c>
      <c r="K325" s="21">
        <v>21000</v>
      </c>
      <c r="M325" s="346"/>
    </row>
    <row r="326" spans="2:13" x14ac:dyDescent="0.3">
      <c r="B326" s="10" t="s">
        <v>783</v>
      </c>
      <c r="C326" s="11" t="s">
        <v>67</v>
      </c>
      <c r="D326" s="12">
        <v>2</v>
      </c>
      <c r="E326" s="12">
        <v>0</v>
      </c>
      <c r="F326" s="12">
        <v>2</v>
      </c>
      <c r="G326" s="13">
        <f>+VLOOKUP(Tabla11034534544554564793638293294303304386[[#This Row],[Columna1]],Tabla34[#All],3,0)</f>
        <v>57.990152889999997</v>
      </c>
      <c r="H326" s="14">
        <f>+Tabla11034534544554564793638293294303304386[[#This Row],[Columna6]]*Tabla11034534544554564793638293294303304386[[#This Row],[Columna5]]</f>
        <v>115.98030577999999</v>
      </c>
      <c r="I326" s="4"/>
      <c r="J326" s="8" t="s">
        <v>15</v>
      </c>
      <c r="K326" s="15">
        <f>+K325/1.08*0.08</f>
        <v>1555.5555555555554</v>
      </c>
      <c r="M326" s="346"/>
    </row>
    <row r="327" spans="2:13" x14ac:dyDescent="0.3">
      <c r="B327" s="16"/>
      <c r="C327" s="17"/>
      <c r="D327" s="17"/>
      <c r="E327" s="17"/>
      <c r="F327" s="17"/>
      <c r="G327" s="18"/>
      <c r="H327" s="18">
        <f>SUBTOTAL(109,Tabla11034534544554564793638293294303304386[Columna7])</f>
        <v>6199.76155578</v>
      </c>
      <c r="I327" s="4"/>
      <c r="J327" s="8" t="s">
        <v>16</v>
      </c>
      <c r="K327" s="15">
        <f>+K325-K326</f>
        <v>19444.444444444445</v>
      </c>
    </row>
    <row r="328" spans="2:13" x14ac:dyDescent="0.3">
      <c r="I328" s="4"/>
      <c r="J328" s="8" t="s">
        <v>17</v>
      </c>
      <c r="K328" s="22">
        <f>+K324/K327</f>
        <v>0.35072936801269716</v>
      </c>
      <c r="M328" s="377" t="s">
        <v>1377</v>
      </c>
    </row>
    <row r="329" spans="2:13" x14ac:dyDescent="0.3">
      <c r="I329" s="4"/>
      <c r="J329" s="8" t="s">
        <v>18</v>
      </c>
      <c r="K329" s="23">
        <f>+K327-K324</f>
        <v>12624.706733086445</v>
      </c>
      <c r="M329" s="346"/>
    </row>
    <row r="330" spans="2:13" x14ac:dyDescent="0.3">
      <c r="I330" s="4"/>
      <c r="J330" s="8" t="s">
        <v>19</v>
      </c>
      <c r="K330" s="25">
        <f>+K329/K324</f>
        <v>1.8512012143898877</v>
      </c>
      <c r="M330" s="346"/>
    </row>
    <row r="331" spans="2:13" x14ac:dyDescent="0.3">
      <c r="M331" s="346"/>
    </row>
    <row r="333" spans="2:13" x14ac:dyDescent="0.3">
      <c r="B333" s="1" t="s">
        <v>557</v>
      </c>
      <c r="C333" s="2"/>
      <c r="D333" s="2"/>
      <c r="E333" s="3"/>
      <c r="F333" s="3"/>
      <c r="G333" s="3"/>
      <c r="H333" s="3"/>
      <c r="I333" s="4"/>
      <c r="J333" s="78" t="s">
        <v>0</v>
      </c>
      <c r="K333" s="78"/>
    </row>
    <row r="334" spans="2:13" ht="15.6" x14ac:dyDescent="0.3">
      <c r="B334" t="s">
        <v>857</v>
      </c>
      <c r="C334" t="s">
        <v>895</v>
      </c>
      <c r="D334" t="s">
        <v>892</v>
      </c>
      <c r="E334" t="s">
        <v>893</v>
      </c>
      <c r="F334" t="s">
        <v>894</v>
      </c>
      <c r="G334" t="s">
        <v>901</v>
      </c>
      <c r="H334" t="s">
        <v>902</v>
      </c>
      <c r="I334" s="4"/>
      <c r="J334" s="8" t="s">
        <v>6</v>
      </c>
      <c r="K334" s="9">
        <f>SUM(Tabla11034534544554564793638293294303304386387[Coste LÃ­nea])</f>
        <v>4000.2657423000001</v>
      </c>
      <c r="M334" s="377" t="s">
        <v>1394</v>
      </c>
    </row>
    <row r="335" spans="2:13" x14ac:dyDescent="0.3">
      <c r="B335" s="10" t="s">
        <v>724</v>
      </c>
      <c r="C335" s="11" t="s">
        <v>67</v>
      </c>
      <c r="D335" s="12">
        <v>220</v>
      </c>
      <c r="E335" s="12">
        <v>0</v>
      </c>
      <c r="F335" s="12">
        <v>220</v>
      </c>
      <c r="G335" s="13">
        <f>+VLOOKUP(Tabla11034534544554564793638293294303304386387[[#This Row],[ArtÃ­culo]],Tabla34[#All],3,0)</f>
        <v>17.88</v>
      </c>
      <c r="H335" s="14">
        <f>+Tabla11034534544554564793638293294303304386387[[#This Row],[Coste Componente]]*Tabla11034534544554564793638293294303304386387[[#This Row],[Unidades]]</f>
        <v>3933.6</v>
      </c>
      <c r="I335" s="27"/>
      <c r="J335" s="8" t="s">
        <v>12</v>
      </c>
      <c r="K335" s="15">
        <f>+K334*10%</f>
        <v>400.02657423000005</v>
      </c>
      <c r="M335" s="346"/>
    </row>
    <row r="336" spans="2:13" x14ac:dyDescent="0.3">
      <c r="B336" s="10" t="s">
        <v>759</v>
      </c>
      <c r="C336" s="11" t="s">
        <v>67</v>
      </c>
      <c r="D336" s="12">
        <v>1</v>
      </c>
      <c r="E336" s="12">
        <v>0</v>
      </c>
      <c r="F336" s="12">
        <v>1</v>
      </c>
      <c r="G336" s="13">
        <f>+VLOOKUP(Tabla11034534544554564793638293294303304386387[[#This Row],[ArtÃ­culo]],Tabla34[#All],3,0)</f>
        <v>66.665742300000005</v>
      </c>
      <c r="H336" s="14">
        <f>+Tabla11034534544554564793638293294303304386387[[#This Row],[Coste Componente]]*Tabla11034534544554564793638293294303304386387[[#This Row],[Unidades]]</f>
        <v>66.665742300000005</v>
      </c>
      <c r="J336" s="8" t="s">
        <v>13</v>
      </c>
      <c r="K336" s="15">
        <f>+K334+K335</f>
        <v>4400.2923165299999</v>
      </c>
      <c r="M336" s="346"/>
    </row>
    <row r="337" spans="2:13" x14ac:dyDescent="0.3">
      <c r="B337" s="16"/>
      <c r="C337" s="17"/>
      <c r="D337" s="17"/>
      <c r="E337" s="17"/>
      <c r="F337" s="17"/>
      <c r="G337" s="18"/>
      <c r="H337" s="18">
        <f>SUBTOTAL(109,Tabla11034534544554564793638293294303304386387[Coste LÃ­nea])</f>
        <v>4000.2657423000001</v>
      </c>
      <c r="I337" s="4"/>
      <c r="J337" s="20" t="s">
        <v>14</v>
      </c>
      <c r="K337" s="21">
        <v>10000</v>
      </c>
      <c r="M337" s="346"/>
    </row>
    <row r="338" spans="2:13" x14ac:dyDescent="0.3">
      <c r="I338" s="4"/>
      <c r="J338" s="8" t="s">
        <v>15</v>
      </c>
      <c r="K338" s="15">
        <f>+K337/1.08*0.08</f>
        <v>740.74074074074076</v>
      </c>
      <c r="M338" s="346"/>
    </row>
    <row r="339" spans="2:13" x14ac:dyDescent="0.3">
      <c r="I339" s="4"/>
      <c r="J339" s="8" t="s">
        <v>16</v>
      </c>
      <c r="K339" s="15">
        <f>+K337-K338</f>
        <v>9259.2592592592591</v>
      </c>
    </row>
    <row r="340" spans="2:13" x14ac:dyDescent="0.3">
      <c r="I340" s="4"/>
      <c r="J340" s="8" t="s">
        <v>17</v>
      </c>
      <c r="K340" s="22">
        <f>+K336/K339</f>
        <v>0.47523157018523998</v>
      </c>
      <c r="M340" s="377" t="s">
        <v>1377</v>
      </c>
    </row>
    <row r="341" spans="2:13" x14ac:dyDescent="0.3">
      <c r="I341" s="4"/>
      <c r="J341" s="8" t="s">
        <v>18</v>
      </c>
      <c r="K341" s="23">
        <f>+K339-K336</f>
        <v>4858.9669427292592</v>
      </c>
      <c r="M341" s="346"/>
    </row>
    <row r="342" spans="2:13" x14ac:dyDescent="0.3">
      <c r="I342" s="4"/>
      <c r="J342" s="8" t="s">
        <v>19</v>
      </c>
      <c r="K342" s="25">
        <f>+K341/K336</f>
        <v>1.1042373081616002</v>
      </c>
      <c r="M342" s="346"/>
    </row>
    <row r="343" spans="2:13" x14ac:dyDescent="0.3">
      <c r="M343" s="346"/>
    </row>
    <row r="345" spans="2:13" x14ac:dyDescent="0.3">
      <c r="B345" s="1" t="s">
        <v>530</v>
      </c>
      <c r="C345" s="2"/>
      <c r="D345" s="2"/>
      <c r="E345" s="3"/>
      <c r="F345" s="3"/>
      <c r="G345" s="3"/>
      <c r="H345" s="3"/>
      <c r="I345" s="4"/>
      <c r="J345" s="78" t="s">
        <v>0</v>
      </c>
      <c r="K345" s="78"/>
    </row>
    <row r="346" spans="2:13" ht="15.6" x14ac:dyDescent="0.3">
      <c r="B346" t="s">
        <v>857</v>
      </c>
      <c r="C346" t="s">
        <v>895</v>
      </c>
      <c r="D346" t="s">
        <v>892</v>
      </c>
      <c r="E346" t="s">
        <v>893</v>
      </c>
      <c r="F346" t="s">
        <v>894</v>
      </c>
      <c r="G346" t="s">
        <v>901</v>
      </c>
      <c r="H346" t="s">
        <v>902</v>
      </c>
      <c r="I346" s="4"/>
      <c r="J346" s="8" t="s">
        <v>6</v>
      </c>
      <c r="K346" s="9">
        <f>SUM(Tabla11034534544554564793638293294303304386387388[Coste LÃ­nea])</f>
        <v>454.54544799999996</v>
      </c>
      <c r="M346" s="377" t="s">
        <v>1394</v>
      </c>
    </row>
    <row r="347" spans="2:13" x14ac:dyDescent="0.3">
      <c r="B347" s="10" t="s">
        <v>923</v>
      </c>
      <c r="C347" s="11" t="s">
        <v>67</v>
      </c>
      <c r="D347" s="12">
        <v>6</v>
      </c>
      <c r="E347" s="12">
        <v>40</v>
      </c>
      <c r="F347" s="12">
        <v>10</v>
      </c>
      <c r="G347" s="13">
        <f>+VLOOKUP(Tabla11034534544554564793638293294303304386387388[[#This Row],[ArtÃ­culo]],Tabla34[#All],3,0)</f>
        <v>25</v>
      </c>
      <c r="H347" s="14">
        <f>+Tabla11034534544554564793638293294303304386387388[[#This Row],[Coste Componente]]*Tabla11034534544554564793638293294303304386387388[[#This Row],[Unidades]]</f>
        <v>250</v>
      </c>
      <c r="I347" s="27"/>
      <c r="J347" s="8" t="s">
        <v>12</v>
      </c>
      <c r="K347" s="15">
        <f>+K346*10%</f>
        <v>45.454544800000001</v>
      </c>
      <c r="M347" s="346"/>
    </row>
    <row r="348" spans="2:13" x14ac:dyDescent="0.3">
      <c r="B348" s="10" t="s">
        <v>835</v>
      </c>
      <c r="C348" s="11" t="s">
        <v>67</v>
      </c>
      <c r="D348" s="12">
        <v>9.9999996800000002</v>
      </c>
      <c r="E348" s="12">
        <v>78</v>
      </c>
      <c r="F348" s="12">
        <v>45.454543999999999</v>
      </c>
      <c r="G348" s="13">
        <f>+VLOOKUP(Tabla11034534544554564793638293294303304386387388[[#This Row],[ArtÃ­culo]],Tabla34[#All],3,0)</f>
        <v>4.5</v>
      </c>
      <c r="H348" s="14">
        <f>+Tabla11034534544554564793638293294303304386387388[[#This Row],[Coste Componente]]*Tabla11034534544554564793638293294303304386387388[[#This Row],[Unidades]]</f>
        <v>204.54544799999999</v>
      </c>
      <c r="J348" s="8" t="s">
        <v>13</v>
      </c>
      <c r="K348" s="15">
        <f>+K346+K347</f>
        <v>499.99999279999997</v>
      </c>
      <c r="M348" s="346"/>
    </row>
    <row r="349" spans="2:13" x14ac:dyDescent="0.3">
      <c r="B349" s="10" t="s">
        <v>38</v>
      </c>
      <c r="C349" s="11" t="s">
        <v>67</v>
      </c>
      <c r="D349" s="12">
        <v>100</v>
      </c>
      <c r="E349" s="12">
        <v>0</v>
      </c>
      <c r="F349" s="12">
        <v>100</v>
      </c>
      <c r="G349" s="13"/>
      <c r="H349" s="14">
        <f>+Tabla11034534544554564793638293294303304386387388[[#This Row],[Coste Componente]]*Tabla11034534544554564793638293294303304386387388[[#This Row],[Unidades]]</f>
        <v>0</v>
      </c>
      <c r="I349" s="4"/>
      <c r="J349" s="20" t="s">
        <v>14</v>
      </c>
      <c r="K349" s="21">
        <v>9000</v>
      </c>
      <c r="M349" s="346"/>
    </row>
    <row r="350" spans="2:13" x14ac:dyDescent="0.3">
      <c r="B350" s="16"/>
      <c r="C350" s="17"/>
      <c r="D350" s="17"/>
      <c r="E350" s="17"/>
      <c r="F350" s="17"/>
      <c r="G350" s="18"/>
      <c r="H350" s="18">
        <f>SUBTOTAL(109,Tabla11034534544554564793638293294303304386387388[Coste LÃ­nea])</f>
        <v>454.54544799999996</v>
      </c>
      <c r="I350" s="4"/>
      <c r="J350" s="8" t="s">
        <v>15</v>
      </c>
      <c r="K350" s="15">
        <f>+K349/1.08*0.08</f>
        <v>666.66666666666663</v>
      </c>
      <c r="M350" s="346"/>
    </row>
    <row r="351" spans="2:13" x14ac:dyDescent="0.3">
      <c r="I351" s="4"/>
      <c r="J351" s="8" t="s">
        <v>16</v>
      </c>
      <c r="K351" s="15">
        <f>+K349-K350</f>
        <v>8333.3333333333339</v>
      </c>
    </row>
    <row r="352" spans="2:13" x14ac:dyDescent="0.3">
      <c r="I352" s="4"/>
      <c r="J352" s="8" t="s">
        <v>17</v>
      </c>
      <c r="K352" s="22">
        <f>+K348/K351</f>
        <v>5.9999999135999994E-2</v>
      </c>
      <c r="M352" s="377" t="s">
        <v>1377</v>
      </c>
    </row>
    <row r="353" spans="2:13" x14ac:dyDescent="0.3">
      <c r="I353" s="4"/>
      <c r="J353" s="8" t="s">
        <v>18</v>
      </c>
      <c r="K353" s="23">
        <f>+K351-K348</f>
        <v>7833.3333405333342</v>
      </c>
      <c r="M353" s="346"/>
    </row>
    <row r="354" spans="2:13" x14ac:dyDescent="0.3">
      <c r="I354" s="4"/>
      <c r="J354" s="8" t="s">
        <v>19</v>
      </c>
      <c r="K354" s="25">
        <f>+K353/K348</f>
        <v>15.666666906666673</v>
      </c>
      <c r="M354" s="346"/>
    </row>
    <row r="355" spans="2:13" x14ac:dyDescent="0.3">
      <c r="M355" s="346"/>
    </row>
    <row r="356" spans="2:13" x14ac:dyDescent="0.3">
      <c r="B356" s="1" t="s">
        <v>558</v>
      </c>
      <c r="C356" s="2"/>
      <c r="D356" s="2"/>
      <c r="E356" s="3"/>
      <c r="F356" s="3"/>
      <c r="G356" s="3"/>
      <c r="H356" s="3"/>
      <c r="I356" s="4"/>
      <c r="J356" s="78" t="s">
        <v>0</v>
      </c>
      <c r="K356" s="78"/>
    </row>
    <row r="357" spans="2:13" ht="15.6" x14ac:dyDescent="0.3">
      <c r="B357" t="s">
        <v>857</v>
      </c>
      <c r="C357" t="s">
        <v>895</v>
      </c>
      <c r="D357" t="s">
        <v>892</v>
      </c>
      <c r="E357" t="s">
        <v>893</v>
      </c>
      <c r="F357" t="s">
        <v>894</v>
      </c>
      <c r="G357" t="s">
        <v>901</v>
      </c>
      <c r="H357" t="s">
        <v>902</v>
      </c>
      <c r="I357" s="4"/>
      <c r="J357" s="8" t="s">
        <v>6</v>
      </c>
      <c r="K357" s="9">
        <f>SUM(Tabla11034534544554564793638293294303304386387389[Coste LÃ­nea])</f>
        <v>4000.2657423000001</v>
      </c>
      <c r="M357" s="377" t="s">
        <v>1394</v>
      </c>
    </row>
    <row r="358" spans="2:13" x14ac:dyDescent="0.3">
      <c r="B358" s="10" t="s">
        <v>724</v>
      </c>
      <c r="C358" s="11" t="s">
        <v>67</v>
      </c>
      <c r="D358" s="12">
        <v>220</v>
      </c>
      <c r="E358" s="12">
        <v>0</v>
      </c>
      <c r="F358" s="12">
        <v>220</v>
      </c>
      <c r="G358" s="13">
        <f>+VLOOKUP(Tabla11034534544554564793638293294303304386387389[[#This Row],[ArtÃ­culo]],Tabla34[#All],3,0)</f>
        <v>17.88</v>
      </c>
      <c r="H358" s="14">
        <f>+Tabla11034534544554564793638293294303304386387389[[#This Row],[Coste Componente]]*Tabla11034534544554564793638293294303304386387389[[#This Row],[Unidades]]</f>
        <v>3933.6</v>
      </c>
      <c r="I358" s="27"/>
      <c r="J358" s="8" t="s">
        <v>12</v>
      </c>
      <c r="K358" s="15">
        <f>+K357*10%</f>
        <v>400.02657423000005</v>
      </c>
      <c r="M358" s="346"/>
    </row>
    <row r="359" spans="2:13" x14ac:dyDescent="0.3">
      <c r="B359" s="10" t="s">
        <v>759</v>
      </c>
      <c r="C359" s="11" t="s">
        <v>67</v>
      </c>
      <c r="D359" s="12">
        <v>1</v>
      </c>
      <c r="E359" s="12">
        <v>0</v>
      </c>
      <c r="F359" s="12">
        <v>1</v>
      </c>
      <c r="G359" s="13">
        <f>+VLOOKUP(Tabla11034534544554564793638293294303304386387389[[#This Row],[ArtÃ­culo]],Tabla34[#All],3,0)</f>
        <v>66.665742300000005</v>
      </c>
      <c r="H359" s="14">
        <f>+Tabla11034534544554564793638293294303304386387389[[#This Row],[Coste Componente]]*Tabla11034534544554564793638293294303304386387389[[#This Row],[Unidades]]</f>
        <v>66.665742300000005</v>
      </c>
      <c r="J359" s="8" t="s">
        <v>13</v>
      </c>
      <c r="K359" s="15">
        <f>+K357+K358</f>
        <v>4400.2923165299999</v>
      </c>
      <c r="M359" s="346"/>
    </row>
    <row r="360" spans="2:13" x14ac:dyDescent="0.3">
      <c r="B360" s="16"/>
      <c r="C360" s="17"/>
      <c r="D360" s="17"/>
      <c r="E360" s="17"/>
      <c r="F360" s="17"/>
      <c r="G360" s="18"/>
      <c r="H360" s="18">
        <f>SUBTOTAL(109,Tabla11034534544554564793638293294303304386387389[Coste LÃ­nea])</f>
        <v>4000.2657423000001</v>
      </c>
      <c r="I360" s="4"/>
      <c r="J360" s="20" t="s">
        <v>14</v>
      </c>
      <c r="K360" s="21">
        <v>10000</v>
      </c>
      <c r="M360" s="346"/>
    </row>
    <row r="361" spans="2:13" x14ac:dyDescent="0.3">
      <c r="I361" s="4"/>
      <c r="J361" s="8" t="s">
        <v>15</v>
      </c>
      <c r="K361" s="15">
        <f>+K360/1.08*0.08</f>
        <v>740.74074074074076</v>
      </c>
      <c r="M361" s="346"/>
    </row>
    <row r="362" spans="2:13" x14ac:dyDescent="0.3">
      <c r="I362" s="4"/>
      <c r="J362" s="8" t="s">
        <v>16</v>
      </c>
      <c r="K362" s="15">
        <f>+K360-K361</f>
        <v>9259.2592592592591</v>
      </c>
    </row>
    <row r="363" spans="2:13" x14ac:dyDescent="0.3">
      <c r="I363" s="4"/>
      <c r="J363" s="8" t="s">
        <v>17</v>
      </c>
      <c r="K363" s="22">
        <f>+K359/K362</f>
        <v>0.47523157018523998</v>
      </c>
      <c r="M363" s="377" t="s">
        <v>1377</v>
      </c>
    </row>
    <row r="364" spans="2:13" x14ac:dyDescent="0.3">
      <c r="I364" s="4"/>
      <c r="J364" s="8" t="s">
        <v>18</v>
      </c>
      <c r="K364" s="23">
        <f>+K362-K359</f>
        <v>4858.9669427292592</v>
      </c>
      <c r="M364" s="346"/>
    </row>
    <row r="365" spans="2:13" x14ac:dyDescent="0.3">
      <c r="I365" s="4"/>
      <c r="J365" s="8" t="s">
        <v>19</v>
      </c>
      <c r="K365" s="25">
        <f>+K364/K359</f>
        <v>1.1042373081616002</v>
      </c>
      <c r="M365" s="346"/>
    </row>
    <row r="366" spans="2:13" x14ac:dyDescent="0.3">
      <c r="M366" s="346"/>
    </row>
    <row r="369" spans="2:13" x14ac:dyDescent="0.3">
      <c r="B369" s="1" t="s">
        <v>559</v>
      </c>
      <c r="C369" s="2"/>
      <c r="D369" s="2"/>
      <c r="E369" s="3"/>
      <c r="F369" s="3"/>
      <c r="G369" s="3"/>
      <c r="H369" s="3"/>
      <c r="I369" s="4"/>
      <c r="J369" s="78" t="s">
        <v>0</v>
      </c>
      <c r="K369" s="78"/>
    </row>
    <row r="370" spans="2:13" ht="15.6" x14ac:dyDescent="0.3">
      <c r="B370" t="s">
        <v>857</v>
      </c>
      <c r="C370" t="s">
        <v>895</v>
      </c>
      <c r="D370" t="s">
        <v>892</v>
      </c>
      <c r="E370" t="s">
        <v>893</v>
      </c>
      <c r="F370" t="s">
        <v>894</v>
      </c>
      <c r="G370" t="s">
        <v>901</v>
      </c>
      <c r="H370" t="s">
        <v>902</v>
      </c>
      <c r="I370" s="4"/>
      <c r="J370" s="8" t="s">
        <v>6</v>
      </c>
      <c r="K370" s="9">
        <f>SUM(Tabla11034534544554564793638293294296390[Coste LÃ­nea])</f>
        <v>5415.9274984100002</v>
      </c>
      <c r="M370" s="377" t="s">
        <v>1394</v>
      </c>
    </row>
    <row r="371" spans="2:13" x14ac:dyDescent="0.3">
      <c r="B371" s="10" t="s">
        <v>203</v>
      </c>
      <c r="C371" s="11" t="s">
        <v>605</v>
      </c>
      <c r="D371" s="12">
        <v>3</v>
      </c>
      <c r="E371" s="12">
        <v>0</v>
      </c>
      <c r="F371" s="12">
        <v>3</v>
      </c>
      <c r="G371" s="13">
        <f>+VLOOKUP(Tabla11034534544554564793638293294296390[[#This Row],[ArtÃ­culo]],Tabla34[#All],3,0)</f>
        <v>1395.1416666699999</v>
      </c>
      <c r="H371" s="14">
        <f>+Tabla11034534544554564793638293294296390[[#This Row],[Coste Componente]]*Tabla11034534544554564793638293294296390[[#This Row],[Unidades]]</f>
        <v>4185.4250000100001</v>
      </c>
      <c r="I371" s="4"/>
      <c r="J371" s="8" t="s">
        <v>12</v>
      </c>
      <c r="K371" s="15">
        <f>+K370*10%</f>
        <v>541.592749841</v>
      </c>
      <c r="M371" s="346"/>
    </row>
    <row r="372" spans="2:13" x14ac:dyDescent="0.3">
      <c r="B372" s="10" t="s">
        <v>96</v>
      </c>
      <c r="C372" s="11" t="s">
        <v>847</v>
      </c>
      <c r="D372" s="12">
        <v>0.15</v>
      </c>
      <c r="E372" s="12">
        <v>0</v>
      </c>
      <c r="F372" s="12">
        <v>0.15</v>
      </c>
      <c r="G372" s="13">
        <f>+VLOOKUP(Tabla11034534544554564793638293294296390[[#This Row],[ArtÃ­culo]],Tabla34[#All],3,0)</f>
        <v>4986</v>
      </c>
      <c r="H372" s="14">
        <f>+Tabla11034534544554564793638293294296390[[#This Row],[Coste Componente]]*Tabla11034534544554564793638293294296390[[#This Row],[Unidades]]</f>
        <v>747.9</v>
      </c>
      <c r="I372" s="4"/>
      <c r="J372" s="8" t="s">
        <v>13</v>
      </c>
      <c r="K372" s="15">
        <f>+K370+K371</f>
        <v>5957.5202482510003</v>
      </c>
      <c r="M372" s="346"/>
    </row>
    <row r="373" spans="2:13" x14ac:dyDescent="0.3">
      <c r="B373" s="10" t="s">
        <v>1130</v>
      </c>
      <c r="C373" s="11" t="s">
        <v>67</v>
      </c>
      <c r="D373" s="12">
        <v>60</v>
      </c>
      <c r="E373" s="12">
        <v>0</v>
      </c>
      <c r="F373" s="12">
        <v>60</v>
      </c>
      <c r="G373" s="13">
        <f>+VLOOKUP(Tabla11034534544554564793638293294296390[[#This Row],[ArtÃ­culo]],Tabla34[#All],3,0)</f>
        <v>4.2533333300000002</v>
      </c>
      <c r="H373" s="14">
        <f>+Tabla11034534544554564793638293294296390[[#This Row],[Coste Componente]]*Tabla11034534544554564793638293294296390[[#This Row],[Unidades]]</f>
        <v>255.1999998</v>
      </c>
      <c r="I373" s="4"/>
      <c r="J373" s="20" t="s">
        <v>14</v>
      </c>
      <c r="K373" s="21">
        <v>25000</v>
      </c>
      <c r="M373" s="346"/>
    </row>
    <row r="374" spans="2:13" x14ac:dyDescent="0.3">
      <c r="B374" s="10" t="s">
        <v>164</v>
      </c>
      <c r="C374" s="11" t="s">
        <v>67</v>
      </c>
      <c r="D374" s="12">
        <v>20</v>
      </c>
      <c r="E374" s="12">
        <v>0</v>
      </c>
      <c r="F374" s="12">
        <v>20</v>
      </c>
      <c r="G374" s="13">
        <f>+VLOOKUP(Tabla11034534544554564793638293294296390[[#This Row],[ArtÃ­culo]],Tabla34[#All],3,0)</f>
        <v>11.370124929999999</v>
      </c>
      <c r="H374" s="14">
        <f>+Tabla11034534544554564793638293294296390[[#This Row],[Coste Componente]]*Tabla11034534544554564793638293294296390[[#This Row],[Unidades]]</f>
        <v>227.4024986</v>
      </c>
      <c r="J374" s="8" t="s">
        <v>15</v>
      </c>
      <c r="K374" s="15">
        <f>+K373/1.08*0.08</f>
        <v>1851.8518518518517</v>
      </c>
      <c r="M374" s="346"/>
    </row>
    <row r="375" spans="2:13" x14ac:dyDescent="0.3">
      <c r="B375" s="10" t="s">
        <v>1080</v>
      </c>
      <c r="C375" s="11" t="s">
        <v>67</v>
      </c>
      <c r="D375" s="12">
        <v>10</v>
      </c>
      <c r="E375" s="12">
        <v>0</v>
      </c>
      <c r="F375" s="12">
        <v>10</v>
      </c>
      <c r="G375" s="13">
        <f>+VLOOKUP(Tabla11034534544554564793638293294296390[[#This Row],[ArtÃ­culo]],Tabla34[#All],3,0)</f>
        <v>0</v>
      </c>
      <c r="H375" s="14">
        <f>+Tabla11034534544554564793638293294296390[[#This Row],[Coste Componente]]*Tabla11034534544554564793638293294296390[[#This Row],[Unidades]]</f>
        <v>0</v>
      </c>
      <c r="J375" s="8" t="s">
        <v>16</v>
      </c>
      <c r="K375" s="15">
        <f>+K373-K374</f>
        <v>23148.14814814815</v>
      </c>
    </row>
    <row r="376" spans="2:13" x14ac:dyDescent="0.3">
      <c r="B376" s="16"/>
      <c r="C376" s="17"/>
      <c r="D376" s="17"/>
      <c r="E376" s="17"/>
      <c r="F376" s="17"/>
      <c r="G376" s="18"/>
      <c r="H376" s="18">
        <f>SUBTOTAL(109,Tabla11034534544554564793638293294296390[Coste LÃ­nea])</f>
        <v>5415.9274984100002</v>
      </c>
      <c r="I376" s="4"/>
      <c r="J376" s="8" t="s">
        <v>17</v>
      </c>
      <c r="K376" s="22">
        <f>+K372/K375</f>
        <v>0.25736487472444319</v>
      </c>
      <c r="M376" s="377" t="s">
        <v>1377</v>
      </c>
    </row>
    <row r="377" spans="2:13" x14ac:dyDescent="0.3">
      <c r="I377" s="4"/>
      <c r="J377" s="8" t="s">
        <v>18</v>
      </c>
      <c r="K377" s="23">
        <f>+K375-K372</f>
        <v>17190.62789989715</v>
      </c>
      <c r="M377" s="346"/>
    </row>
    <row r="378" spans="2:13" x14ac:dyDescent="0.3">
      <c r="I378" s="4"/>
      <c r="J378" s="8" t="s">
        <v>19</v>
      </c>
      <c r="K378" s="25">
        <f>+K377/K372</f>
        <v>2.8855341121071216</v>
      </c>
      <c r="M378" s="346"/>
    </row>
    <row r="379" spans="2:13" x14ac:dyDescent="0.3">
      <c r="M379" s="346"/>
    </row>
    <row r="385" spans="2:13" x14ac:dyDescent="0.3">
      <c r="B385" s="1" t="s">
        <v>903</v>
      </c>
      <c r="C385" s="2"/>
      <c r="D385" s="2"/>
      <c r="E385" s="3"/>
      <c r="F385" s="3"/>
      <c r="G385" s="3"/>
      <c r="H385" s="3"/>
      <c r="I385" s="4"/>
      <c r="J385" s="399" t="s">
        <v>0</v>
      </c>
      <c r="K385" s="399"/>
    </row>
    <row r="386" spans="2:13" ht="15.6" x14ac:dyDescent="0.3">
      <c r="B386" t="s">
        <v>857</v>
      </c>
      <c r="C386" t="s">
        <v>895</v>
      </c>
      <c r="D386" t="s">
        <v>892</v>
      </c>
      <c r="E386" t="s">
        <v>893</v>
      </c>
      <c r="F386" t="s">
        <v>894</v>
      </c>
      <c r="G386" t="s">
        <v>901</v>
      </c>
      <c r="H386" t="s">
        <v>902</v>
      </c>
      <c r="I386" s="4"/>
      <c r="J386" s="8" t="s">
        <v>6</v>
      </c>
      <c r="K386" s="9">
        <f>SUM(Tabla11034534544554564793638293294296390375[Coste LÃ­nea])</f>
        <v>9862.1624639400015</v>
      </c>
      <c r="M386" s="377" t="s">
        <v>1394</v>
      </c>
    </row>
    <row r="387" spans="2:13" x14ac:dyDescent="0.3">
      <c r="B387" s="10" t="s">
        <v>737</v>
      </c>
      <c r="C387" s="11" t="s">
        <v>847</v>
      </c>
      <c r="D387" s="12">
        <v>1</v>
      </c>
      <c r="E387" s="12">
        <v>0</v>
      </c>
      <c r="F387" s="12">
        <v>1</v>
      </c>
      <c r="G387" s="13">
        <f>+VLOOKUP(Tabla11034534544554564793638293294296390375[[#This Row],[ArtÃ­culo]],Tabla34[#All],3,0)</f>
        <v>2000</v>
      </c>
      <c r="H387" s="14">
        <f>+Tabla11034534544554564793638293294296390375[[#This Row],[Coste Componente]]*Tabla11034534544554564793638293294296390375[[#This Row],[Unidades]]</f>
        <v>2000</v>
      </c>
      <c r="I387" s="4"/>
      <c r="J387" s="8" t="s">
        <v>12</v>
      </c>
      <c r="K387" s="15">
        <f>+K386*10%</f>
        <v>986.21624639400022</v>
      </c>
      <c r="M387" s="346" t="s">
        <v>1760</v>
      </c>
    </row>
    <row r="388" spans="2:13" x14ac:dyDescent="0.3">
      <c r="B388" s="10" t="s">
        <v>1194</v>
      </c>
      <c r="C388" s="11" t="s">
        <v>847</v>
      </c>
      <c r="D388" s="12">
        <v>2</v>
      </c>
      <c r="E388" s="12">
        <v>0</v>
      </c>
      <c r="F388" s="12">
        <v>2</v>
      </c>
      <c r="G388" s="13">
        <f>+VLOOKUP(Tabla11034534544554564793638293294296390375[[#This Row],[ArtÃ­culo]],Tabla34[#All],3,0)</f>
        <v>726.66666667000004</v>
      </c>
      <c r="H388" s="14">
        <f>+Tabla11034534544554564793638293294296390375[[#This Row],[Coste Componente]]*Tabla11034534544554564793638293294296390375[[#This Row],[Unidades]]</f>
        <v>1453.3333333400001</v>
      </c>
      <c r="I388" s="4"/>
      <c r="J388" s="8" t="s">
        <v>13</v>
      </c>
      <c r="K388" s="15">
        <f>+K386+K387</f>
        <v>10848.378710334002</v>
      </c>
      <c r="M388" s="346" t="s">
        <v>1761</v>
      </c>
    </row>
    <row r="389" spans="2:13" x14ac:dyDescent="0.3">
      <c r="B389" s="10" t="s">
        <v>345</v>
      </c>
      <c r="C389" s="11" t="s">
        <v>847</v>
      </c>
      <c r="D389" s="12">
        <v>1</v>
      </c>
      <c r="E389" s="12">
        <v>0</v>
      </c>
      <c r="F389" s="12">
        <v>1</v>
      </c>
      <c r="G389" s="13">
        <f>+VLOOKUP(Tabla11034534544554564793638293294296390375[[#This Row],[ArtÃ­culo]],Tabla34[#All],3,0)</f>
        <v>1600</v>
      </c>
      <c r="H389" s="14">
        <f>+Tabla11034534544554564793638293294296390375[[#This Row],[Coste Componente]]*Tabla11034534544554564793638293294296390375[[#This Row],[Unidades]]</f>
        <v>1600</v>
      </c>
      <c r="I389" s="4"/>
      <c r="J389" s="20" t="s">
        <v>14</v>
      </c>
      <c r="K389" s="21">
        <v>28000</v>
      </c>
      <c r="M389" s="346" t="s">
        <v>1762</v>
      </c>
    </row>
    <row r="390" spans="2:13" x14ac:dyDescent="0.3">
      <c r="B390" s="10" t="s">
        <v>712</v>
      </c>
      <c r="C390" s="11" t="s">
        <v>67</v>
      </c>
      <c r="D390" s="12">
        <v>29.9999988</v>
      </c>
      <c r="E390" s="12">
        <v>10</v>
      </c>
      <c r="F390" s="12">
        <v>33.333331999999999</v>
      </c>
      <c r="G390" s="13">
        <f>+VLOOKUP(Tabla11034534544554564793638293294296390375[[#This Row],[ArtÃ­culo]],Tabla34[#All],3,0)</f>
        <v>32.5</v>
      </c>
      <c r="H390" s="14">
        <f>+Tabla11034534544554564793638293294296390375[[#This Row],[Coste Componente]]*Tabla11034534544554564793638293294296390375[[#This Row],[Unidades]]</f>
        <v>1083.33329</v>
      </c>
      <c r="J390" s="8" t="s">
        <v>15</v>
      </c>
      <c r="K390" s="15">
        <f>+K389/1.08*0.08</f>
        <v>2074.0740740740739</v>
      </c>
    </row>
    <row r="391" spans="2:13" x14ac:dyDescent="0.3">
      <c r="B391" s="10" t="s">
        <v>132</v>
      </c>
      <c r="C391" s="11" t="s">
        <v>67</v>
      </c>
      <c r="D391" s="12">
        <v>40</v>
      </c>
      <c r="E391" s="12">
        <v>0</v>
      </c>
      <c r="F391" s="12">
        <v>40</v>
      </c>
      <c r="G391" s="13">
        <f>+VLOOKUP(Tabla11034534544554564793638293294296390375[[#This Row],[ArtÃ­culo]],Tabla34[#All],3,0)</f>
        <v>9.1207600099999997</v>
      </c>
      <c r="H391" s="14">
        <f>+Tabla11034534544554564793638293294296390375[[#This Row],[Coste Componente]]*Tabla11034534544554564793638293294296390375[[#This Row],[Unidades]]</f>
        <v>364.83040039999997</v>
      </c>
      <c r="J391" s="8" t="s">
        <v>16</v>
      </c>
      <c r="K391" s="15">
        <f>+K389-K390</f>
        <v>25925.925925925927</v>
      </c>
      <c r="M391" s="377" t="s">
        <v>1377</v>
      </c>
    </row>
    <row r="392" spans="2:13" x14ac:dyDescent="0.3">
      <c r="B392" s="10" t="s">
        <v>1082</v>
      </c>
      <c r="C392" s="11" t="s">
        <v>67</v>
      </c>
      <c r="D392" s="12">
        <v>30</v>
      </c>
      <c r="E392" s="12">
        <v>0</v>
      </c>
      <c r="F392" s="12">
        <v>30</v>
      </c>
      <c r="G392" s="13">
        <f>+VLOOKUP(Tabla11034534544554564793638293294296390375[[#This Row],[ArtÃ­culo]],Tabla34[#All],3,0)</f>
        <v>19.133394169999999</v>
      </c>
      <c r="H392" s="14">
        <f>+Tabla11034534544554564793638293294296390375[[#This Row],[Coste Componente]]*Tabla11034534544554564793638293294296390375[[#This Row],[Unidades]]</f>
        <v>574.00182510000002</v>
      </c>
      <c r="I392" s="4"/>
      <c r="J392" s="8" t="s">
        <v>17</v>
      </c>
      <c r="K392" s="22">
        <f>+K388/K391</f>
        <v>0.41843746454145436</v>
      </c>
      <c r="M392" s="346"/>
    </row>
    <row r="393" spans="2:13" x14ac:dyDescent="0.3">
      <c r="B393" s="10" t="s">
        <v>308</v>
      </c>
      <c r="C393" s="11" t="s">
        <v>67</v>
      </c>
      <c r="D393" s="12">
        <v>20</v>
      </c>
      <c r="E393" s="12">
        <v>0</v>
      </c>
      <c r="F393" s="12">
        <v>20</v>
      </c>
      <c r="G393" s="13">
        <f>+VLOOKUP(Tabla11034534544554564793638293294296390375[[#This Row],[ArtÃ­culo]],Tabla34[#All],3,0)</f>
        <v>24.115200000000002</v>
      </c>
      <c r="H393" s="14">
        <f>+Tabla11034534544554564793638293294296390375[[#This Row],[Coste Componente]]*Tabla11034534544554564793638293294296390375[[#This Row],[Unidades]]</f>
        <v>482.30400000000003</v>
      </c>
      <c r="I393" s="4"/>
      <c r="J393" s="8" t="s">
        <v>18</v>
      </c>
      <c r="K393" s="23">
        <f>+K391-K388</f>
        <v>15077.547215591925</v>
      </c>
      <c r="M393" s="346"/>
    </row>
    <row r="394" spans="2:13" x14ac:dyDescent="0.3">
      <c r="B394" s="10" t="s">
        <v>835</v>
      </c>
      <c r="C394" s="11" t="s">
        <v>67</v>
      </c>
      <c r="D394" s="12">
        <v>29.999998600000001</v>
      </c>
      <c r="E394" s="12">
        <v>78</v>
      </c>
      <c r="F394" s="12">
        <v>136.36363</v>
      </c>
      <c r="G394" s="13">
        <f>+VLOOKUP(Tabla11034534544554564793638293294296390375[[#This Row],[ArtÃ­culo]],Tabla34[#All],3,0)</f>
        <v>4.5</v>
      </c>
      <c r="H394" s="14">
        <f>+Tabla11034534544554564793638293294296390375[[#This Row],[Coste Componente]]*Tabla11034534544554564793638293294296390375[[#This Row],[Unidades]]</f>
        <v>613.63633500000003</v>
      </c>
      <c r="I394" s="4"/>
      <c r="J394" s="8" t="s">
        <v>19</v>
      </c>
      <c r="K394" s="25">
        <f>+K393/K388</f>
        <v>1.3898433690583905</v>
      </c>
      <c r="M394" s="346"/>
    </row>
    <row r="395" spans="2:13" x14ac:dyDescent="0.3">
      <c r="B395" s="10" t="s">
        <v>631</v>
      </c>
      <c r="C395" s="11" t="s">
        <v>67</v>
      </c>
      <c r="D395" s="12">
        <v>10</v>
      </c>
      <c r="E395" s="12">
        <v>0</v>
      </c>
      <c r="F395" s="12">
        <v>10</v>
      </c>
      <c r="G395" s="13">
        <f>+VLOOKUP(Tabla11034534544554564793638293294296390375[[#This Row],[ArtÃ­culo]],Tabla34[#All],3,0)</f>
        <v>34.714285709999999</v>
      </c>
      <c r="H395" s="14">
        <f>+Tabla11034534544554564793638293294296390375[[#This Row],[Coste Componente]]*Tabla11034534544554564793638293294296390375[[#This Row],[Unidades]]</f>
        <v>347.14285710000001</v>
      </c>
    </row>
    <row r="396" spans="2:13" x14ac:dyDescent="0.3">
      <c r="B396" s="10" t="s">
        <v>833</v>
      </c>
      <c r="C396" s="11" t="s">
        <v>67</v>
      </c>
      <c r="D396" s="12">
        <v>1</v>
      </c>
      <c r="E396" s="12">
        <v>0</v>
      </c>
      <c r="F396" s="12">
        <v>1</v>
      </c>
      <c r="G396" s="13">
        <f>+VLOOKUP(Tabla11034534544554564793638293294296390375[[#This Row],[ArtÃ­culo]],Tabla34[#All],3,0)</f>
        <v>307.5</v>
      </c>
      <c r="H396" s="14">
        <f>+Tabla11034534544554564793638293294296390375[[#This Row],[Coste Componente]]*Tabla11034534544554564793638293294296390375[[#This Row],[Unidades]]</f>
        <v>307.5</v>
      </c>
    </row>
    <row r="397" spans="2:13" x14ac:dyDescent="0.3">
      <c r="B397" s="10" t="s">
        <v>683</v>
      </c>
      <c r="C397" s="11" t="s">
        <v>67</v>
      </c>
      <c r="D397" s="12">
        <v>19.999999500000001</v>
      </c>
      <c r="E397" s="12">
        <v>25</v>
      </c>
      <c r="F397" s="12">
        <v>26.666665999999999</v>
      </c>
      <c r="G397" s="13">
        <f>+VLOOKUP(Tabla11034534544554564793638293294296390375[[#This Row],[ArtÃ­culo]],Tabla34[#All],3,0)</f>
        <v>8.5</v>
      </c>
      <c r="H397" s="14">
        <f>+Tabla11034534544554564793638293294296390375[[#This Row],[Coste Componente]]*Tabla11034534544554564793638293294296390375[[#This Row],[Unidades]]</f>
        <v>226.666661</v>
      </c>
    </row>
    <row r="398" spans="2:13" x14ac:dyDescent="0.3">
      <c r="B398" s="10" t="s">
        <v>724</v>
      </c>
      <c r="C398" s="11" t="s">
        <v>67</v>
      </c>
      <c r="D398" s="12">
        <v>40</v>
      </c>
      <c r="E398" s="12">
        <v>0</v>
      </c>
      <c r="F398" s="12">
        <v>40</v>
      </c>
      <c r="G398" s="13">
        <f>+VLOOKUP(Tabla11034534544554564793638293294296390375[[#This Row],[ArtÃ­culo]],Tabla34[#All],3,0)</f>
        <v>17.88</v>
      </c>
      <c r="H398" s="14">
        <f>+Tabla11034534544554564793638293294296390375[[#This Row],[Coste Componente]]*Tabla11034534544554564793638293294296390375[[#This Row],[Unidades]]</f>
        <v>715.19999999999993</v>
      </c>
    </row>
    <row r="399" spans="2:13" x14ac:dyDescent="0.3">
      <c r="B399" s="10" t="s">
        <v>687</v>
      </c>
      <c r="C399" s="11" t="s">
        <v>67</v>
      </c>
      <c r="D399" s="12">
        <v>14.999999300000001</v>
      </c>
      <c r="E399" s="12">
        <v>15</v>
      </c>
      <c r="F399" s="12">
        <v>17.647058000000001</v>
      </c>
      <c r="G399" s="13">
        <f>+VLOOKUP(Tabla11034534544554564793638293294296390375[[#This Row],[ArtÃ­culo]],Tabla34[#All],3,0)</f>
        <v>2.8</v>
      </c>
      <c r="H399" s="14">
        <f>+Tabla11034534544554564793638293294296390375[[#This Row],[Coste Componente]]*Tabla11034534544554564793638293294296390375[[#This Row],[Unidades]]</f>
        <v>49.411762400000001</v>
      </c>
    </row>
    <row r="400" spans="2:13" x14ac:dyDescent="0.3">
      <c r="B400" s="10" t="s">
        <v>730</v>
      </c>
      <c r="C400" s="11" t="s">
        <v>67</v>
      </c>
      <c r="D400" s="12">
        <v>1.9999999799999999</v>
      </c>
      <c r="E400" s="12">
        <v>40</v>
      </c>
      <c r="F400" s="12">
        <v>3.3333333000000001</v>
      </c>
      <c r="G400" s="13">
        <f>+VLOOKUP(Tabla11034534544554564793638293294296390375[[#This Row],[ArtÃ­culo]],Tabla34[#All],3,0)</f>
        <v>12</v>
      </c>
      <c r="H400" s="14">
        <f>+Tabla11034534544554564793638293294296390375[[#This Row],[Coste Componente]]*Tabla11034534544554564793638293294296390375[[#This Row],[Unidades]]</f>
        <v>39.999999600000002</v>
      </c>
    </row>
    <row r="401" spans="2:13" x14ac:dyDescent="0.3">
      <c r="B401" s="10" t="s">
        <v>89</v>
      </c>
      <c r="C401" s="11" t="s">
        <v>67</v>
      </c>
      <c r="D401" s="12">
        <v>2</v>
      </c>
      <c r="E401" s="12">
        <v>0</v>
      </c>
      <c r="F401" s="12">
        <v>2</v>
      </c>
      <c r="G401" s="13">
        <f>+VLOOKUP(Tabla11034534544554564793638293294296390375[[#This Row],[ArtÃ­culo]],Tabla34[#All],3,0)</f>
        <v>2.4009999999999998</v>
      </c>
      <c r="H401" s="14">
        <f>+Tabla11034534544554564793638293294296390375[[#This Row],[Coste Componente]]*Tabla11034534544554564793638293294296390375[[#This Row],[Unidades]]</f>
        <v>4.8019999999999996</v>
      </c>
    </row>
    <row r="402" spans="2:13" x14ac:dyDescent="0.3">
      <c r="B402" s="16"/>
      <c r="C402" s="17"/>
      <c r="D402" s="17"/>
      <c r="E402" s="17"/>
      <c r="F402" s="17"/>
      <c r="G402" s="18"/>
      <c r="H402" s="18">
        <f>SUBTOTAL(109,Tabla11034534544554564793638293294296390375[Coste LÃ­nea])</f>
        <v>9862.1624639400015</v>
      </c>
    </row>
    <row r="407" spans="2:13" ht="15.6" x14ac:dyDescent="0.3">
      <c r="B407" s="1" t="s">
        <v>904</v>
      </c>
      <c r="C407" s="2"/>
      <c r="D407" s="2"/>
      <c r="E407" s="3"/>
      <c r="F407" s="3"/>
      <c r="G407" s="3"/>
      <c r="H407" s="3"/>
      <c r="I407" s="4"/>
      <c r="J407" s="399" t="s">
        <v>0</v>
      </c>
      <c r="K407" s="399"/>
      <c r="M407" s="377" t="s">
        <v>1394</v>
      </c>
    </row>
    <row r="408" spans="2:13" x14ac:dyDescent="0.3">
      <c r="B408" t="s">
        <v>857</v>
      </c>
      <c r="C408" t="s">
        <v>895</v>
      </c>
      <c r="D408" t="s">
        <v>892</v>
      </c>
      <c r="E408" t="s">
        <v>893</v>
      </c>
      <c r="F408" t="s">
        <v>894</v>
      </c>
      <c r="G408" t="s">
        <v>901</v>
      </c>
      <c r="H408" t="s">
        <v>902</v>
      </c>
      <c r="I408" s="4"/>
      <c r="J408" s="8" t="s">
        <v>6</v>
      </c>
      <c r="K408" s="9">
        <f>SUM(Tabla11034534544554564793638293294296390375426[Coste LÃ­nea])</f>
        <v>8802.3232132400008</v>
      </c>
      <c r="M408" s="346"/>
    </row>
    <row r="409" spans="2:13" x14ac:dyDescent="0.3">
      <c r="B409" s="10" t="s">
        <v>1194</v>
      </c>
      <c r="C409" s="11" t="s">
        <v>847</v>
      </c>
      <c r="D409" s="12">
        <v>2</v>
      </c>
      <c r="E409" s="12">
        <v>0</v>
      </c>
      <c r="F409" s="12">
        <v>2</v>
      </c>
      <c r="G409" s="13">
        <f>+VLOOKUP(Tabla11034534544554564793638293294296390375426[[#This Row],[ArtÃ­culo]],Tabla34[#All],3,0)</f>
        <v>726.66666667000004</v>
      </c>
      <c r="H409" s="14">
        <f>+Tabla11034534544554564793638293294296390375426[[#This Row],[Coste Componente]]*Tabla11034534544554564793638293294296390375426[[#This Row],[Unidades]]</f>
        <v>1453.3333333400001</v>
      </c>
      <c r="I409" s="4"/>
      <c r="J409" s="8" t="s">
        <v>12</v>
      </c>
      <c r="K409" s="15">
        <f>+K408*10%</f>
        <v>880.23232132400017</v>
      </c>
      <c r="M409" s="346"/>
    </row>
    <row r="410" spans="2:13" x14ac:dyDescent="0.3">
      <c r="B410" s="10" t="s">
        <v>345</v>
      </c>
      <c r="C410" s="11" t="s">
        <v>847</v>
      </c>
      <c r="D410" s="12">
        <v>1</v>
      </c>
      <c r="E410" s="12">
        <v>0</v>
      </c>
      <c r="F410" s="12">
        <v>1</v>
      </c>
      <c r="G410" s="13">
        <f>+VLOOKUP(Tabla11034534544554564793638293294296390375426[[#This Row],[ArtÃ­culo]],Tabla34[#All],3,0)</f>
        <v>1600</v>
      </c>
      <c r="H410" s="14">
        <f>+Tabla11034534544554564793638293294296390375426[[#This Row],[Coste Componente]]*Tabla11034534544554564793638293294296390375426[[#This Row],[Unidades]]</f>
        <v>1600</v>
      </c>
      <c r="I410" s="4"/>
      <c r="J410" s="8" t="s">
        <v>13</v>
      </c>
      <c r="K410" s="15">
        <f>+K408+K409</f>
        <v>9682.5555345640005</v>
      </c>
      <c r="M410" s="346"/>
    </row>
    <row r="411" spans="2:13" x14ac:dyDescent="0.3">
      <c r="B411" s="10" t="s">
        <v>712</v>
      </c>
      <c r="C411" s="11" t="s">
        <v>67</v>
      </c>
      <c r="D411" s="12">
        <v>29.9999988</v>
      </c>
      <c r="E411" s="12">
        <v>10</v>
      </c>
      <c r="F411" s="12">
        <v>33.333331999999999</v>
      </c>
      <c r="G411" s="13">
        <f>+VLOOKUP(Tabla11034534544554564793638293294296390375426[[#This Row],[ArtÃ­culo]],Tabla34[#All],3,0)</f>
        <v>32.5</v>
      </c>
      <c r="H411" s="14">
        <f>+Tabla11034534544554564793638293294296390375426[[#This Row],[Coste Componente]]*Tabla11034534544554564793638293294296390375426[[#This Row],[Unidades]]</f>
        <v>1083.33329</v>
      </c>
      <c r="I411" s="4"/>
      <c r="J411" s="20" t="s">
        <v>14</v>
      </c>
      <c r="K411" s="21">
        <v>28000</v>
      </c>
      <c r="M411" s="346"/>
    </row>
    <row r="412" spans="2:13" x14ac:dyDescent="0.3">
      <c r="B412" s="10" t="s">
        <v>1082</v>
      </c>
      <c r="C412" s="11" t="s">
        <v>67</v>
      </c>
      <c r="D412" s="12">
        <v>30</v>
      </c>
      <c r="E412" s="12">
        <v>0</v>
      </c>
      <c r="F412" s="12">
        <v>30</v>
      </c>
      <c r="G412" s="13">
        <f>+VLOOKUP(Tabla11034534544554564793638293294296390375426[[#This Row],[ArtÃ­culo]],Tabla34[#All],3,0)</f>
        <v>19.133394169999999</v>
      </c>
      <c r="H412" s="14">
        <f>+Tabla11034534544554564793638293294296390375426[[#This Row],[Coste Componente]]*Tabla11034534544554564793638293294296390375426[[#This Row],[Unidades]]</f>
        <v>574.00182510000002</v>
      </c>
      <c r="J412" s="8" t="s">
        <v>15</v>
      </c>
      <c r="K412" s="15">
        <f>+K411/1.08*0.08</f>
        <v>2074.0740740740739</v>
      </c>
    </row>
    <row r="413" spans="2:13" x14ac:dyDescent="0.3">
      <c r="B413" s="10" t="s">
        <v>624</v>
      </c>
      <c r="C413" s="11" t="s">
        <v>67</v>
      </c>
      <c r="D413" s="12">
        <v>25</v>
      </c>
      <c r="E413" s="12">
        <v>0</v>
      </c>
      <c r="F413" s="12">
        <v>25</v>
      </c>
      <c r="G413" s="13">
        <f>+VLOOKUP(Tabla11034534544554564793638293294296390375426[[#This Row],[ArtÃ­culo]],Tabla34[#All],3,0)</f>
        <v>32.29</v>
      </c>
      <c r="H413" s="14">
        <f>+Tabla11034534544554564793638293294296390375426[[#This Row],[Coste Componente]]*Tabla11034534544554564793638293294296390375426[[#This Row],[Unidades]]</f>
        <v>807.25</v>
      </c>
      <c r="J413" s="8" t="s">
        <v>16</v>
      </c>
      <c r="K413" s="15">
        <f>+K411-K412</f>
        <v>25925.925925925927</v>
      </c>
      <c r="M413" s="377" t="s">
        <v>1377</v>
      </c>
    </row>
    <row r="414" spans="2:13" x14ac:dyDescent="0.3">
      <c r="B414" s="10" t="s">
        <v>833</v>
      </c>
      <c r="C414" s="11" t="s">
        <v>67</v>
      </c>
      <c r="D414" s="12">
        <v>1</v>
      </c>
      <c r="E414" s="12">
        <v>0</v>
      </c>
      <c r="F414" s="12">
        <v>1</v>
      </c>
      <c r="G414" s="13">
        <f>+VLOOKUP(Tabla11034534544554564793638293294296390375426[[#This Row],[ArtÃ­culo]],Tabla34[#All],3,0)</f>
        <v>307.5</v>
      </c>
      <c r="H414" s="14">
        <f>+Tabla11034534544554564793638293294296390375426[[#This Row],[Coste Componente]]*Tabla11034534544554564793638293294296390375426[[#This Row],[Unidades]]</f>
        <v>307.5</v>
      </c>
      <c r="I414" s="4"/>
      <c r="J414" s="8" t="s">
        <v>17</v>
      </c>
      <c r="K414" s="22">
        <f>+K410/K413</f>
        <v>0.3734699991903257</v>
      </c>
      <c r="M414" s="346" t="s">
        <v>1763</v>
      </c>
    </row>
    <row r="415" spans="2:13" x14ac:dyDescent="0.3">
      <c r="B415" s="10" t="s">
        <v>631</v>
      </c>
      <c r="C415" s="11" t="s">
        <v>67</v>
      </c>
      <c r="D415" s="12">
        <v>5</v>
      </c>
      <c r="E415" s="12">
        <v>0</v>
      </c>
      <c r="F415" s="12">
        <v>5</v>
      </c>
      <c r="G415" s="13">
        <f>+VLOOKUP(Tabla11034534544554564793638293294296390375426[[#This Row],[ArtÃ­culo]],Tabla34[#All],3,0)</f>
        <v>34.714285709999999</v>
      </c>
      <c r="H415" s="14">
        <f>+Tabla11034534544554564793638293294296390375426[[#This Row],[Coste Componente]]*Tabla11034534544554564793638293294296390375426[[#This Row],[Unidades]]</f>
        <v>173.57142855000001</v>
      </c>
      <c r="I415" s="4"/>
      <c r="J415" s="8" t="s">
        <v>18</v>
      </c>
      <c r="K415" s="23">
        <f>+K413-K410</f>
        <v>16243.370391361927</v>
      </c>
    </row>
    <row r="416" spans="2:13" x14ac:dyDescent="0.3">
      <c r="B416" s="10" t="s">
        <v>745</v>
      </c>
      <c r="C416" s="11" t="s">
        <v>67</v>
      </c>
      <c r="D416" s="12">
        <v>2.00000007</v>
      </c>
      <c r="E416" s="12">
        <v>10</v>
      </c>
      <c r="F416" s="12">
        <v>2.2222222999999999</v>
      </c>
      <c r="G416" s="13">
        <f>+VLOOKUP(Tabla11034534544554564793638293294296390375426[[#This Row],[ArtÃ­culo]],Tabla34[#All],3,0)</f>
        <v>37.5</v>
      </c>
      <c r="H416" s="14">
        <f>+Tabla11034534544554564793638293294296390375426[[#This Row],[Coste Componente]]*Tabla11034534544554564793638293294296390375426[[#This Row],[Unidades]]</f>
        <v>83.333336250000002</v>
      </c>
      <c r="I416" s="4"/>
      <c r="J416" s="8" t="s">
        <v>19</v>
      </c>
      <c r="K416" s="25">
        <f>+K415/K410</f>
        <v>1.6775912447264218</v>
      </c>
    </row>
    <row r="417" spans="2:13" x14ac:dyDescent="0.3">
      <c r="B417" s="10" t="s">
        <v>905</v>
      </c>
      <c r="C417" s="11" t="s">
        <v>67</v>
      </c>
      <c r="D417" s="12">
        <v>20</v>
      </c>
      <c r="E417" s="12">
        <v>0</v>
      </c>
      <c r="F417" s="12">
        <v>20</v>
      </c>
      <c r="G417" s="13">
        <f>+VLOOKUP(Tabla11034534544554564793638293294296390375426[[#This Row],[ArtÃ­culo]],Tabla34[#All],3,0)</f>
        <v>67</v>
      </c>
      <c r="H417" s="14">
        <f>+Tabla11034534544554564793638293294296390375426[[#This Row],[Coste Componente]]*Tabla11034534544554564793638293294296390375426[[#This Row],[Unidades]]</f>
        <v>1340</v>
      </c>
    </row>
    <row r="418" spans="2:13" x14ac:dyDescent="0.3">
      <c r="B418" s="10" t="s">
        <v>906</v>
      </c>
      <c r="C418" s="11" t="s">
        <v>67</v>
      </c>
      <c r="D418" s="12">
        <v>15</v>
      </c>
      <c r="E418" s="12">
        <v>0</v>
      </c>
      <c r="F418" s="12">
        <v>15</v>
      </c>
      <c r="G418" s="13">
        <f>+VLOOKUP(Tabla11034534544554564793638293294296390375426[[#This Row],[ArtÃ­culo]],Tabla34[#All],3,0)</f>
        <v>92</v>
      </c>
      <c r="H418" s="14">
        <f>+Tabla11034534544554564793638293294296390375426[[#This Row],[Coste Componente]]*Tabla11034534544554564793638293294296390375426[[#This Row],[Unidades]]</f>
        <v>1380</v>
      </c>
    </row>
    <row r="419" spans="2:13" x14ac:dyDescent="0.3">
      <c r="B419" s="16"/>
      <c r="C419" s="17"/>
      <c r="D419" s="17"/>
      <c r="E419" s="17"/>
      <c r="F419" s="17"/>
      <c r="G419" s="18"/>
      <c r="H419" s="18">
        <f>SUBTOTAL(109,Tabla11034534544554564793638293294296390375426[Coste LÃ­nea])</f>
        <v>8802.3232132400008</v>
      </c>
    </row>
    <row r="423" spans="2:13" ht="15.6" x14ac:dyDescent="0.3">
      <c r="B423" s="1" t="s">
        <v>908</v>
      </c>
      <c r="C423" s="2"/>
      <c r="D423" s="2"/>
      <c r="E423" s="3"/>
      <c r="F423" s="3"/>
      <c r="G423" s="3"/>
      <c r="H423" s="3"/>
      <c r="I423" s="4"/>
      <c r="J423" s="399" t="s">
        <v>0</v>
      </c>
      <c r="K423" s="399"/>
      <c r="M423" s="377" t="s">
        <v>1394</v>
      </c>
    </row>
    <row r="424" spans="2:13" x14ac:dyDescent="0.3">
      <c r="B424" t="s">
        <v>857</v>
      </c>
      <c r="C424" t="s">
        <v>895</v>
      </c>
      <c r="D424" t="s">
        <v>892</v>
      </c>
      <c r="E424" t="s">
        <v>893</v>
      </c>
      <c r="F424" t="s">
        <v>894</v>
      </c>
      <c r="G424" t="s">
        <v>901</v>
      </c>
      <c r="H424" t="s">
        <v>902</v>
      </c>
      <c r="I424" s="4"/>
      <c r="J424" s="8" t="s">
        <v>6</v>
      </c>
      <c r="K424" s="9">
        <f>SUM(Tabla11034534544554564793638293294296390375426428[Coste LÃ­nea])</f>
        <v>7076.2820523200007</v>
      </c>
      <c r="M424" s="346"/>
    </row>
    <row r="425" spans="2:13" x14ac:dyDescent="0.3">
      <c r="B425" s="10" t="s">
        <v>229</v>
      </c>
      <c r="C425" s="11" t="s">
        <v>67</v>
      </c>
      <c r="D425" s="12">
        <v>30</v>
      </c>
      <c r="E425" s="12">
        <v>0</v>
      </c>
      <c r="F425" s="12">
        <v>30</v>
      </c>
      <c r="G425" s="13">
        <f>+VLOOKUP(Tabla11034534544554564793638293294296390375426428[[#This Row],[ArtÃ­culo]],Tabla34[#All],3,0)</f>
        <v>24.714500000000001</v>
      </c>
      <c r="H425" s="14">
        <f>+Tabla11034534544554564793638293294296390375426428[[#This Row],[Coste Componente]]*Tabla11034534544554564793638293294296390375426428[[#This Row],[Unidades]]</f>
        <v>741.43500000000006</v>
      </c>
      <c r="I425" s="4"/>
      <c r="J425" s="8" t="s">
        <v>12</v>
      </c>
      <c r="K425" s="15">
        <f>+K424*10%</f>
        <v>707.62820523200014</v>
      </c>
      <c r="M425" s="346"/>
    </row>
    <row r="426" spans="2:13" x14ac:dyDescent="0.3">
      <c r="B426" s="10" t="s">
        <v>624</v>
      </c>
      <c r="C426" s="11" t="s">
        <v>67</v>
      </c>
      <c r="D426" s="12">
        <v>60</v>
      </c>
      <c r="E426" s="12">
        <v>0</v>
      </c>
      <c r="F426" s="12">
        <v>60</v>
      </c>
      <c r="G426" s="13">
        <f>+VLOOKUP(Tabla11034534544554564793638293294296390375426428[[#This Row],[ArtÃ­culo]],Tabla34[#All],3,0)</f>
        <v>32.29</v>
      </c>
      <c r="H426" s="14">
        <f>+Tabla11034534544554564793638293294296390375426428[[#This Row],[Coste Componente]]*Tabla11034534544554564793638293294296390375426428[[#This Row],[Unidades]]</f>
        <v>1937.3999999999999</v>
      </c>
      <c r="I426" s="4"/>
      <c r="J426" s="8" t="s">
        <v>13</v>
      </c>
      <c r="K426" s="15">
        <f>+K424+K425</f>
        <v>7783.910257552001</v>
      </c>
      <c r="M426" s="346"/>
    </row>
    <row r="427" spans="2:13" x14ac:dyDescent="0.3">
      <c r="B427" s="10" t="s">
        <v>907</v>
      </c>
      <c r="C427" s="11" t="s">
        <v>847</v>
      </c>
      <c r="D427" s="12">
        <v>1</v>
      </c>
      <c r="E427" s="12">
        <v>0</v>
      </c>
      <c r="F427" s="12">
        <v>1</v>
      </c>
      <c r="G427" s="13">
        <f>+VLOOKUP(Tabla11034534544554564793638293294296390375426428[[#This Row],[ArtÃ­culo]],Tabla34[#All],3,0)</f>
        <v>1750</v>
      </c>
      <c r="H427" s="14">
        <f>+Tabla11034534544554564793638293294296390375426428[[#This Row],[Coste Componente]]*Tabla11034534544554564793638293294296390375426428[[#This Row],[Unidades]]</f>
        <v>1750</v>
      </c>
      <c r="I427" s="4"/>
      <c r="J427" s="20" t="s">
        <v>14</v>
      </c>
      <c r="K427" s="21">
        <v>24000</v>
      </c>
      <c r="M427" s="346"/>
    </row>
    <row r="428" spans="2:13" x14ac:dyDescent="0.3">
      <c r="B428" s="10" t="s">
        <v>712</v>
      </c>
      <c r="C428" s="11" t="s">
        <v>67</v>
      </c>
      <c r="D428" s="12">
        <v>30</v>
      </c>
      <c r="E428" s="12">
        <v>0</v>
      </c>
      <c r="F428" s="12">
        <v>30</v>
      </c>
      <c r="G428" s="13">
        <f>+VLOOKUP(Tabla11034534544554564793638293294296390375426428[[#This Row],[ArtÃ­culo]],Tabla34[#All],3,0)</f>
        <v>32.5</v>
      </c>
      <c r="H428" s="14">
        <f>+Tabla11034534544554564793638293294296390375426428[[#This Row],[Coste Componente]]*Tabla11034534544554564793638293294296390375426428[[#This Row],[Unidades]]</f>
        <v>975</v>
      </c>
      <c r="J428" s="8" t="s">
        <v>15</v>
      </c>
      <c r="K428" s="15">
        <f>+K427/1.08*0.08</f>
        <v>1777.7777777777776</v>
      </c>
    </row>
    <row r="429" spans="2:13" x14ac:dyDescent="0.3">
      <c r="B429" s="10" t="s">
        <v>1194</v>
      </c>
      <c r="C429" s="11" t="s">
        <v>847</v>
      </c>
      <c r="D429" s="12">
        <v>1</v>
      </c>
      <c r="E429" s="12">
        <v>0</v>
      </c>
      <c r="F429" s="12">
        <v>1</v>
      </c>
      <c r="G429" s="13">
        <f>+VLOOKUP(Tabla11034534544554564793638293294296390375426428[[#This Row],[ArtÃ­culo]],Tabla34[#All],3,0)</f>
        <v>726.66666667000004</v>
      </c>
      <c r="H429" s="14">
        <f>+Tabla11034534544554564793638293294296390375426428[[#This Row],[Coste Componente]]*Tabla11034534544554564793638293294296390375426428[[#This Row],[Unidades]]</f>
        <v>726.66666667000004</v>
      </c>
      <c r="J429" s="8" t="s">
        <v>16</v>
      </c>
      <c r="K429" s="15">
        <f>+K427-K428</f>
        <v>22222.222222222223</v>
      </c>
      <c r="M429" s="377" t="s">
        <v>1377</v>
      </c>
    </row>
    <row r="430" spans="2:13" x14ac:dyDescent="0.3">
      <c r="B430" s="10" t="s">
        <v>683</v>
      </c>
      <c r="C430" s="11" t="s">
        <v>67</v>
      </c>
      <c r="D430" s="12">
        <v>39.999999000000003</v>
      </c>
      <c r="E430" s="12">
        <v>25</v>
      </c>
      <c r="F430" s="12">
        <v>53.333331999999999</v>
      </c>
      <c r="G430" s="13">
        <f>+VLOOKUP(Tabla11034534544554564793638293294296390375426428[[#This Row],[ArtÃ­culo]],Tabla34[#All],3,0)</f>
        <v>8.5</v>
      </c>
      <c r="H430" s="14">
        <f>+Tabla11034534544554564793638293294296390375426428[[#This Row],[Coste Componente]]*Tabla11034534544554564793638293294296390375426428[[#This Row],[Unidades]]</f>
        <v>453.33332200000001</v>
      </c>
      <c r="I430" s="4"/>
      <c r="J430" s="8" t="s">
        <v>17</v>
      </c>
      <c r="K430" s="22">
        <f>+K426/K429</f>
        <v>0.35027596158984003</v>
      </c>
      <c r="M430" s="346" t="s">
        <v>1764</v>
      </c>
    </row>
    <row r="431" spans="2:13" x14ac:dyDescent="0.3">
      <c r="B431" s="10" t="s">
        <v>39</v>
      </c>
      <c r="C431" s="11" t="s">
        <v>67</v>
      </c>
      <c r="D431" s="12">
        <v>20</v>
      </c>
      <c r="E431" s="12">
        <v>0</v>
      </c>
      <c r="F431" s="12">
        <v>20</v>
      </c>
      <c r="G431" s="13">
        <f>+VLOOKUP(Tabla11034534544554564793638293294296390375426428[[#This Row],[ArtÃ­culo]],Tabla34[#All],3,0)</f>
        <v>9.5229410600000008</v>
      </c>
      <c r="H431" s="14">
        <f>+Tabla11034534544554564793638293294296390375426428[[#This Row],[Coste Componente]]*Tabla11034534544554564793638293294296390375426428[[#This Row],[Unidades]]</f>
        <v>190.45882120000002</v>
      </c>
      <c r="I431" s="4"/>
      <c r="J431" s="8" t="s">
        <v>18</v>
      </c>
      <c r="K431" s="23">
        <f>+K429-K426</f>
        <v>14438.311964670222</v>
      </c>
      <c r="M431" s="346" t="s">
        <v>1765</v>
      </c>
    </row>
    <row r="432" spans="2:13" x14ac:dyDescent="0.3">
      <c r="B432" s="10" t="s">
        <v>631</v>
      </c>
      <c r="C432" s="11" t="s">
        <v>67</v>
      </c>
      <c r="D432" s="12">
        <v>5</v>
      </c>
      <c r="E432" s="12">
        <v>0</v>
      </c>
      <c r="F432" s="12">
        <v>5</v>
      </c>
      <c r="G432" s="13">
        <f>+VLOOKUP(Tabla11034534544554564793638293294296390375426428[[#This Row],[ArtÃ­culo]],Tabla34[#All],3,0)</f>
        <v>34.714285709999999</v>
      </c>
      <c r="H432" s="14">
        <f>+Tabla11034534544554564793638293294296390375426428[[#This Row],[Coste Componente]]*Tabla11034534544554564793638293294296390375426428[[#This Row],[Unidades]]</f>
        <v>173.57142855000001</v>
      </c>
      <c r="I432" s="4"/>
      <c r="J432" s="8" t="s">
        <v>19</v>
      </c>
      <c r="K432" s="25">
        <f>+K431/K426</f>
        <v>1.8548918842765532</v>
      </c>
    </row>
    <row r="433" spans="2:13" x14ac:dyDescent="0.3">
      <c r="B433" s="10" t="s">
        <v>142</v>
      </c>
      <c r="C433" s="11" t="s">
        <v>67</v>
      </c>
      <c r="D433" s="12">
        <v>15</v>
      </c>
      <c r="E433" s="12">
        <v>0</v>
      </c>
      <c r="F433" s="12">
        <v>15</v>
      </c>
      <c r="G433" s="13">
        <f>+VLOOKUP(Tabla11034534544554564793638293294296390375426428[[#This Row],[ArtÃ­culo]],Tabla34[#All],3,0)</f>
        <v>8.4010542600000004</v>
      </c>
      <c r="H433" s="14">
        <f>+Tabla11034534544554564793638293294296390375426428[[#This Row],[Coste Componente]]*Tabla11034534544554564793638293294296390375426428[[#This Row],[Unidades]]</f>
        <v>126.01581390000001</v>
      </c>
    </row>
    <row r="434" spans="2:13" x14ac:dyDescent="0.3">
      <c r="B434" s="10" t="s">
        <v>89</v>
      </c>
      <c r="C434" s="11" t="s">
        <v>67</v>
      </c>
      <c r="D434" s="12">
        <v>1</v>
      </c>
      <c r="E434" s="12">
        <v>0</v>
      </c>
      <c r="F434" s="12">
        <v>1</v>
      </c>
      <c r="G434" s="13">
        <f>+VLOOKUP(Tabla11034534544554564793638293294296390375426428[[#This Row],[ArtÃ­culo]],Tabla34[#All],3,0)</f>
        <v>2.4009999999999998</v>
      </c>
      <c r="H434" s="14">
        <f>+Tabla11034534544554564793638293294296390375426428[[#This Row],[Coste Componente]]*Tabla11034534544554564793638293294296390375426428[[#This Row],[Unidades]]</f>
        <v>2.4009999999999998</v>
      </c>
    </row>
    <row r="435" spans="2:13" x14ac:dyDescent="0.3">
      <c r="B435" s="16"/>
      <c r="C435" s="17"/>
      <c r="D435" s="17"/>
      <c r="E435" s="17"/>
      <c r="F435" s="17"/>
      <c r="G435" s="18"/>
      <c r="H435" s="18">
        <f>SUBTOTAL(109,Tabla11034534544554564793638293294296390375426428[Coste LÃ­nea])</f>
        <v>7076.2820523200007</v>
      </c>
    </row>
    <row r="438" spans="2:13" ht="15.6" x14ac:dyDescent="0.3">
      <c r="B438" s="1" t="s">
        <v>909</v>
      </c>
      <c r="C438" s="2"/>
      <c r="D438" s="2"/>
      <c r="E438" s="3"/>
      <c r="F438" s="3"/>
      <c r="G438" s="3"/>
      <c r="H438" s="3"/>
      <c r="I438" s="4"/>
      <c r="J438" s="399" t="s">
        <v>0</v>
      </c>
      <c r="K438" s="399"/>
      <c r="M438" s="377" t="s">
        <v>1394</v>
      </c>
    </row>
    <row r="439" spans="2:13" x14ac:dyDescent="0.3">
      <c r="B439" t="s">
        <v>857</v>
      </c>
      <c r="C439" t="s">
        <v>895</v>
      </c>
      <c r="D439" t="s">
        <v>892</v>
      </c>
      <c r="E439" t="s">
        <v>893</v>
      </c>
      <c r="F439" t="s">
        <v>894</v>
      </c>
      <c r="G439" t="s">
        <v>901</v>
      </c>
      <c r="H439" t="s">
        <v>902</v>
      </c>
      <c r="I439" s="4"/>
      <c r="J439" s="8" t="s">
        <v>6</v>
      </c>
      <c r="K439" s="9">
        <f>SUM(Tabla11034534544554564793638293294296390375426428438[Coste LÃ­nea])</f>
        <v>14268.032493369999</v>
      </c>
      <c r="M439" s="346"/>
    </row>
    <row r="440" spans="2:13" x14ac:dyDescent="0.3">
      <c r="B440" s="10" t="s">
        <v>345</v>
      </c>
      <c r="C440" s="11" t="s">
        <v>847</v>
      </c>
      <c r="D440" s="12">
        <v>1</v>
      </c>
      <c r="E440" s="12">
        <v>0</v>
      </c>
      <c r="F440" s="12">
        <v>1</v>
      </c>
      <c r="G440" s="13">
        <f>+VLOOKUP(Tabla11034534544554564793638293294296390375426428438[[#This Row],[ArtÃ­culo]],Tabla34[#All],3,0)</f>
        <v>1600</v>
      </c>
      <c r="H440" s="14">
        <f>+Tabla11034534544554564793638293294296390375426428438[[#This Row],[Coste Componente]]*Tabla11034534544554564793638293294296390375426428438[[#This Row],[Unidades]]</f>
        <v>1600</v>
      </c>
      <c r="I440" s="4"/>
      <c r="J440" s="8" t="s">
        <v>12</v>
      </c>
      <c r="K440" s="15">
        <f>+K439*10%</f>
        <v>1426.8032493370001</v>
      </c>
      <c r="M440" s="346"/>
    </row>
    <row r="441" spans="2:13" x14ac:dyDescent="0.3">
      <c r="B441" s="10" t="s">
        <v>939</v>
      </c>
      <c r="C441" s="11" t="s">
        <v>847</v>
      </c>
      <c r="D441" s="12">
        <v>1</v>
      </c>
      <c r="E441" s="12">
        <v>0</v>
      </c>
      <c r="F441" s="12">
        <v>1</v>
      </c>
      <c r="G441" s="13">
        <f>+VLOOKUP(Tabla11034534544554564793638293294296390375426428438[[#This Row],[ArtÃ­culo]],Tabla34[#All],3,0)</f>
        <v>8666.6666666700003</v>
      </c>
      <c r="H441" s="14">
        <f>+Tabla11034534544554564793638293294296390375426428438[[#This Row],[Coste Componente]]*Tabla11034534544554564793638293294296390375426428438[[#This Row],[Unidades]]</f>
        <v>8666.6666666700003</v>
      </c>
      <c r="I441" s="4"/>
      <c r="J441" s="8" t="s">
        <v>13</v>
      </c>
      <c r="K441" s="15">
        <f>+K439+K440</f>
        <v>15694.835742707</v>
      </c>
      <c r="M441" s="346"/>
    </row>
    <row r="442" spans="2:13" x14ac:dyDescent="0.3">
      <c r="B442" s="10" t="s">
        <v>50</v>
      </c>
      <c r="C442" s="11" t="s">
        <v>67</v>
      </c>
      <c r="D442" s="12">
        <v>60</v>
      </c>
      <c r="E442" s="12">
        <v>0</v>
      </c>
      <c r="F442" s="12">
        <v>60</v>
      </c>
      <c r="G442" s="13">
        <f>+VLOOKUP(Tabla11034534544554564793638293294296390375426428438[[#This Row],[ArtÃ­culo]],Tabla34[#All],3,0)</f>
        <v>15.28420193</v>
      </c>
      <c r="H442" s="14">
        <f>+Tabla11034534544554564793638293294296390375426428438[[#This Row],[Coste Componente]]*Tabla11034534544554564793638293294296390375426428438[[#This Row],[Unidades]]</f>
        <v>917.05211580000002</v>
      </c>
      <c r="I442" s="4"/>
      <c r="J442" s="20" t="s">
        <v>14</v>
      </c>
      <c r="K442" s="21">
        <v>37000</v>
      </c>
      <c r="M442" s="346"/>
    </row>
    <row r="443" spans="2:13" x14ac:dyDescent="0.3">
      <c r="B443" s="10" t="s">
        <v>631</v>
      </c>
      <c r="C443" s="11" t="s">
        <v>67</v>
      </c>
      <c r="D443" s="12">
        <v>5</v>
      </c>
      <c r="E443" s="12">
        <v>0</v>
      </c>
      <c r="F443" s="12">
        <v>5</v>
      </c>
      <c r="G443" s="13">
        <f>+VLOOKUP(Tabla11034534544554564793638293294296390375426428438[[#This Row],[ArtÃ­culo]],Tabla34[#All],3,0)</f>
        <v>34.714285709999999</v>
      </c>
      <c r="H443" s="14">
        <f>+Tabla11034534544554564793638293294296390375426428438[[#This Row],[Coste Componente]]*Tabla11034534544554564793638293294296390375426428438[[#This Row],[Unidades]]</f>
        <v>173.57142855000001</v>
      </c>
      <c r="J443" s="8" t="s">
        <v>15</v>
      </c>
      <c r="K443" s="15">
        <f>+K442/1.08*0.08</f>
        <v>2740.7407407407404</v>
      </c>
    </row>
    <row r="444" spans="2:13" x14ac:dyDescent="0.3">
      <c r="B444" s="10" t="s">
        <v>170</v>
      </c>
      <c r="C444" s="11" t="s">
        <v>67</v>
      </c>
      <c r="D444" s="12">
        <v>5</v>
      </c>
      <c r="E444" s="12">
        <v>0</v>
      </c>
      <c r="F444" s="12">
        <v>5</v>
      </c>
      <c r="G444" s="13">
        <f>+VLOOKUP(Tabla11034534544554564793638293294296390375426428438[[#This Row],[ArtÃ­culo]],Tabla34[#All],3,0)</f>
        <v>131.40016807000001</v>
      </c>
      <c r="H444" s="14">
        <f>+Tabla11034534544554564793638293294296390375426428438[[#This Row],[Coste Componente]]*Tabla11034534544554564793638293294296390375426428438[[#This Row],[Unidades]]</f>
        <v>657.00084035000009</v>
      </c>
      <c r="J444" s="8" t="s">
        <v>16</v>
      </c>
      <c r="K444" s="15">
        <f>+K442-K443</f>
        <v>34259.259259259263</v>
      </c>
      <c r="M444" s="377" t="s">
        <v>1377</v>
      </c>
    </row>
    <row r="445" spans="2:13" x14ac:dyDescent="0.3">
      <c r="B445" s="10" t="s">
        <v>712</v>
      </c>
      <c r="C445" s="11" t="s">
        <v>67</v>
      </c>
      <c r="D445" s="12">
        <v>27</v>
      </c>
      <c r="E445" s="12">
        <v>10</v>
      </c>
      <c r="F445" s="12">
        <v>30</v>
      </c>
      <c r="G445" s="13">
        <f>+VLOOKUP(Tabla11034534544554564793638293294296390375426428438[[#This Row],[ArtÃ­culo]],Tabla34[#All],3,0)</f>
        <v>32.5</v>
      </c>
      <c r="H445" s="14">
        <f>+Tabla11034534544554564793638293294296390375426428438[[#This Row],[Coste Componente]]*Tabla11034534544554564793638293294296390375426428438[[#This Row],[Unidades]]</f>
        <v>975</v>
      </c>
      <c r="I445" s="4"/>
      <c r="J445" s="8" t="s">
        <v>17</v>
      </c>
      <c r="K445" s="22">
        <f>+K441/K444</f>
        <v>0.45811952978712323</v>
      </c>
      <c r="M445" s="346" t="s">
        <v>1766</v>
      </c>
    </row>
    <row r="446" spans="2:13" x14ac:dyDescent="0.3">
      <c r="B446" s="10" t="s">
        <v>624</v>
      </c>
      <c r="C446" s="11" t="s">
        <v>67</v>
      </c>
      <c r="D446" s="12">
        <v>15</v>
      </c>
      <c r="E446" s="12">
        <v>0</v>
      </c>
      <c r="F446" s="12">
        <v>15</v>
      </c>
      <c r="G446" s="13">
        <f>+VLOOKUP(Tabla11034534544554564793638293294296390375426428438[[#This Row],[ArtÃ­culo]],Tabla34[#All],3,0)</f>
        <v>32.29</v>
      </c>
      <c r="H446" s="14">
        <f>+Tabla11034534544554564793638293294296390375426428438[[#This Row],[Coste Componente]]*Tabla11034534544554564793638293294296390375426428438[[#This Row],[Unidades]]</f>
        <v>484.34999999999997</v>
      </c>
      <c r="I446" s="4"/>
      <c r="J446" s="8" t="s">
        <v>18</v>
      </c>
      <c r="K446" s="23">
        <f>+K444-K441</f>
        <v>18564.423516552262</v>
      </c>
      <c r="M446" s="346" t="s">
        <v>1767</v>
      </c>
    </row>
    <row r="447" spans="2:13" x14ac:dyDescent="0.3">
      <c r="B447" s="10" t="s">
        <v>833</v>
      </c>
      <c r="C447" s="11" t="s">
        <v>67</v>
      </c>
      <c r="D447" s="12">
        <v>1</v>
      </c>
      <c r="E447" s="12">
        <v>0</v>
      </c>
      <c r="F447" s="12">
        <v>1</v>
      </c>
      <c r="G447" s="13">
        <f>+VLOOKUP(Tabla11034534544554564793638293294296390375426428438[[#This Row],[ArtÃ­culo]],Tabla34[#All],3,0)</f>
        <v>307.5</v>
      </c>
      <c r="H447" s="14">
        <f>+Tabla11034534544554564793638293294296390375426428438[[#This Row],[Coste Componente]]*Tabla11034534544554564793638293294296390375426428438[[#This Row],[Unidades]]</f>
        <v>307.5</v>
      </c>
      <c r="I447" s="4"/>
      <c r="J447" s="8" t="s">
        <v>19</v>
      </c>
      <c r="K447" s="25">
        <f>+K446/K441</f>
        <v>1.182836432370991</v>
      </c>
      <c r="M447" s="346" t="s">
        <v>1768</v>
      </c>
    </row>
    <row r="448" spans="2:13" x14ac:dyDescent="0.3">
      <c r="B448" s="10" t="s">
        <v>128</v>
      </c>
      <c r="C448" s="11" t="s">
        <v>67</v>
      </c>
      <c r="D448" s="12">
        <v>10</v>
      </c>
      <c r="E448" s="12">
        <v>0</v>
      </c>
      <c r="F448" s="12">
        <v>10</v>
      </c>
      <c r="G448" s="13">
        <f>+VLOOKUP(Tabla11034534544554564793638293294296390375426428438[[#This Row],[ArtÃ­culo]],Tabla34[#All],3,0)</f>
        <v>18.434479750000001</v>
      </c>
      <c r="H448" s="14">
        <f>+Tabla11034534544554564793638293294296390375426428438[[#This Row],[Coste Componente]]*Tabla11034534544554564793638293294296390375426428438[[#This Row],[Unidades]]</f>
        <v>184.34479750000003</v>
      </c>
    </row>
    <row r="449" spans="2:13" x14ac:dyDescent="0.3">
      <c r="B449" s="10" t="s">
        <v>118</v>
      </c>
      <c r="C449" s="11" t="s">
        <v>67</v>
      </c>
      <c r="D449" s="12">
        <v>10</v>
      </c>
      <c r="E449" s="12">
        <v>0</v>
      </c>
      <c r="F449" s="12">
        <v>10</v>
      </c>
      <c r="G449" s="13">
        <f>+VLOOKUP(Tabla11034534544554564793638293294296390375426428438[[#This Row],[ArtÃ­culo]],Tabla34[#All],3,0)</f>
        <v>30.25466445</v>
      </c>
      <c r="H449" s="14">
        <f>+Tabla11034534544554564793638293294296390375426428438[[#This Row],[Coste Componente]]*Tabla11034534544554564793638293294296390375426428438[[#This Row],[Unidades]]</f>
        <v>302.54664450000001</v>
      </c>
    </row>
    <row r="450" spans="2:13" x14ac:dyDescent="0.3">
      <c r="B450" s="16"/>
      <c r="C450" s="17"/>
      <c r="D450" s="17"/>
      <c r="E450" s="17"/>
      <c r="F450" s="17"/>
      <c r="G450" s="18"/>
      <c r="H450" s="18">
        <f>SUBTOTAL(109,Tabla11034534544554564793638293294296390375426428438[Coste LÃ­nea])</f>
        <v>14268.032493369999</v>
      </c>
    </row>
    <row r="454" spans="2:13" ht="15.6" x14ac:dyDescent="0.3">
      <c r="B454" s="1" t="s">
        <v>911</v>
      </c>
      <c r="C454" s="2"/>
      <c r="D454" s="2"/>
      <c r="E454" s="3"/>
      <c r="F454" s="3"/>
      <c r="G454" s="3"/>
      <c r="H454" s="3"/>
      <c r="I454" s="4"/>
      <c r="J454" s="399" t="s">
        <v>0</v>
      </c>
      <c r="K454" s="399"/>
      <c r="M454" s="377" t="s">
        <v>1394</v>
      </c>
    </row>
    <row r="455" spans="2:13" x14ac:dyDescent="0.3">
      <c r="B455" t="s">
        <v>857</v>
      </c>
      <c r="C455" t="s">
        <v>895</v>
      </c>
      <c r="D455" t="s">
        <v>892</v>
      </c>
      <c r="E455" t="s">
        <v>893</v>
      </c>
      <c r="F455" t="s">
        <v>894</v>
      </c>
      <c r="G455" t="s">
        <v>901</v>
      </c>
      <c r="H455" t="s">
        <v>902</v>
      </c>
      <c r="I455" s="4"/>
      <c r="J455" s="8" t="s">
        <v>6</v>
      </c>
      <c r="K455" s="9">
        <f>SUM(Tabla11034534544554564793638293294296390375426428438439[Coste LÃ­nea])</f>
        <v>9149.8138602300005</v>
      </c>
      <c r="M455" s="346"/>
    </row>
    <row r="456" spans="2:13" x14ac:dyDescent="0.3">
      <c r="B456" s="10" t="s">
        <v>1194</v>
      </c>
      <c r="C456" s="11" t="s">
        <v>847</v>
      </c>
      <c r="D456" s="12">
        <v>1</v>
      </c>
      <c r="E456" s="12">
        <v>0</v>
      </c>
      <c r="F456" s="12">
        <v>1</v>
      </c>
      <c r="G456" s="13">
        <f>+VLOOKUP(Tabla11034534544554564793638293294296390375426428438439[[#This Row],[ArtÃ­culo]],Tabla34[#All],3,0)</f>
        <v>726.66666667000004</v>
      </c>
      <c r="H456" s="14">
        <f>+Tabla11034534544554564793638293294296390375426428438439[[#This Row],[Coste Componente]]*Tabla11034534544554564793638293294296390375426428438439[[#This Row],[Unidades]]</f>
        <v>726.66666667000004</v>
      </c>
      <c r="I456" s="4"/>
      <c r="J456" s="8" t="s">
        <v>12</v>
      </c>
      <c r="K456" s="15">
        <f>+K455*10%</f>
        <v>914.98138602300014</v>
      </c>
      <c r="M456" s="346"/>
    </row>
    <row r="457" spans="2:13" x14ac:dyDescent="0.3">
      <c r="B457" s="10" t="s">
        <v>910</v>
      </c>
      <c r="C457" s="11" t="s">
        <v>847</v>
      </c>
      <c r="D457" s="12">
        <v>3</v>
      </c>
      <c r="E457" s="12">
        <v>0</v>
      </c>
      <c r="F457" s="12">
        <v>3</v>
      </c>
      <c r="G457" s="13">
        <f>+VLOOKUP(Tabla11034534544554564793638293294296390375426428438439[[#This Row],[ArtÃ­culo]],Tabla34[#All],3,0)</f>
        <v>1088.3</v>
      </c>
      <c r="H457" s="14">
        <f>+Tabla11034534544554564793638293294296390375426428438439[[#This Row],[Coste Componente]]*Tabla11034534544554564793638293294296390375426428438439[[#This Row],[Unidades]]</f>
        <v>3264.8999999999996</v>
      </c>
      <c r="I457" s="4"/>
      <c r="J457" s="8" t="s">
        <v>13</v>
      </c>
      <c r="K457" s="15">
        <f>+K455+K456</f>
        <v>10064.795246253001</v>
      </c>
      <c r="M457" s="346"/>
    </row>
    <row r="458" spans="2:13" x14ac:dyDescent="0.3">
      <c r="B458" s="10" t="s">
        <v>89</v>
      </c>
      <c r="C458" s="11" t="s">
        <v>67</v>
      </c>
      <c r="D458" s="12">
        <v>3</v>
      </c>
      <c r="E458" s="12">
        <v>0</v>
      </c>
      <c r="F458" s="12">
        <v>3</v>
      </c>
      <c r="G458" s="13">
        <f>+VLOOKUP(Tabla11034534544554564793638293294296390375426428438439[[#This Row],[ArtÃ­culo]],Tabla34[#All],3,0)</f>
        <v>2.4009999999999998</v>
      </c>
      <c r="H458" s="14">
        <f>+Tabla11034534544554564793638293294296390375426428438439[[#This Row],[Coste Componente]]*Tabla11034534544554564793638293294296390375426428438439[[#This Row],[Unidades]]</f>
        <v>7.2029999999999994</v>
      </c>
      <c r="I458" s="4"/>
      <c r="J458" s="20" t="s">
        <v>14</v>
      </c>
      <c r="K458" s="21">
        <v>27000</v>
      </c>
      <c r="M458" s="346"/>
    </row>
    <row r="459" spans="2:13" x14ac:dyDescent="0.3">
      <c r="B459" s="10" t="s">
        <v>170</v>
      </c>
      <c r="C459" s="11" t="s">
        <v>67</v>
      </c>
      <c r="D459" s="12">
        <v>5</v>
      </c>
      <c r="E459" s="12">
        <v>0</v>
      </c>
      <c r="F459" s="12">
        <v>5</v>
      </c>
      <c r="G459" s="13">
        <f>+VLOOKUP(Tabla11034534544554564793638293294296390375426428438439[[#This Row],[ArtÃ­culo]],Tabla34[#All],3,0)</f>
        <v>131.40016807000001</v>
      </c>
      <c r="H459" s="14">
        <f>+Tabla11034534544554564793638293294296390375426428438439[[#This Row],[Coste Componente]]*Tabla11034534544554564793638293294296390375426428438439[[#This Row],[Unidades]]</f>
        <v>657.00084035000009</v>
      </c>
      <c r="J459" s="8" t="s">
        <v>15</v>
      </c>
      <c r="K459" s="15">
        <f>+K458/1.08*0.08</f>
        <v>2000</v>
      </c>
    </row>
    <row r="460" spans="2:13" x14ac:dyDescent="0.3">
      <c r="B460" s="10" t="s">
        <v>683</v>
      </c>
      <c r="C460" s="11" t="s">
        <v>67</v>
      </c>
      <c r="D460" s="12">
        <v>60</v>
      </c>
      <c r="E460" s="12">
        <v>25</v>
      </c>
      <c r="F460" s="12">
        <v>80</v>
      </c>
      <c r="G460" s="13">
        <f>+VLOOKUP(Tabla11034534544554564793638293294296390375426428438439[[#This Row],[ArtÃ­culo]],Tabla34[#All],3,0)</f>
        <v>8.5</v>
      </c>
      <c r="H460" s="14">
        <f>+Tabla11034534544554564793638293294296390375426428438439[[#This Row],[Coste Componente]]*Tabla11034534544554564793638293294296390375426428438439[[#This Row],[Unidades]]</f>
        <v>680</v>
      </c>
      <c r="J460" s="8" t="s">
        <v>16</v>
      </c>
      <c r="K460" s="15">
        <f>+K458-K459</f>
        <v>25000</v>
      </c>
      <c r="M460" s="377" t="s">
        <v>1377</v>
      </c>
    </row>
    <row r="461" spans="2:13" x14ac:dyDescent="0.3">
      <c r="B461" s="10" t="s">
        <v>712</v>
      </c>
      <c r="C461" s="11" t="s">
        <v>67</v>
      </c>
      <c r="D461" s="12">
        <v>29.9999988</v>
      </c>
      <c r="E461" s="12">
        <v>10</v>
      </c>
      <c r="F461" s="12">
        <v>33.333331999999999</v>
      </c>
      <c r="G461" s="13">
        <f>+VLOOKUP(Tabla11034534544554564793638293294296390375426428438439[[#This Row],[ArtÃ­culo]],Tabla34[#All],3,0)</f>
        <v>32.5</v>
      </c>
      <c r="H461" s="14">
        <f>+Tabla11034534544554564793638293294296390375426428438439[[#This Row],[Coste Componente]]*Tabla11034534544554564793638293294296390375426428438439[[#This Row],[Unidades]]</f>
        <v>1083.33329</v>
      </c>
      <c r="I461" s="4"/>
      <c r="J461" s="8" t="s">
        <v>17</v>
      </c>
      <c r="K461" s="22">
        <f>+K457/K460</f>
        <v>0.40259180985012005</v>
      </c>
      <c r="M461" s="346" t="s">
        <v>1769</v>
      </c>
    </row>
    <row r="462" spans="2:13" x14ac:dyDescent="0.3">
      <c r="B462" s="10" t="s">
        <v>631</v>
      </c>
      <c r="C462" s="11" t="s">
        <v>67</v>
      </c>
      <c r="D462" s="12">
        <v>6</v>
      </c>
      <c r="E462" s="12">
        <v>0</v>
      </c>
      <c r="F462" s="12">
        <v>6</v>
      </c>
      <c r="G462" s="13">
        <f>+VLOOKUP(Tabla11034534544554564793638293294296390375426428438439[[#This Row],[ArtÃ­culo]],Tabla34[#All],3,0)</f>
        <v>34.714285709999999</v>
      </c>
      <c r="H462" s="14">
        <f>+Tabla11034534544554564793638293294296390375426428438439[[#This Row],[Coste Componente]]*Tabla11034534544554564793638293294296390375426428438439[[#This Row],[Unidades]]</f>
        <v>208.28571425999999</v>
      </c>
      <c r="I462" s="4"/>
      <c r="J462" s="8" t="s">
        <v>18</v>
      </c>
      <c r="K462" s="23">
        <f>+K460-K457</f>
        <v>14935.204753746999</v>
      </c>
      <c r="M462" s="346" t="s">
        <v>1770</v>
      </c>
    </row>
    <row r="463" spans="2:13" x14ac:dyDescent="0.3">
      <c r="B463" s="10" t="s">
        <v>136</v>
      </c>
      <c r="C463" s="11" t="s">
        <v>67</v>
      </c>
      <c r="D463" s="12">
        <v>15</v>
      </c>
      <c r="E463" s="12">
        <v>0</v>
      </c>
      <c r="F463" s="12">
        <v>15</v>
      </c>
      <c r="G463" s="13">
        <f>+VLOOKUP(Tabla11034534544554564793638293294296390375426428438439[[#This Row],[ArtÃ­culo]],Tabla34[#All],3,0)</f>
        <v>26.416184560000001</v>
      </c>
      <c r="H463" s="14">
        <f>+Tabla11034534544554564793638293294296390375426428438439[[#This Row],[Coste Componente]]*Tabla11034534544554564793638293294296390375426428438439[[#This Row],[Unidades]]</f>
        <v>396.24276840000005</v>
      </c>
      <c r="I463" s="4"/>
      <c r="J463" s="8" t="s">
        <v>19</v>
      </c>
      <c r="K463" s="25">
        <f>+K462/K457</f>
        <v>1.4839054733187136</v>
      </c>
      <c r="M463" s="346" t="s">
        <v>1771</v>
      </c>
    </row>
    <row r="464" spans="2:13" x14ac:dyDescent="0.3">
      <c r="B464" s="10" t="s">
        <v>624</v>
      </c>
      <c r="C464" s="11" t="s">
        <v>67</v>
      </c>
      <c r="D464" s="12">
        <v>15</v>
      </c>
      <c r="E464" s="12">
        <v>0</v>
      </c>
      <c r="F464" s="12">
        <v>15</v>
      </c>
      <c r="G464" s="13">
        <f>+VLOOKUP(Tabla11034534544554564793638293294296390375426428438439[[#This Row],[ArtÃ­culo]],Tabla34[#All],3,0)</f>
        <v>32.29</v>
      </c>
      <c r="H464" s="14">
        <f>+Tabla11034534544554564793638293294296390375426428438439[[#This Row],[Coste Componente]]*Tabla11034534544554564793638293294296390375426428438439[[#This Row],[Unidades]]</f>
        <v>484.34999999999997</v>
      </c>
    </row>
    <row r="465" spans="2:8" x14ac:dyDescent="0.3">
      <c r="B465" s="10" t="s">
        <v>121</v>
      </c>
      <c r="C465" s="11" t="s">
        <v>67</v>
      </c>
      <c r="D465" s="12">
        <v>15</v>
      </c>
      <c r="E465" s="12">
        <v>0</v>
      </c>
      <c r="F465" s="12">
        <v>15</v>
      </c>
      <c r="G465" s="13">
        <f>+VLOOKUP(Tabla11034534544554564793638293294296390375426428438439[[#This Row],[ArtÃ­culo]],Tabla34[#All],3,0)</f>
        <v>23.79844713</v>
      </c>
      <c r="H465" s="14">
        <f>+Tabla11034534544554564793638293294296390375426428438439[[#This Row],[Coste Componente]]*Tabla11034534544554564793638293294296390375426428438439[[#This Row],[Unidades]]</f>
        <v>356.97670694999999</v>
      </c>
    </row>
    <row r="466" spans="2:8" x14ac:dyDescent="0.3">
      <c r="B466" s="10" t="s">
        <v>51</v>
      </c>
      <c r="C466" s="11" t="s">
        <v>67</v>
      </c>
      <c r="D466" s="12">
        <v>5</v>
      </c>
      <c r="E466" s="12">
        <v>0</v>
      </c>
      <c r="F466" s="12">
        <v>5</v>
      </c>
      <c r="G466" s="13">
        <f>+VLOOKUP(Tabla11034534544554564793638293294296390375426428438439[[#This Row],[ArtÃ­culo]],Tabla34[#All],3,0)</f>
        <v>11.3849874</v>
      </c>
      <c r="H466" s="14">
        <f>+Tabla11034534544554564793638293294296390375426428438439[[#This Row],[Coste Componente]]*Tabla11034534544554564793638293294296390375426428438439[[#This Row],[Unidades]]</f>
        <v>56.924937</v>
      </c>
    </row>
    <row r="467" spans="2:8" x14ac:dyDescent="0.3">
      <c r="B467" s="10" t="s">
        <v>693</v>
      </c>
      <c r="C467" s="11" t="s">
        <v>67</v>
      </c>
      <c r="D467" s="12">
        <v>5</v>
      </c>
      <c r="E467" s="12">
        <v>0</v>
      </c>
      <c r="F467" s="12">
        <v>5</v>
      </c>
      <c r="G467" s="13">
        <f>+VLOOKUP(Tabla11034534544554564793638293294296390375426428438439[[#This Row],[ArtÃ­culo]],Tabla34[#All],3,0)</f>
        <v>44.585987320000001</v>
      </c>
      <c r="H467" s="14">
        <f>+Tabla11034534544554564793638293294296390375426428438439[[#This Row],[Coste Componente]]*Tabla11034534544554564793638293294296390375426428438439[[#This Row],[Unidades]]</f>
        <v>222.92993660000002</v>
      </c>
    </row>
    <row r="468" spans="2:8" x14ac:dyDescent="0.3">
      <c r="B468" s="10" t="s">
        <v>905</v>
      </c>
      <c r="C468" s="11" t="s">
        <v>67</v>
      </c>
      <c r="D468" s="12">
        <v>15</v>
      </c>
      <c r="E468" s="12">
        <v>0</v>
      </c>
      <c r="F468" s="12">
        <v>15</v>
      </c>
      <c r="G468" s="13">
        <f>+VLOOKUP(Tabla11034534544554564793638293294296390375426428438439[[#This Row],[ArtÃ­culo]],Tabla34[#All],3,0)</f>
        <v>67</v>
      </c>
      <c r="H468" s="14">
        <f>+Tabla11034534544554564793638293294296390375426428438439[[#This Row],[Coste Componente]]*Tabla11034534544554564793638293294296390375426428438439[[#This Row],[Unidades]]</f>
        <v>1005</v>
      </c>
    </row>
    <row r="469" spans="2:8" x14ac:dyDescent="0.3">
      <c r="B469" s="16"/>
      <c r="C469" s="17"/>
      <c r="D469" s="17"/>
      <c r="E469" s="17"/>
      <c r="F469" s="17"/>
      <c r="G469" s="18"/>
      <c r="H469" s="18">
        <f>SUBTOTAL(109,Tabla11034534544554564793638293294296390375426428438439[Coste LÃ­nea])</f>
        <v>9149.8138602300005</v>
      </c>
    </row>
  </sheetData>
  <mergeCells count="15">
    <mergeCell ref="J6:K6"/>
    <mergeCell ref="J25:K25"/>
    <mergeCell ref="J46:K46"/>
    <mergeCell ref="J63:K63"/>
    <mergeCell ref="J81:K81"/>
    <mergeCell ref="J97:K97"/>
    <mergeCell ref="J109:K109"/>
    <mergeCell ref="J126:K126"/>
    <mergeCell ref="J140:K140"/>
    <mergeCell ref="J156:K156"/>
    <mergeCell ref="J385:K385"/>
    <mergeCell ref="J407:K407"/>
    <mergeCell ref="J423:K423"/>
    <mergeCell ref="J438:K438"/>
    <mergeCell ref="J454:K454"/>
  </mergeCells>
  <phoneticPr fontId="16" type="noConversion"/>
  <conditionalFormatting sqref="K13">
    <cfRule type="cellIs" dxfId="2451" priority="63" operator="lessThan">
      <formula>0.3</formula>
    </cfRule>
    <cfRule type="cellIs" dxfId="2450" priority="64" operator="greaterThan">
      <formula>0.3</formula>
    </cfRule>
  </conditionalFormatting>
  <conditionalFormatting sqref="K32">
    <cfRule type="cellIs" dxfId="2449" priority="61" operator="lessThan">
      <formula>0.3</formula>
    </cfRule>
    <cfRule type="cellIs" dxfId="2448" priority="62" operator="greaterThan">
      <formula>0.3</formula>
    </cfRule>
  </conditionalFormatting>
  <conditionalFormatting sqref="K53">
    <cfRule type="cellIs" dxfId="2447" priority="59" operator="lessThan">
      <formula>0.3</formula>
    </cfRule>
    <cfRule type="cellIs" dxfId="2446" priority="60" operator="greaterThan">
      <formula>0.3</formula>
    </cfRule>
  </conditionalFormatting>
  <conditionalFormatting sqref="K70">
    <cfRule type="cellIs" dxfId="2445" priority="57" operator="lessThan">
      <formula>0.3</formula>
    </cfRule>
    <cfRule type="cellIs" dxfId="2444" priority="58" operator="greaterThan">
      <formula>0.3</formula>
    </cfRule>
  </conditionalFormatting>
  <conditionalFormatting sqref="K88">
    <cfRule type="cellIs" dxfId="2443" priority="55" operator="lessThan">
      <formula>0.3</formula>
    </cfRule>
    <cfRule type="cellIs" dxfId="2442" priority="56" operator="greaterThan">
      <formula>0.3</formula>
    </cfRule>
  </conditionalFormatting>
  <conditionalFormatting sqref="K104">
    <cfRule type="cellIs" dxfId="2441" priority="53" operator="lessThan">
      <formula>0.3</formula>
    </cfRule>
    <cfRule type="cellIs" dxfId="2440" priority="54" operator="greaterThan">
      <formula>0.3</formula>
    </cfRule>
  </conditionalFormatting>
  <conditionalFormatting sqref="K116">
    <cfRule type="cellIs" dxfId="2439" priority="51" operator="lessThan">
      <formula>0.3</formula>
    </cfRule>
    <cfRule type="cellIs" dxfId="2438" priority="52" operator="greaterThan">
      <formula>0.3</formula>
    </cfRule>
  </conditionalFormatting>
  <conditionalFormatting sqref="K133">
    <cfRule type="cellIs" dxfId="2437" priority="49" operator="lessThan">
      <formula>0.3</formula>
    </cfRule>
    <cfRule type="cellIs" dxfId="2436" priority="50" operator="greaterThan">
      <formula>0.3</formula>
    </cfRule>
  </conditionalFormatting>
  <conditionalFormatting sqref="K147">
    <cfRule type="cellIs" dxfId="2435" priority="47" operator="lessThan">
      <formula>0.3</formula>
    </cfRule>
    <cfRule type="cellIs" dxfId="2434" priority="48" operator="greaterThan">
      <formula>0.3</formula>
    </cfRule>
  </conditionalFormatting>
  <conditionalFormatting sqref="K163">
    <cfRule type="cellIs" dxfId="2433" priority="45" operator="lessThan">
      <formula>0.3</formula>
    </cfRule>
    <cfRule type="cellIs" dxfId="2432" priority="46" operator="greaterThan">
      <formula>0.3</formula>
    </cfRule>
  </conditionalFormatting>
  <conditionalFormatting sqref="K178">
    <cfRule type="cellIs" dxfId="2431" priority="43" operator="lessThan">
      <formula>0.3</formula>
    </cfRule>
    <cfRule type="cellIs" dxfId="2430" priority="44" operator="greaterThan">
      <formula>0.3</formula>
    </cfRule>
  </conditionalFormatting>
  <conditionalFormatting sqref="K196">
    <cfRule type="cellIs" dxfId="2429" priority="39" operator="lessThan">
      <formula>0.3</formula>
    </cfRule>
    <cfRule type="cellIs" dxfId="2428" priority="40" operator="greaterThan">
      <formula>0.3</formula>
    </cfRule>
  </conditionalFormatting>
  <conditionalFormatting sqref="K213">
    <cfRule type="cellIs" dxfId="2427" priority="37" operator="lessThan">
      <formula>0.3</formula>
    </cfRule>
    <cfRule type="cellIs" dxfId="2426" priority="38" operator="greaterThan">
      <formula>0.3</formula>
    </cfRule>
  </conditionalFormatting>
  <conditionalFormatting sqref="K228">
    <cfRule type="cellIs" dxfId="2425" priority="35" operator="lessThan">
      <formula>0.3</formula>
    </cfRule>
    <cfRule type="cellIs" dxfId="2424" priority="36" operator="greaterThan">
      <formula>0.3</formula>
    </cfRule>
  </conditionalFormatting>
  <conditionalFormatting sqref="K240">
    <cfRule type="cellIs" dxfId="2423" priority="33" operator="lessThan">
      <formula>0.3</formula>
    </cfRule>
    <cfRule type="cellIs" dxfId="2422" priority="34" operator="greaterThan">
      <formula>0.3</formula>
    </cfRule>
  </conditionalFormatting>
  <conditionalFormatting sqref="K258">
    <cfRule type="cellIs" dxfId="2421" priority="31" operator="lessThan">
      <formula>0.3</formula>
    </cfRule>
    <cfRule type="cellIs" dxfId="2420" priority="32" operator="greaterThan">
      <formula>0.3</formula>
    </cfRule>
  </conditionalFormatting>
  <conditionalFormatting sqref="K269">
    <cfRule type="cellIs" dxfId="2419" priority="29" operator="lessThan">
      <formula>0.3</formula>
    </cfRule>
    <cfRule type="cellIs" dxfId="2418" priority="30" operator="greaterThan">
      <formula>0.3</formula>
    </cfRule>
  </conditionalFormatting>
  <conditionalFormatting sqref="K280">
    <cfRule type="cellIs" dxfId="2417" priority="27" operator="lessThan">
      <formula>0.3</formula>
    </cfRule>
    <cfRule type="cellIs" dxfId="2416" priority="28" operator="greaterThan">
      <formula>0.3</formula>
    </cfRule>
  </conditionalFormatting>
  <conditionalFormatting sqref="K293">
    <cfRule type="cellIs" dxfId="2415" priority="25" operator="lessThan">
      <formula>0.3</formula>
    </cfRule>
    <cfRule type="cellIs" dxfId="2414" priority="26" operator="greaterThan">
      <formula>0.3</formula>
    </cfRule>
  </conditionalFormatting>
  <conditionalFormatting sqref="K304">
    <cfRule type="cellIs" dxfId="2413" priority="23" operator="lessThan">
      <formula>0.3</formula>
    </cfRule>
    <cfRule type="cellIs" dxfId="2412" priority="24" operator="greaterThan">
      <formula>0.3</formula>
    </cfRule>
  </conditionalFormatting>
  <conditionalFormatting sqref="K316">
    <cfRule type="cellIs" dxfId="2411" priority="21" operator="lessThan">
      <formula>0.3</formula>
    </cfRule>
    <cfRule type="cellIs" dxfId="2410" priority="22" operator="greaterThan">
      <formula>0.3</formula>
    </cfRule>
  </conditionalFormatting>
  <conditionalFormatting sqref="K328">
    <cfRule type="cellIs" dxfId="2409" priority="19" operator="lessThan">
      <formula>0.3</formula>
    </cfRule>
    <cfRule type="cellIs" dxfId="2408" priority="20" operator="greaterThan">
      <formula>0.3</formula>
    </cfRule>
  </conditionalFormatting>
  <conditionalFormatting sqref="K340">
    <cfRule type="cellIs" dxfId="2407" priority="17" operator="lessThan">
      <formula>0.3</formula>
    </cfRule>
    <cfRule type="cellIs" dxfId="2406" priority="18" operator="greaterThan">
      <formula>0.3</formula>
    </cfRule>
  </conditionalFormatting>
  <conditionalFormatting sqref="K352">
    <cfRule type="cellIs" dxfId="2405" priority="15" operator="lessThan">
      <formula>0.3</formula>
    </cfRule>
    <cfRule type="cellIs" dxfId="2404" priority="16" operator="greaterThan">
      <formula>0.3</formula>
    </cfRule>
  </conditionalFormatting>
  <conditionalFormatting sqref="K363">
    <cfRule type="cellIs" dxfId="2403" priority="13" operator="lessThan">
      <formula>0.3</formula>
    </cfRule>
    <cfRule type="cellIs" dxfId="2402" priority="14" operator="greaterThan">
      <formula>0.3</formula>
    </cfRule>
  </conditionalFormatting>
  <conditionalFormatting sqref="K376">
    <cfRule type="cellIs" dxfId="2401" priority="11" operator="lessThan">
      <formula>0.3</formula>
    </cfRule>
    <cfRule type="cellIs" dxfId="2400" priority="12" operator="greaterThan">
      <formula>0.3</formula>
    </cfRule>
  </conditionalFormatting>
  <conditionalFormatting sqref="K392">
    <cfRule type="cellIs" dxfId="2399" priority="9" operator="lessThan">
      <formula>0.3</formula>
    </cfRule>
    <cfRule type="cellIs" dxfId="2398" priority="10" operator="greaterThan">
      <formula>0.3</formula>
    </cfRule>
  </conditionalFormatting>
  <conditionalFormatting sqref="K414">
    <cfRule type="cellIs" dxfId="2397" priority="7" operator="lessThan">
      <formula>0.3</formula>
    </cfRule>
    <cfRule type="cellIs" dxfId="2396" priority="8" operator="greaterThan">
      <formula>0.3</formula>
    </cfRule>
  </conditionalFormatting>
  <conditionalFormatting sqref="K430">
    <cfRule type="cellIs" dxfId="2395" priority="5" operator="lessThan">
      <formula>0.3</formula>
    </cfRule>
    <cfRule type="cellIs" dxfId="2394" priority="6" operator="greaterThan">
      <formula>0.3</formula>
    </cfRule>
  </conditionalFormatting>
  <conditionalFormatting sqref="K445">
    <cfRule type="cellIs" dxfId="2393" priority="3" operator="lessThan">
      <formula>0.3</formula>
    </cfRule>
    <cfRule type="cellIs" dxfId="2392" priority="4" operator="greaterThan">
      <formula>0.3</formula>
    </cfRule>
  </conditionalFormatting>
  <conditionalFormatting sqref="K461">
    <cfRule type="cellIs" dxfId="2391" priority="1" operator="lessThan">
      <formula>0.3</formula>
    </cfRule>
    <cfRule type="cellIs" dxfId="2390" priority="2" operator="greaterThan">
      <formula>0.3</formula>
    </cfRule>
  </conditionalFormatting>
  <pageMargins left="0.7" right="0.7" top="0.75" bottom="0.75" header="0.3" footer="0.3"/>
  <pageSetup orientation="portrait" horizontalDpi="360" verticalDpi="360" r:id="rId1"/>
  <drawing r:id="rId2"/>
  <tableParts count="9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5AA1-B1F4-43ED-9A0E-F2E4E82A30EE}">
  <dimension ref="B6:M223"/>
  <sheetViews>
    <sheetView showGridLines="0" topLeftCell="A211" zoomScale="90" zoomScaleNormal="90" workbookViewId="0">
      <selection activeCell="M212" sqref="M212:M219"/>
    </sheetView>
  </sheetViews>
  <sheetFormatPr baseColWidth="10" defaultRowHeight="13.8" x14ac:dyDescent="0.25"/>
  <cols>
    <col min="1" max="1" width="4" style="84" customWidth="1"/>
    <col min="2" max="2" width="41" style="84" customWidth="1"/>
    <col min="3" max="6" width="7.77734375" style="84" customWidth="1"/>
    <col min="7" max="8" width="11.77734375" style="84" customWidth="1"/>
    <col min="9" max="9" width="3.77734375" style="84" customWidth="1"/>
    <col min="10" max="10" width="33.33203125" style="84" bestFit="1" customWidth="1"/>
    <col min="11" max="11" width="16.33203125" style="84" customWidth="1"/>
    <col min="12" max="12" width="11.5546875" style="84"/>
    <col min="13" max="13" width="14" style="84" bestFit="1" customWidth="1"/>
    <col min="14" max="16384" width="11.5546875" style="84"/>
  </cols>
  <sheetData>
    <row r="6" spans="2:13" ht="15.6" x14ac:dyDescent="0.3">
      <c r="B6" s="86" t="s">
        <v>251</v>
      </c>
      <c r="C6" s="87"/>
      <c r="D6" s="87"/>
      <c r="E6" s="88"/>
      <c r="F6" s="88"/>
      <c r="G6" s="88"/>
      <c r="H6" s="88"/>
      <c r="I6" s="89"/>
      <c r="J6" s="403" t="s">
        <v>0</v>
      </c>
      <c r="K6" s="403"/>
      <c r="M6" s="377" t="s">
        <v>1394</v>
      </c>
    </row>
    <row r="7" spans="2:13" x14ac:dyDescent="0.25">
      <c r="B7" s="90" t="s">
        <v>857</v>
      </c>
      <c r="C7" s="91" t="s">
        <v>895</v>
      </c>
      <c r="D7" s="91" t="s">
        <v>892</v>
      </c>
      <c r="E7" s="91" t="s">
        <v>893</v>
      </c>
      <c r="F7" s="91" t="s">
        <v>894</v>
      </c>
      <c r="G7" s="92" t="s">
        <v>901</v>
      </c>
      <c r="H7" s="92" t="s">
        <v>902</v>
      </c>
      <c r="I7" s="89"/>
      <c r="J7" s="93" t="s">
        <v>6</v>
      </c>
      <c r="K7" s="94">
        <f>SUM(Tabla1103453454455456479455868778695108117127136228237459[Coste LÃ­nea])</f>
        <v>11629.304830339999</v>
      </c>
      <c r="M7" s="346"/>
    </row>
    <row r="8" spans="2:13" x14ac:dyDescent="0.25">
      <c r="B8" s="95" t="s">
        <v>102</v>
      </c>
      <c r="C8" s="96" t="s">
        <v>605</v>
      </c>
      <c r="D8" s="97">
        <v>1</v>
      </c>
      <c r="E8" s="97">
        <v>0</v>
      </c>
      <c r="F8" s="97">
        <v>1</v>
      </c>
      <c r="G8" s="98">
        <f>+VLOOKUP(Tabla1103453454455456479455868778695108117127136228237459[[#This Row],[ArtÃ­culo]],Tabla34[#All],3,0)</f>
        <v>2471.7916666699998</v>
      </c>
      <c r="H8" s="99">
        <f>+Tabla1103453454455456479455868778695108117127136228237459[[#This Row],[Coste Componente]]*Tabla1103453454455456479455868778695108117127136228237459[[#This Row],[Unidades]]</f>
        <v>2471.7916666699998</v>
      </c>
      <c r="I8" s="89"/>
      <c r="J8" s="93" t="s">
        <v>12</v>
      </c>
      <c r="K8" s="100">
        <f>+K7*10%</f>
        <v>1162.930483034</v>
      </c>
      <c r="M8" s="346"/>
    </row>
    <row r="9" spans="2:13" x14ac:dyDescent="0.25">
      <c r="B9" s="95" t="s">
        <v>304</v>
      </c>
      <c r="C9" s="96" t="s">
        <v>605</v>
      </c>
      <c r="D9" s="97">
        <v>1</v>
      </c>
      <c r="E9" s="97">
        <v>0</v>
      </c>
      <c r="F9" s="97">
        <v>1</v>
      </c>
      <c r="G9" s="98">
        <f>+VLOOKUP(Tabla1103453454455456479455868778695108117127136228237459[[#This Row],[ArtÃ­culo]],Tabla34[#All],3,0)</f>
        <v>3771.9545454499998</v>
      </c>
      <c r="H9" s="99">
        <f>+Tabla1103453454455456479455868778695108117127136228237459[[#This Row],[Coste Componente]]*Tabla1103453454455456479455868778695108117127136228237459[[#This Row],[Unidades]]</f>
        <v>3771.9545454499998</v>
      </c>
      <c r="I9" s="89"/>
      <c r="J9" s="93" t="s">
        <v>13</v>
      </c>
      <c r="K9" s="100">
        <f>+K7+K8</f>
        <v>12792.235313374</v>
      </c>
      <c r="M9" s="346"/>
    </row>
    <row r="10" spans="2:13" x14ac:dyDescent="0.25">
      <c r="B10" s="95" t="s">
        <v>665</v>
      </c>
      <c r="C10" s="96" t="s">
        <v>605</v>
      </c>
      <c r="D10" s="101">
        <v>1</v>
      </c>
      <c r="E10" s="101">
        <v>0</v>
      </c>
      <c r="F10" s="101">
        <v>1</v>
      </c>
      <c r="G10" s="98">
        <f>+VLOOKUP(Tabla1103453454455456479455868778695108117127136228237459[[#This Row],[ArtÃ­culo]],Tabla34[#All],3,0)</f>
        <v>2082.9166666699998</v>
      </c>
      <c r="H10" s="99">
        <f>+Tabla1103453454455456479455868778695108117127136228237459[[#This Row],[Coste Componente]]*Tabla1103453454455456479455868778695108117127136228237459[[#This Row],[Unidades]]</f>
        <v>2082.9166666699998</v>
      </c>
      <c r="I10" s="89"/>
      <c r="J10" s="102" t="s">
        <v>14</v>
      </c>
      <c r="K10" s="103">
        <v>41500</v>
      </c>
      <c r="M10" s="346"/>
    </row>
    <row r="11" spans="2:13" ht="14.4" x14ac:dyDescent="0.3">
      <c r="B11" s="95" t="s">
        <v>134</v>
      </c>
      <c r="C11" s="96" t="s">
        <v>67</v>
      </c>
      <c r="D11" s="101">
        <v>45</v>
      </c>
      <c r="E11" s="101">
        <v>0</v>
      </c>
      <c r="F11" s="101">
        <v>45</v>
      </c>
      <c r="G11" s="98">
        <f>+VLOOKUP(Tabla1103453454455456479455868778695108117127136228237459[[#This Row],[ArtÃ­culo]],Tabla34[#All],3,0)</f>
        <v>5.7702915900000002</v>
      </c>
      <c r="H11" s="99">
        <f>+Tabla1103453454455456479455868778695108117127136228237459[[#This Row],[Coste Componente]]*Tabla1103453454455456479455868778695108117127136228237459[[#This Row],[Unidades]]</f>
        <v>259.66312155000003</v>
      </c>
      <c r="I11" s="89"/>
      <c r="J11" s="93" t="s">
        <v>15</v>
      </c>
      <c r="K11" s="100">
        <f>+K10/1.08*0.08</f>
        <v>3074.0740740740744</v>
      </c>
      <c r="M11"/>
    </row>
    <row r="12" spans="2:13" ht="14.4" x14ac:dyDescent="0.3">
      <c r="B12" s="95" t="s">
        <v>637</v>
      </c>
      <c r="C12" s="96" t="s">
        <v>847</v>
      </c>
      <c r="D12" s="101">
        <v>0.5</v>
      </c>
      <c r="E12" s="101">
        <v>0</v>
      </c>
      <c r="F12" s="101">
        <v>0.5</v>
      </c>
      <c r="G12" s="98">
        <f>+VLOOKUP(Tabla1103453454455456479455868778695108117127136228237459[[#This Row],[ArtÃ­culo]],Tabla34[#All],3,0)</f>
        <v>3300</v>
      </c>
      <c r="H12" s="99">
        <f>+Tabla1103453454455456479455868778695108117127136228237459[[#This Row],[Coste Componente]]*Tabla1103453454455456479455868778695108117127136228237459[[#This Row],[Unidades]]</f>
        <v>1650</v>
      </c>
      <c r="I12" s="89"/>
      <c r="J12" s="93" t="s">
        <v>16</v>
      </c>
      <c r="K12" s="100">
        <f>+K10-K11</f>
        <v>38425.925925925927</v>
      </c>
      <c r="M12" s="377" t="s">
        <v>1377</v>
      </c>
    </row>
    <row r="13" spans="2:13" x14ac:dyDescent="0.25">
      <c r="B13" s="95" t="s">
        <v>104</v>
      </c>
      <c r="C13" s="96" t="s">
        <v>847</v>
      </c>
      <c r="D13" s="97">
        <v>0.5</v>
      </c>
      <c r="E13" s="97">
        <v>0</v>
      </c>
      <c r="F13" s="97">
        <v>0.5</v>
      </c>
      <c r="G13" s="98">
        <f>+VLOOKUP(Tabla1103453454455456479455868778695108117127136228237459[[#This Row],[ArtÃ­culo]],Tabla34[#All],3,0)</f>
        <v>1800</v>
      </c>
      <c r="H13" s="99">
        <f>+Tabla1103453454455456479455868778695108117127136228237459[[#This Row],[Coste Componente]]*Tabla1103453454455456479455868778695108117127136228237459[[#This Row],[Unidades]]</f>
        <v>900</v>
      </c>
      <c r="I13" s="89"/>
      <c r="J13" s="93" t="s">
        <v>17</v>
      </c>
      <c r="K13" s="22">
        <f>+K9/K12</f>
        <v>0.33290636478178121</v>
      </c>
      <c r="M13" s="346"/>
    </row>
    <row r="14" spans="2:13" x14ac:dyDescent="0.25">
      <c r="B14" s="95" t="s">
        <v>188</v>
      </c>
      <c r="C14" s="96" t="s">
        <v>67</v>
      </c>
      <c r="D14" s="97">
        <v>10</v>
      </c>
      <c r="E14" s="97">
        <v>0</v>
      </c>
      <c r="F14" s="97">
        <v>10</v>
      </c>
      <c r="G14" s="98">
        <f>+VLOOKUP(Tabla1103453454455456479455868778695108117127136228237459[[#This Row],[ArtÃ­culo]],Tabla34[#All],3,0)</f>
        <v>21.777521010000001</v>
      </c>
      <c r="H14" s="99">
        <f>+Tabla1103453454455456479455868778695108117127136228237459[[#This Row],[Coste Componente]]*Tabla1103453454455456479455868778695108117127136228237459[[#This Row],[Unidades]]</f>
        <v>217.77521010000001</v>
      </c>
      <c r="I14" s="89"/>
      <c r="J14" s="93" t="s">
        <v>18</v>
      </c>
      <c r="K14" s="23">
        <f>+K12-K9</f>
        <v>25633.690612551927</v>
      </c>
      <c r="M14" s="346"/>
    </row>
    <row r="15" spans="2:13" x14ac:dyDescent="0.25">
      <c r="B15" s="95" t="s">
        <v>816</v>
      </c>
      <c r="C15" s="96" t="s">
        <v>67</v>
      </c>
      <c r="D15" s="97">
        <v>5</v>
      </c>
      <c r="E15" s="97">
        <v>0</v>
      </c>
      <c r="F15" s="97">
        <v>5</v>
      </c>
      <c r="G15" s="98">
        <f>+VLOOKUP(Tabla1103453454455456479455868778695108117127136228237459[[#This Row],[ArtÃ­culo]],Tabla34[#All],3,0)</f>
        <v>45.040723980000003</v>
      </c>
      <c r="H15" s="99">
        <f>+Tabla1103453454455456479455868778695108117127136228237459[[#This Row],[Coste Componente]]*Tabla1103453454455456479455868778695108117127136228237459[[#This Row],[Unidades]]</f>
        <v>225.20361990000001</v>
      </c>
      <c r="I15" s="89"/>
      <c r="J15" s="93" t="s">
        <v>19</v>
      </c>
      <c r="K15" s="25">
        <f>+K14/K9</f>
        <v>2.0038476454347638</v>
      </c>
      <c r="M15" s="346"/>
    </row>
    <row r="16" spans="2:13" x14ac:dyDescent="0.25">
      <c r="B16" s="95" t="s">
        <v>183</v>
      </c>
      <c r="C16" s="96" t="s">
        <v>67</v>
      </c>
      <c r="D16" s="101">
        <v>50</v>
      </c>
      <c r="E16" s="101">
        <v>0</v>
      </c>
      <c r="F16" s="101">
        <v>50</v>
      </c>
      <c r="G16" s="98">
        <f>+VLOOKUP(Tabla1103453454455456479455868778695108117127136228237459[[#This Row],[ArtÃ­culo]],Tabla34[#All],3,0)</f>
        <v>1</v>
      </c>
      <c r="H16" s="99">
        <f>+Tabla1103453454455456479455868778695108117127136228237459[[#This Row],[Coste Componente]]*Tabla1103453454455456479455868778695108117127136228237459[[#This Row],[Unidades]]</f>
        <v>50</v>
      </c>
      <c r="I16" s="89"/>
      <c r="J16" s="89"/>
      <c r="K16" s="31"/>
      <c r="M16" s="346"/>
    </row>
    <row r="17" spans="2:13" x14ac:dyDescent="0.25">
      <c r="B17" s="104"/>
      <c r="C17" s="105"/>
      <c r="D17" s="105"/>
      <c r="E17" s="105"/>
      <c r="F17" s="105"/>
      <c r="G17" s="106"/>
      <c r="H17" s="106">
        <f>SUBTOTAL(109,Tabla1103453454455456479455868778695108117127136228237459[Coste LÃ­nea])</f>
        <v>11629.304830339999</v>
      </c>
      <c r="I17" s="89"/>
      <c r="J17" s="89"/>
      <c r="K17" s="31"/>
    </row>
    <row r="18" spans="2:13" x14ac:dyDescent="0.25">
      <c r="G18" s="89"/>
      <c r="H18" s="89"/>
      <c r="I18" s="31"/>
    </row>
    <row r="19" spans="2:13" x14ac:dyDescent="0.25">
      <c r="G19" s="89"/>
      <c r="H19" s="89"/>
      <c r="I19" s="107"/>
    </row>
    <row r="20" spans="2:13" ht="15.6" x14ac:dyDescent="0.3">
      <c r="B20" s="86" t="s">
        <v>298</v>
      </c>
      <c r="C20" s="87"/>
      <c r="D20" s="87"/>
      <c r="E20" s="88"/>
      <c r="F20" s="88"/>
      <c r="G20" s="88"/>
      <c r="H20" s="88"/>
      <c r="I20" s="89"/>
      <c r="J20" s="403" t="s">
        <v>0</v>
      </c>
      <c r="K20" s="403"/>
      <c r="M20" s="377" t="s">
        <v>1394</v>
      </c>
    </row>
    <row r="21" spans="2:13" x14ac:dyDescent="0.25">
      <c r="B21" s="90" t="s">
        <v>857</v>
      </c>
      <c r="C21" s="91" t="s">
        <v>895</v>
      </c>
      <c r="D21" s="91" t="s">
        <v>892</v>
      </c>
      <c r="E21" s="91" t="s">
        <v>893</v>
      </c>
      <c r="F21" s="91" t="s">
        <v>894</v>
      </c>
      <c r="G21" s="92" t="s">
        <v>901</v>
      </c>
      <c r="H21" s="92" t="s">
        <v>902</v>
      </c>
      <c r="I21" s="89"/>
      <c r="J21" s="93" t="s">
        <v>6</v>
      </c>
      <c r="K21" s="94" t="e">
        <f>SUM(Tabla110345345445545647936445366768594103116125135144236245266467[Coste LÃ­nea])</f>
        <v>#N/A</v>
      </c>
      <c r="M21" s="346"/>
    </row>
    <row r="22" spans="2:13" x14ac:dyDescent="0.25">
      <c r="B22" s="95" t="s">
        <v>1205</v>
      </c>
      <c r="C22" s="96" t="s">
        <v>605</v>
      </c>
      <c r="D22" s="101">
        <v>2</v>
      </c>
      <c r="E22" s="101">
        <v>0</v>
      </c>
      <c r="F22" s="101">
        <v>2</v>
      </c>
      <c r="G22" s="98">
        <f>+VLOOKUP(Tabla110345345445545647936445366768594103116125135144236245266467[[#This Row],[ArtÃ­culo]],Tabla34[#All],3,0)</f>
        <v>7833.75</v>
      </c>
      <c r="H22" s="99">
        <f>+Tabla110345345445545647936445366768594103116125135144236245266467[[#This Row],[Coste Componente]]*Tabla110345345445545647936445366768594103116125135144236245266467[[#This Row],[Unidades]]</f>
        <v>15667.5</v>
      </c>
      <c r="I22" s="89"/>
      <c r="J22" s="93" t="s">
        <v>12</v>
      </c>
      <c r="K22" s="100" t="e">
        <f>+K21*10%</f>
        <v>#N/A</v>
      </c>
      <c r="M22" s="346"/>
    </row>
    <row r="23" spans="2:13" x14ac:dyDescent="0.25">
      <c r="B23" s="95" t="s">
        <v>168</v>
      </c>
      <c r="C23" s="96" t="s">
        <v>67</v>
      </c>
      <c r="D23" s="101">
        <v>20</v>
      </c>
      <c r="E23" s="101">
        <v>0</v>
      </c>
      <c r="F23" s="101">
        <v>20</v>
      </c>
      <c r="G23" s="98">
        <f>+VLOOKUP(Tabla110345345445545647936445366768594103116125135144236245266467[[#This Row],[ArtÃ­culo]],Tabla34[#All],3,0)</f>
        <v>10.86600002</v>
      </c>
      <c r="H23" s="99">
        <f>+Tabla110345345445545647936445366768594103116125135144236245266467[[#This Row],[Coste Componente]]*Tabla110345345445545647936445366768594103116125135144236245266467[[#This Row],[Unidades]]</f>
        <v>217.3200004</v>
      </c>
      <c r="I23" s="89"/>
      <c r="J23" s="93" t="s">
        <v>13</v>
      </c>
      <c r="K23" s="100" t="e">
        <f>+K21+K22</f>
        <v>#N/A</v>
      </c>
      <c r="M23" s="346"/>
    </row>
    <row r="24" spans="2:13" x14ac:dyDescent="0.25">
      <c r="B24" s="95" t="s">
        <v>1319</v>
      </c>
      <c r="C24" s="96" t="s">
        <v>605</v>
      </c>
      <c r="D24" s="101">
        <v>0.5</v>
      </c>
      <c r="E24" s="101">
        <v>0</v>
      </c>
      <c r="F24" s="101">
        <v>0.5</v>
      </c>
      <c r="G24" s="98">
        <f>+VLOOKUP(Tabla110345345445545647936445366768594103116125135144236245266467[[#This Row],[ArtÃ­culo]],Tabla34[#All],3,0)</f>
        <v>1750</v>
      </c>
      <c r="H24" s="99">
        <f>+Tabla110345345445545647936445366768594103116125135144236245266467[[#This Row],[Coste Componente]]*Tabla110345345445545647936445366768594103116125135144236245266467[[#This Row],[Unidades]]</f>
        <v>875</v>
      </c>
      <c r="I24" s="89"/>
      <c r="J24" s="102" t="s">
        <v>14</v>
      </c>
      <c r="K24" s="103">
        <v>48500</v>
      </c>
      <c r="M24" s="346"/>
    </row>
    <row r="25" spans="2:13" ht="14.4" x14ac:dyDescent="0.3">
      <c r="B25" s="95" t="s">
        <v>212</v>
      </c>
      <c r="C25" s="96" t="s">
        <v>67</v>
      </c>
      <c r="D25" s="101">
        <v>10</v>
      </c>
      <c r="E25" s="101">
        <v>0</v>
      </c>
      <c r="F25" s="101">
        <v>10</v>
      </c>
      <c r="G25" s="98">
        <f>+VLOOKUP(Tabla110345345445545647936445366768594103116125135144236245266467[[#This Row],[ArtÃ­culo]],Tabla34[#All],3,0)</f>
        <v>40.047916669999999</v>
      </c>
      <c r="H25" s="99">
        <f>+Tabla110345345445545647936445366768594103116125135144236245266467[[#This Row],[Coste Componente]]*Tabla110345345445545647936445366768594103116125135144236245266467[[#This Row],[Unidades]]</f>
        <v>400.47916670000001</v>
      </c>
      <c r="I25" s="85"/>
      <c r="J25" s="93" t="s">
        <v>15</v>
      </c>
      <c r="K25" s="100">
        <f>+K24/1.08*0.08</f>
        <v>3592.5925925925922</v>
      </c>
      <c r="M25"/>
    </row>
    <row r="26" spans="2:13" ht="14.4" x14ac:dyDescent="0.3">
      <c r="B26" s="95" t="s">
        <v>1332</v>
      </c>
      <c r="C26" s="96" t="s">
        <v>67</v>
      </c>
      <c r="D26" s="101">
        <v>20</v>
      </c>
      <c r="E26" s="101">
        <v>0</v>
      </c>
      <c r="F26" s="101">
        <v>20</v>
      </c>
      <c r="G26" s="98" t="e">
        <f>+VLOOKUP(Tabla110345345445545647936445366768594103116125135144236245266467[[#This Row],[ArtÃ­culo]],Tabla34[#All],3,0)</f>
        <v>#N/A</v>
      </c>
      <c r="H26" s="99" t="e">
        <f>+Tabla110345345445545647936445366768594103116125135144236245266467[[#This Row],[Coste Componente]]*Tabla110345345445545647936445366768594103116125135144236245266467[[#This Row],[Unidades]]</f>
        <v>#N/A</v>
      </c>
      <c r="J26" s="93" t="s">
        <v>16</v>
      </c>
      <c r="K26" s="100">
        <f>+K24-K25</f>
        <v>44907.407407407409</v>
      </c>
      <c r="M26" s="377" t="s">
        <v>1377</v>
      </c>
    </row>
    <row r="27" spans="2:13" x14ac:dyDescent="0.25">
      <c r="B27" s="95" t="s">
        <v>223</v>
      </c>
      <c r="C27" s="96" t="s">
        <v>67</v>
      </c>
      <c r="D27" s="101">
        <v>1</v>
      </c>
      <c r="E27" s="101">
        <v>0</v>
      </c>
      <c r="F27" s="101">
        <v>1</v>
      </c>
      <c r="G27" s="98">
        <f>+VLOOKUP(Tabla110345345445545647936445366768594103116125135144236245266467[[#This Row],[ArtÃ­culo]],Tabla34[#All],3,0)</f>
        <v>61.682499999999997</v>
      </c>
      <c r="H27" s="99">
        <f>+Tabla110345345445545647936445366768594103116125135144236245266467[[#This Row],[Coste Componente]]*Tabla110345345445545647936445366768594103116125135144236245266467[[#This Row],[Unidades]]</f>
        <v>61.682499999999997</v>
      </c>
      <c r="I27" s="89"/>
      <c r="J27" s="93" t="s">
        <v>17</v>
      </c>
      <c r="K27" s="22" t="e">
        <f>+K23/K26</f>
        <v>#N/A</v>
      </c>
      <c r="M27" s="346"/>
    </row>
    <row r="28" spans="2:13" x14ac:dyDescent="0.25">
      <c r="B28" s="95" t="s">
        <v>801</v>
      </c>
      <c r="C28" s="96" t="s">
        <v>67</v>
      </c>
      <c r="D28" s="101">
        <v>5</v>
      </c>
      <c r="E28" s="101">
        <v>0</v>
      </c>
      <c r="F28" s="101">
        <v>5</v>
      </c>
      <c r="G28" s="98">
        <f>+VLOOKUP(Tabla110345345445545647936445366768594103116125135144236245266467[[#This Row],[ArtÃ­culo]],Tabla34[#All],3,0)</f>
        <v>87.08823529</v>
      </c>
      <c r="H28" s="99">
        <f>+Tabla110345345445545647936445366768594103116125135144236245266467[[#This Row],[Coste Componente]]*Tabla110345345445545647936445366768594103116125135144236245266467[[#This Row],[Unidades]]</f>
        <v>435.44117645</v>
      </c>
      <c r="I28" s="89"/>
      <c r="J28" s="93" t="s">
        <v>18</v>
      </c>
      <c r="K28" s="23" t="e">
        <f>+K26-K23</f>
        <v>#N/A</v>
      </c>
      <c r="M28" s="346"/>
    </row>
    <row r="29" spans="2:13" x14ac:dyDescent="0.25">
      <c r="B29" s="104"/>
      <c r="C29" s="105"/>
      <c r="D29" s="105"/>
      <c r="E29" s="105"/>
      <c r="F29" s="105"/>
      <c r="G29" s="106"/>
      <c r="H29" s="106" t="e">
        <f>SUBTOTAL(109,Tabla110345345445545647936445366768594103116125135144236245266467[Coste LÃ­nea])</f>
        <v>#N/A</v>
      </c>
      <c r="I29" s="89"/>
      <c r="J29" s="93" t="s">
        <v>19</v>
      </c>
      <c r="K29" s="25" t="e">
        <f>+K28/K23</f>
        <v>#N/A</v>
      </c>
      <c r="M29" s="346"/>
    </row>
    <row r="30" spans="2:13" x14ac:dyDescent="0.25">
      <c r="G30" s="89"/>
      <c r="H30" s="89"/>
      <c r="I30" s="89"/>
      <c r="J30" s="89"/>
      <c r="K30" s="107"/>
      <c r="M30" s="346"/>
    </row>
    <row r="31" spans="2:13" ht="15.6" x14ac:dyDescent="0.3">
      <c r="B31" s="86" t="s">
        <v>550</v>
      </c>
      <c r="C31" s="87"/>
      <c r="D31" s="87"/>
      <c r="E31" s="88"/>
      <c r="F31" s="88"/>
      <c r="G31" s="88"/>
      <c r="H31" s="88"/>
      <c r="I31" s="107"/>
      <c r="J31" s="403" t="s">
        <v>0</v>
      </c>
      <c r="K31" s="403"/>
      <c r="M31" s="377" t="s">
        <v>1394</v>
      </c>
    </row>
    <row r="32" spans="2:13" x14ac:dyDescent="0.25">
      <c r="B32" s="90" t="s">
        <v>857</v>
      </c>
      <c r="C32" s="91" t="s">
        <v>895</v>
      </c>
      <c r="D32" s="91" t="s">
        <v>892</v>
      </c>
      <c r="E32" s="91" t="s">
        <v>893</v>
      </c>
      <c r="F32" s="91" t="s">
        <v>894</v>
      </c>
      <c r="G32" s="92" t="s">
        <v>901</v>
      </c>
      <c r="H32" s="92" t="s">
        <v>902</v>
      </c>
      <c r="I32" s="89"/>
      <c r="J32" s="93" t="s">
        <v>6</v>
      </c>
      <c r="K32" s="94">
        <f>SUM(Tabla110345345445545647936445366768594103116125135144236245266267469[Coste LÃ­nea])</f>
        <v>7003.5150375999992</v>
      </c>
      <c r="M32" s="346"/>
    </row>
    <row r="33" spans="2:13" x14ac:dyDescent="0.25">
      <c r="B33" s="95" t="s">
        <v>660</v>
      </c>
      <c r="C33" s="96" t="s">
        <v>605</v>
      </c>
      <c r="D33" s="101">
        <v>1.66</v>
      </c>
      <c r="E33" s="101">
        <v>0</v>
      </c>
      <c r="F33" s="101">
        <v>1.66</v>
      </c>
      <c r="G33" s="98">
        <f>+VLOOKUP(Tabla110345345445545647936445366768594103116125135144236245266267469[[#This Row],[ArtÃ­culo]],Tabla34[#All],3,0)</f>
        <v>3359</v>
      </c>
      <c r="H33" s="99">
        <f>+Tabla110345345445545647936445366768594103116125135144236245266267469[[#This Row],[Coste Componente]]*Tabla110345345445545647936445366768594103116125135144236245266267469[[#This Row],[Unidades]]</f>
        <v>5575.94</v>
      </c>
      <c r="I33" s="89"/>
      <c r="J33" s="93" t="s">
        <v>12</v>
      </c>
      <c r="K33" s="100">
        <f>+K32*10%</f>
        <v>700.35150376000001</v>
      </c>
      <c r="M33" s="346"/>
    </row>
    <row r="34" spans="2:13" x14ac:dyDescent="0.25">
      <c r="B34" s="95" t="s">
        <v>134</v>
      </c>
      <c r="C34" s="96" t="s">
        <v>67</v>
      </c>
      <c r="D34" s="101">
        <v>20</v>
      </c>
      <c r="E34" s="101">
        <v>0</v>
      </c>
      <c r="F34" s="101">
        <v>20</v>
      </c>
      <c r="G34" s="98">
        <f>+VLOOKUP(Tabla110345345445545647936445366768594103116125135144236245266267469[[#This Row],[ArtÃ­culo]],Tabla34[#All],3,0)</f>
        <v>5.7702915900000002</v>
      </c>
      <c r="H34" s="99">
        <f>+Tabla110345345445545647936445366768594103116125135144236245266267469[[#This Row],[Coste Componente]]*Tabla110345345445545647936445366768594103116125135144236245266267469[[#This Row],[Unidades]]</f>
        <v>115.4058318</v>
      </c>
      <c r="I34" s="89"/>
      <c r="J34" s="93" t="s">
        <v>13</v>
      </c>
      <c r="K34" s="100">
        <f>+K32+K33</f>
        <v>7703.8665413599992</v>
      </c>
      <c r="M34" s="346"/>
    </row>
    <row r="35" spans="2:13" x14ac:dyDescent="0.25">
      <c r="B35" s="95" t="s">
        <v>168</v>
      </c>
      <c r="C35" s="96" t="s">
        <v>67</v>
      </c>
      <c r="D35" s="101">
        <v>20</v>
      </c>
      <c r="E35" s="101">
        <v>0</v>
      </c>
      <c r="F35" s="101">
        <v>20</v>
      </c>
      <c r="G35" s="98">
        <f>+VLOOKUP(Tabla110345345445545647936445366768594103116125135144236245266267469[[#This Row],[ArtÃ­culo]],Tabla34[#All],3,0)</f>
        <v>10.86600002</v>
      </c>
      <c r="H35" s="99">
        <f>+Tabla110345345445545647936445366768594103116125135144236245266267469[[#This Row],[Coste Componente]]*Tabla110345345445545647936445366768594103116125135144236245266267469[[#This Row],[Unidades]]</f>
        <v>217.3200004</v>
      </c>
      <c r="J35" s="102" t="s">
        <v>14</v>
      </c>
      <c r="K35" s="103">
        <v>39500</v>
      </c>
      <c r="M35" s="346"/>
    </row>
    <row r="36" spans="2:13" ht="14.4" x14ac:dyDescent="0.3">
      <c r="B36" s="95" t="s">
        <v>885</v>
      </c>
      <c r="C36" s="96" t="s">
        <v>67</v>
      </c>
      <c r="D36" s="101">
        <v>30</v>
      </c>
      <c r="E36" s="101">
        <v>0</v>
      </c>
      <c r="F36" s="101">
        <v>30</v>
      </c>
      <c r="G36" s="98">
        <f>+VLOOKUP(Tabla110345345445545647936445366768594103116125135144236245266267469[[#This Row],[ArtÃ­culo]],Tabla34[#All],3,0)</f>
        <v>16.46164018</v>
      </c>
      <c r="H36" s="99">
        <f>+Tabla110345345445545647936445366768594103116125135144236245266267469[[#This Row],[Coste Componente]]*Tabla110345345445545647936445366768594103116125135144236245266267469[[#This Row],[Unidades]]</f>
        <v>493.84920540000002</v>
      </c>
      <c r="I36" s="89"/>
      <c r="J36" s="93" t="s">
        <v>15</v>
      </c>
      <c r="K36" s="100">
        <f>+K35/1.08*0.08</f>
        <v>2925.9259259259261</v>
      </c>
      <c r="M36"/>
    </row>
    <row r="37" spans="2:13" ht="14.4" x14ac:dyDescent="0.3">
      <c r="B37" s="95" t="s">
        <v>827</v>
      </c>
      <c r="C37" s="96" t="s">
        <v>67</v>
      </c>
      <c r="D37" s="101">
        <v>1</v>
      </c>
      <c r="E37" s="101">
        <v>0</v>
      </c>
      <c r="F37" s="101">
        <v>1</v>
      </c>
      <c r="G37" s="98">
        <f>+VLOOKUP(Tabla110345345445545647936445366768594103116125135144236245266267469[[#This Row],[ArtÃ­culo]],Tabla34[#All],3,0)</f>
        <v>511</v>
      </c>
      <c r="H37" s="99">
        <f>+Tabla110345345445545647936445366768594103116125135144236245266267469[[#This Row],[Coste Componente]]*Tabla110345345445545647936445366768594103116125135144236245266267469[[#This Row],[Unidades]]</f>
        <v>511</v>
      </c>
      <c r="I37" s="89"/>
      <c r="J37" s="93" t="s">
        <v>16</v>
      </c>
      <c r="K37" s="100">
        <f>+K35-K36</f>
        <v>36574.074074074073</v>
      </c>
      <c r="M37" s="377" t="s">
        <v>1377</v>
      </c>
    </row>
    <row r="38" spans="2:13" x14ac:dyDescent="0.25">
      <c r="B38" s="95" t="s">
        <v>721</v>
      </c>
      <c r="C38" s="96" t="s">
        <v>67</v>
      </c>
      <c r="D38" s="101">
        <v>1</v>
      </c>
      <c r="E38" s="101">
        <v>0</v>
      </c>
      <c r="F38" s="101">
        <v>1</v>
      </c>
      <c r="G38" s="98">
        <f>+VLOOKUP(Tabla110345345445545647936445366768594103116125135144236245266267469[[#This Row],[ArtÃ­culo]],Tabla34[#All],3,0)</f>
        <v>90</v>
      </c>
      <c r="H38" s="99">
        <f>+Tabla110345345445545647936445366768594103116125135144236245266267469[[#This Row],[Coste Componente]]*Tabla110345345445545647936445366768594103116125135144236245266267469[[#This Row],[Unidades]]</f>
        <v>90</v>
      </c>
      <c r="I38" s="89"/>
      <c r="J38" s="93" t="s">
        <v>17</v>
      </c>
      <c r="K38" s="22">
        <f>+K34/K37</f>
        <v>0.21063736366250124</v>
      </c>
      <c r="M38" s="346"/>
    </row>
    <row r="39" spans="2:13" x14ac:dyDescent="0.25">
      <c r="B39" s="104"/>
      <c r="C39" s="105"/>
      <c r="D39" s="105"/>
      <c r="E39" s="105"/>
      <c r="F39" s="105"/>
      <c r="G39" s="106"/>
      <c r="H39" s="106">
        <f>SUBTOTAL(109,Tabla110345345445545647936445366768594103116125135144236245266267469[Coste LÃ­nea])</f>
        <v>7003.5150375999992</v>
      </c>
      <c r="I39" s="85"/>
      <c r="J39" s="93" t="s">
        <v>18</v>
      </c>
      <c r="K39" s="23">
        <f>+K37-K34</f>
        <v>28870.207532714074</v>
      </c>
      <c r="M39" s="346"/>
    </row>
    <row r="40" spans="2:13" x14ac:dyDescent="0.25">
      <c r="G40" s="89"/>
      <c r="J40" s="93" t="s">
        <v>19</v>
      </c>
      <c r="K40" s="25">
        <f>+K39/K34</f>
        <v>3.7474958032719869</v>
      </c>
      <c r="M40" s="346"/>
    </row>
    <row r="41" spans="2:13" x14ac:dyDescent="0.25">
      <c r="G41" s="89"/>
      <c r="I41" s="89"/>
      <c r="M41" s="346"/>
    </row>
    <row r="42" spans="2:13" ht="15.6" x14ac:dyDescent="0.3">
      <c r="B42" s="86" t="s">
        <v>551</v>
      </c>
      <c r="C42" s="87"/>
      <c r="D42" s="87"/>
      <c r="E42" s="88"/>
      <c r="F42" s="88"/>
      <c r="G42" s="88"/>
      <c r="H42" s="88"/>
      <c r="I42" s="107"/>
      <c r="J42" s="403" t="s">
        <v>0</v>
      </c>
      <c r="K42" s="403"/>
      <c r="M42" s="377" t="s">
        <v>1394</v>
      </c>
    </row>
    <row r="43" spans="2:13" x14ac:dyDescent="0.25">
      <c r="B43" s="90" t="s">
        <v>857</v>
      </c>
      <c r="C43" s="91" t="s">
        <v>895</v>
      </c>
      <c r="D43" s="91" t="s">
        <v>892</v>
      </c>
      <c r="E43" s="91" t="s">
        <v>893</v>
      </c>
      <c r="F43" s="91" t="s">
        <v>894</v>
      </c>
      <c r="G43" s="92" t="s">
        <v>901</v>
      </c>
      <c r="H43" s="92" t="s">
        <v>902</v>
      </c>
      <c r="J43" s="93" t="s">
        <v>6</v>
      </c>
      <c r="K43" s="94">
        <f>SUM(Tabla110345345445545647936445366768594103116125135144236245266267351470[Coste LÃ­nea])</f>
        <v>8825.6193135300018</v>
      </c>
      <c r="M43" s="346"/>
    </row>
    <row r="44" spans="2:13" x14ac:dyDescent="0.25">
      <c r="B44" s="95" t="s">
        <v>1215</v>
      </c>
      <c r="C44" s="96" t="s">
        <v>605</v>
      </c>
      <c r="D44" s="101">
        <v>2</v>
      </c>
      <c r="E44" s="101">
        <v>0</v>
      </c>
      <c r="F44" s="101">
        <v>2</v>
      </c>
      <c r="G44" s="98">
        <f>+VLOOKUP(Tabla110345345445545647936445366768594103116125135144236245266267351470[[#This Row],[ArtÃ­culo]],Tabla34[#All],3,0)</f>
        <v>1934.05172414</v>
      </c>
      <c r="H44" s="99">
        <f>+Tabla110345345445545647936445366768594103116125135144236245266267351470[[#This Row],[Coste Componente]]*Tabla110345345445545647936445366768594103116125135144236245266267351470[[#This Row],[Unidades]]</f>
        <v>3868.1034482800001</v>
      </c>
      <c r="J44" s="93" t="s">
        <v>12</v>
      </c>
      <c r="K44" s="100">
        <f>+K43*10%</f>
        <v>882.5619313530002</v>
      </c>
      <c r="M44" s="346"/>
    </row>
    <row r="45" spans="2:13" x14ac:dyDescent="0.25">
      <c r="B45" s="95" t="s">
        <v>825</v>
      </c>
      <c r="C45" s="96" t="s">
        <v>605</v>
      </c>
      <c r="D45" s="101">
        <v>1</v>
      </c>
      <c r="E45" s="101">
        <v>0</v>
      </c>
      <c r="F45" s="101">
        <v>1</v>
      </c>
      <c r="G45" s="98">
        <f>+VLOOKUP(Tabla110345345445545647936445366768594103116125135144236245266267351470[[#This Row],[ArtÃ­culo]],Tabla34[#All],3,0)</f>
        <v>3704.75</v>
      </c>
      <c r="H45" s="99">
        <f>+Tabla110345345445545647936445366768594103116125135144236245266267351470[[#This Row],[Coste Componente]]*Tabla110345345445545647936445366768594103116125135144236245266267351470[[#This Row],[Unidades]]</f>
        <v>3704.75</v>
      </c>
      <c r="I45" s="89"/>
      <c r="J45" s="93" t="s">
        <v>13</v>
      </c>
      <c r="K45" s="100">
        <f>+K43+K44</f>
        <v>9708.1812448830024</v>
      </c>
      <c r="M45" s="346"/>
    </row>
    <row r="46" spans="2:13" x14ac:dyDescent="0.25">
      <c r="B46" s="95" t="s">
        <v>146</v>
      </c>
      <c r="C46" s="96" t="s">
        <v>67</v>
      </c>
      <c r="D46" s="101">
        <v>30</v>
      </c>
      <c r="E46" s="101">
        <v>0</v>
      </c>
      <c r="F46" s="101">
        <v>30</v>
      </c>
      <c r="G46" s="98">
        <f>+VLOOKUP(Tabla110345345445545647936445366768594103116125135144236245266267351470[[#This Row],[ArtÃ­culo]],Tabla34[#All],3,0)</f>
        <v>11.36127894</v>
      </c>
      <c r="H46" s="99">
        <f>+Tabla110345345445545647936445366768594103116125135144236245266267351470[[#This Row],[Coste Componente]]*Tabla110345345445545647936445366768594103116125135144236245266267351470[[#This Row],[Unidades]]</f>
        <v>340.83836819999999</v>
      </c>
      <c r="I46" s="89"/>
      <c r="J46" s="102" t="s">
        <v>14</v>
      </c>
      <c r="K46" s="103">
        <v>46500</v>
      </c>
      <c r="M46" s="346"/>
    </row>
    <row r="47" spans="2:13" ht="14.4" x14ac:dyDescent="0.3">
      <c r="B47" s="95" t="s">
        <v>1317</v>
      </c>
      <c r="C47" s="96" t="s">
        <v>67</v>
      </c>
      <c r="D47" s="101">
        <v>30</v>
      </c>
      <c r="E47" s="101">
        <v>0</v>
      </c>
      <c r="F47" s="101">
        <v>30</v>
      </c>
      <c r="G47" s="98">
        <f>+VLOOKUP(Tabla110345345445545647936445366768594103116125135144236245266267351470[[#This Row],[ArtÃ­culo]],Tabla34[#All],3,0)</f>
        <v>4.1835440000000004</v>
      </c>
      <c r="H47" s="99">
        <f>+Tabla110345345445545647936445366768594103116125135144236245266267351470[[#This Row],[Coste Componente]]*Tabla110345345445545647936445366768594103116125135144236245266267351470[[#This Row],[Unidades]]</f>
        <v>125.50632000000002</v>
      </c>
      <c r="I47" s="89"/>
      <c r="J47" s="93" t="s">
        <v>15</v>
      </c>
      <c r="K47" s="100">
        <f>+K46/1.08*0.08</f>
        <v>3444.4444444444443</v>
      </c>
      <c r="M47"/>
    </row>
    <row r="48" spans="2:13" ht="14.4" x14ac:dyDescent="0.3">
      <c r="B48" s="95" t="s">
        <v>168</v>
      </c>
      <c r="C48" s="96" t="s">
        <v>67</v>
      </c>
      <c r="D48" s="101">
        <v>30</v>
      </c>
      <c r="E48" s="101">
        <v>0</v>
      </c>
      <c r="F48" s="101">
        <v>30</v>
      </c>
      <c r="G48" s="98">
        <f>+VLOOKUP(Tabla110345345445545647936445366768594103116125135144236245266267351470[[#This Row],[ArtÃ­culo]],Tabla34[#All],3,0)</f>
        <v>10.86600002</v>
      </c>
      <c r="H48" s="99">
        <f>+Tabla110345345445545647936445366768594103116125135144236245266267351470[[#This Row],[Coste Componente]]*Tabla110345345445545647936445366768594103116125135144236245266267351470[[#This Row],[Unidades]]</f>
        <v>325.98000059999998</v>
      </c>
      <c r="J48" s="93" t="s">
        <v>16</v>
      </c>
      <c r="K48" s="100">
        <f>+K46-K47</f>
        <v>43055.555555555555</v>
      </c>
      <c r="M48" s="377" t="s">
        <v>1377</v>
      </c>
    </row>
    <row r="49" spans="2:13" x14ac:dyDescent="0.25">
      <c r="B49" s="95" t="s">
        <v>923</v>
      </c>
      <c r="C49" s="96" t="s">
        <v>67</v>
      </c>
      <c r="D49" s="101">
        <v>1</v>
      </c>
      <c r="E49" s="101">
        <v>0</v>
      </c>
      <c r="F49" s="101">
        <v>1</v>
      </c>
      <c r="G49" s="98">
        <f>+VLOOKUP(Tabla110345345445545647936445366768594103116125135144236245266267351470[[#This Row],[ArtÃ­culo]],Tabla34[#All],3,0)</f>
        <v>25</v>
      </c>
      <c r="H49" s="99">
        <f>+Tabla110345345445545647936445366768594103116125135144236245266267351470[[#This Row],[Coste Componente]]*Tabla110345345445545647936445366768594103116125135144236245266267351470[[#This Row],[Unidades]]</f>
        <v>25</v>
      </c>
      <c r="I49" s="89"/>
      <c r="J49" s="93" t="s">
        <v>17</v>
      </c>
      <c r="K49" s="22">
        <f>+K45/K48</f>
        <v>0.22548033859083103</v>
      </c>
      <c r="M49" s="346"/>
    </row>
    <row r="50" spans="2:13" x14ac:dyDescent="0.25">
      <c r="B50" s="95" t="s">
        <v>801</v>
      </c>
      <c r="C50" s="96" t="s">
        <v>67</v>
      </c>
      <c r="D50" s="101">
        <v>5</v>
      </c>
      <c r="E50" s="101">
        <v>0</v>
      </c>
      <c r="F50" s="101">
        <v>5</v>
      </c>
      <c r="G50" s="98">
        <f>+VLOOKUP(Tabla110345345445545647936445366768594103116125135144236245266267351470[[#This Row],[ArtÃ­culo]],Tabla34[#All],3,0)</f>
        <v>87.08823529</v>
      </c>
      <c r="H50" s="99">
        <f>+Tabla110345345445545647936445366768594103116125135144236245266267351470[[#This Row],[Coste Componente]]*Tabla110345345445545647936445366768594103116125135144236245266267351470[[#This Row],[Unidades]]</f>
        <v>435.44117645</v>
      </c>
      <c r="I50" s="89"/>
      <c r="J50" s="93" t="s">
        <v>18</v>
      </c>
      <c r="K50" s="23">
        <f>+K48-K45</f>
        <v>33347.374310672552</v>
      </c>
      <c r="M50" s="346"/>
    </row>
    <row r="51" spans="2:13" x14ac:dyDescent="0.25">
      <c r="B51" s="104"/>
      <c r="C51" s="105"/>
      <c r="D51" s="105"/>
      <c r="E51" s="105"/>
      <c r="F51" s="105"/>
      <c r="G51" s="106"/>
      <c r="H51" s="106">
        <f>SUBTOTAL(109,Tabla110345345445545647936445366768594103116125135144236245266267351470[Coste LÃ­nea])</f>
        <v>8825.6193135300018</v>
      </c>
      <c r="I51" s="89"/>
      <c r="J51" s="93" t="s">
        <v>19</v>
      </c>
      <c r="K51" s="25">
        <f>+K50/K45</f>
        <v>3.4349764873054176</v>
      </c>
      <c r="M51" s="346"/>
    </row>
    <row r="52" spans="2:13" x14ac:dyDescent="0.25">
      <c r="I52" s="85"/>
    </row>
    <row r="54" spans="2:13" x14ac:dyDescent="0.25">
      <c r="I54" s="89"/>
    </row>
    <row r="55" spans="2:13" ht="15.6" x14ac:dyDescent="0.3">
      <c r="B55" s="86" t="s">
        <v>255</v>
      </c>
      <c r="C55" s="87"/>
      <c r="D55" s="87"/>
      <c r="E55" s="88"/>
      <c r="F55" s="88"/>
      <c r="G55" s="88"/>
      <c r="H55" s="88"/>
      <c r="J55" s="403" t="s">
        <v>0</v>
      </c>
      <c r="K55" s="403"/>
      <c r="M55" s="377" t="s">
        <v>1394</v>
      </c>
    </row>
    <row r="56" spans="2:13" x14ac:dyDescent="0.25">
      <c r="B56" s="90" t="s">
        <v>1</v>
      </c>
      <c r="C56" s="91" t="s">
        <v>2</v>
      </c>
      <c r="D56" s="91" t="s">
        <v>3</v>
      </c>
      <c r="E56" s="91" t="s">
        <v>920</v>
      </c>
      <c r="F56" s="91" t="s">
        <v>319</v>
      </c>
      <c r="G56" s="92" t="s">
        <v>4</v>
      </c>
      <c r="H56" s="92" t="s">
        <v>5</v>
      </c>
      <c r="J56" s="93" t="s">
        <v>6</v>
      </c>
      <c r="K56" s="94" t="e">
        <f>SUM(Tabla1103453454455456479455868778695108117127136228237352382406471[Total costo])</f>
        <v>#N/A</v>
      </c>
      <c r="M56" s="346"/>
    </row>
    <row r="57" spans="2:13" x14ac:dyDescent="0.25">
      <c r="B57" s="95" t="s">
        <v>1205</v>
      </c>
      <c r="C57" s="96" t="s">
        <v>605</v>
      </c>
      <c r="D57" s="101">
        <v>0.33</v>
      </c>
      <c r="E57" s="101">
        <v>0</v>
      </c>
      <c r="F57" s="101">
        <v>0.33</v>
      </c>
      <c r="G57" s="98">
        <f>+VLOOKUP(Tabla1103453454455456479455868778695108117127136228237352382406471[[#This Row],[Ingrediente]],Tabla34[#All],3,0)</f>
        <v>7833.75</v>
      </c>
      <c r="H57" s="99">
        <f>+Tabla1103453454455456479455868778695108117127136228237352382406471[[#This Row],[Costo]]*Tabla1103453454455456479455868778695108117127136228237352382406471[[#This Row],[Columna2]]</f>
        <v>2585.1375000000003</v>
      </c>
      <c r="J57" s="93" t="s">
        <v>12</v>
      </c>
      <c r="K57" s="100" t="e">
        <f>+K56*10%</f>
        <v>#N/A</v>
      </c>
      <c r="M57" s="346"/>
    </row>
    <row r="58" spans="2:13" x14ac:dyDescent="0.25">
      <c r="B58" s="95" t="s">
        <v>1334</v>
      </c>
      <c r="C58" s="96" t="s">
        <v>67</v>
      </c>
      <c r="D58" s="101">
        <v>80</v>
      </c>
      <c r="E58" s="101">
        <v>0</v>
      </c>
      <c r="F58" s="101">
        <v>80</v>
      </c>
      <c r="G58" s="98" t="e">
        <f>+VLOOKUP(Tabla1103453454455456479455868778695108117127136228237352382406471[[#This Row],[Ingrediente]],Tabla34[#All],3,0)</f>
        <v>#N/A</v>
      </c>
      <c r="H58" s="99" t="e">
        <f>+Tabla1103453454455456479455868778695108117127136228237352382406471[[#This Row],[Costo]]*Tabla1103453454455456479455868778695108117127136228237352382406471[[#This Row],[Columna2]]</f>
        <v>#N/A</v>
      </c>
      <c r="J58" s="93" t="s">
        <v>13</v>
      </c>
      <c r="K58" s="100" t="e">
        <f>+K56+K57</f>
        <v>#N/A</v>
      </c>
      <c r="M58" s="346"/>
    </row>
    <row r="59" spans="2:13" x14ac:dyDescent="0.25">
      <c r="B59" s="95" t="s">
        <v>661</v>
      </c>
      <c r="C59" s="96" t="s">
        <v>67</v>
      </c>
      <c r="D59" s="101">
        <v>1</v>
      </c>
      <c r="E59" s="101">
        <v>0</v>
      </c>
      <c r="F59" s="101">
        <v>1</v>
      </c>
      <c r="G59" s="98">
        <f>+VLOOKUP(Tabla1103453454455456479455868778695108117127136228237352382406471[[#This Row],[Ingrediente]],Tabla34[#All],3,0)</f>
        <v>358.54340000000002</v>
      </c>
      <c r="H59" s="99">
        <f>+Tabla1103453454455456479455868778695108117127136228237352382406471[[#This Row],[Costo]]*Tabla1103453454455456479455868778695108117127136228237352382406471[[#This Row],[Columna2]]</f>
        <v>358.54340000000002</v>
      </c>
      <c r="J59" s="102" t="s">
        <v>14</v>
      </c>
      <c r="K59" s="103">
        <v>39500</v>
      </c>
      <c r="M59" s="346"/>
    </row>
    <row r="60" spans="2:13" ht="14.4" x14ac:dyDescent="0.3">
      <c r="B60" s="95" t="s">
        <v>1335</v>
      </c>
      <c r="C60" s="96" t="s">
        <v>67</v>
      </c>
      <c r="D60" s="101">
        <v>5</v>
      </c>
      <c r="E60" s="101">
        <v>0</v>
      </c>
      <c r="F60" s="101">
        <v>5</v>
      </c>
      <c r="G60" s="98" t="e">
        <f>+VLOOKUP(Tabla1103453454455456479455868778695108117127136228237352382406471[[#This Row],[Ingrediente]],Tabla34[#All],3,0)</f>
        <v>#N/A</v>
      </c>
      <c r="H60" s="99" t="e">
        <f>+Tabla1103453454455456479455868778695108117127136228237352382406471[[#This Row],[Costo]]*Tabla1103453454455456479455868778695108117127136228237352382406471[[#This Row],[Columna2]]</f>
        <v>#N/A</v>
      </c>
      <c r="J60" s="93" t="s">
        <v>15</v>
      </c>
      <c r="K60" s="100">
        <f>+K59/1.08*0.08</f>
        <v>2925.9259259259261</v>
      </c>
      <c r="M60"/>
    </row>
    <row r="61" spans="2:13" ht="14.4" x14ac:dyDescent="0.3">
      <c r="B61" s="95" t="s">
        <v>186</v>
      </c>
      <c r="C61" s="96" t="s">
        <v>67</v>
      </c>
      <c r="D61" s="101">
        <v>2</v>
      </c>
      <c r="E61" s="101">
        <v>0</v>
      </c>
      <c r="F61" s="101">
        <v>2</v>
      </c>
      <c r="G61" s="98">
        <f>+VLOOKUP(Tabla1103453454455456479455868778695108117127136228237352382406471[[#This Row],[Ingrediente]],Tabla34[#All],3,0)</f>
        <v>233.07427392</v>
      </c>
      <c r="H61" s="99">
        <f>+Tabla1103453454455456479455868778695108117127136228237352382406471[[#This Row],[Costo]]*Tabla1103453454455456479455868778695108117127136228237352382406471[[#This Row],[Columna2]]</f>
        <v>466.14854783999999</v>
      </c>
      <c r="I61" s="89"/>
      <c r="J61" s="93" t="s">
        <v>16</v>
      </c>
      <c r="K61" s="100">
        <f>+K59-K60</f>
        <v>36574.074074074073</v>
      </c>
      <c r="M61" s="377" t="s">
        <v>1377</v>
      </c>
    </row>
    <row r="62" spans="2:13" x14ac:dyDescent="0.25">
      <c r="B62" s="104"/>
      <c r="C62" s="105"/>
      <c r="D62" s="105"/>
      <c r="E62" s="105"/>
      <c r="F62" s="105"/>
      <c r="G62" s="106"/>
      <c r="H62" s="106" t="e">
        <f>SUBTOTAL(109,Tabla1103453454455456479455868778695108117127136228237352382406471[Total costo])</f>
        <v>#N/A</v>
      </c>
      <c r="I62" s="89"/>
      <c r="J62" s="93" t="s">
        <v>17</v>
      </c>
      <c r="K62" s="22" t="e">
        <f>+K58/K61</f>
        <v>#N/A</v>
      </c>
      <c r="M62" s="346"/>
    </row>
    <row r="63" spans="2:13" x14ac:dyDescent="0.25">
      <c r="I63" s="89"/>
      <c r="J63" s="93" t="s">
        <v>18</v>
      </c>
      <c r="K63" s="23" t="e">
        <f>+K61-K58</f>
        <v>#N/A</v>
      </c>
      <c r="M63" s="346"/>
    </row>
    <row r="64" spans="2:13" x14ac:dyDescent="0.25">
      <c r="I64" s="89"/>
      <c r="J64" s="93" t="s">
        <v>19</v>
      </c>
      <c r="K64" s="25" t="e">
        <f>+K63/K58</f>
        <v>#N/A</v>
      </c>
      <c r="M64" s="346"/>
    </row>
    <row r="65" spans="2:13" x14ac:dyDescent="0.25">
      <c r="I65" s="89"/>
      <c r="J65" s="89"/>
      <c r="K65" s="31"/>
    </row>
    <row r="66" spans="2:13" x14ac:dyDescent="0.25">
      <c r="I66" s="89"/>
    </row>
    <row r="67" spans="2:13" x14ac:dyDescent="0.25">
      <c r="I67" s="89"/>
    </row>
    <row r="68" spans="2:13" ht="15.6" x14ac:dyDescent="0.3">
      <c r="B68" s="86" t="s">
        <v>577</v>
      </c>
      <c r="C68" s="87"/>
      <c r="D68" s="87"/>
      <c r="E68" s="88"/>
      <c r="F68" s="88"/>
      <c r="G68" s="88"/>
      <c r="H68" s="88"/>
      <c r="I68" s="89"/>
      <c r="J68" s="403" t="s">
        <v>0</v>
      </c>
      <c r="K68" s="403"/>
      <c r="M68" s="377" t="s">
        <v>1394</v>
      </c>
    </row>
    <row r="69" spans="2:13" x14ac:dyDescent="0.25">
      <c r="B69" s="90" t="s">
        <v>1</v>
      </c>
      <c r="C69" s="91" t="s">
        <v>2</v>
      </c>
      <c r="D69" s="91" t="s">
        <v>3</v>
      </c>
      <c r="E69" s="91" t="s">
        <v>920</v>
      </c>
      <c r="F69" s="91" t="s">
        <v>319</v>
      </c>
      <c r="G69" s="92" t="s">
        <v>4</v>
      </c>
      <c r="H69" s="92" t="s">
        <v>5</v>
      </c>
      <c r="I69" s="89"/>
      <c r="J69" s="93" t="s">
        <v>6</v>
      </c>
      <c r="K69" s="94">
        <f>SUM(Tabla1103453454455456479455868778695108117127136228237352382406240359436475[Total costo])</f>
        <v>10292.21723034</v>
      </c>
      <c r="M69" s="346"/>
    </row>
    <row r="70" spans="2:13" x14ac:dyDescent="0.25">
      <c r="B70" s="95" t="s">
        <v>304</v>
      </c>
      <c r="C70" s="96" t="s">
        <v>605</v>
      </c>
      <c r="D70" s="101">
        <v>2</v>
      </c>
      <c r="E70" s="101">
        <v>0</v>
      </c>
      <c r="F70" s="101">
        <v>2</v>
      </c>
      <c r="G70" s="98">
        <f>+VLOOKUP(Tabla1103453454455456479455868778695108117127136228237352382406240359436475[[#This Row],[Ingrediente]],Tabla34[#All],3,0)</f>
        <v>3771.9545454499998</v>
      </c>
      <c r="H70" s="99">
        <f>+Tabla1103453454455456479455868778695108117127136228237352382406240359436475[[#This Row],[Costo]]*Tabla1103453454455456479455868778695108117127136228237352382406240359436475[[#This Row],[Columna2]]</f>
        <v>7543.9090908999997</v>
      </c>
      <c r="I70" s="89"/>
      <c r="J70" s="93" t="s">
        <v>12</v>
      </c>
      <c r="K70" s="100">
        <f>+K69*10%</f>
        <v>1029.221723034</v>
      </c>
      <c r="M70" s="346"/>
    </row>
    <row r="71" spans="2:13" x14ac:dyDescent="0.25">
      <c r="B71" s="95" t="s">
        <v>1215</v>
      </c>
      <c r="C71" s="96" t="s">
        <v>605</v>
      </c>
      <c r="D71" s="101">
        <v>1</v>
      </c>
      <c r="E71" s="101">
        <v>0</v>
      </c>
      <c r="F71" s="101">
        <v>1</v>
      </c>
      <c r="G71" s="98">
        <f>+VLOOKUP(Tabla1103453454455456479455868778695108117127136228237352382406240359436475[[#This Row],[Ingrediente]],Tabla34[#All],3,0)</f>
        <v>1934.05172414</v>
      </c>
      <c r="H71" s="99">
        <f>+Tabla1103453454455456479455868778695108117127136228237352382406240359436475[[#This Row],[Costo]]*Tabla1103453454455456479455868778695108117127136228237352382406240359436475[[#This Row],[Columna2]]</f>
        <v>1934.05172414</v>
      </c>
      <c r="I71" s="89"/>
      <c r="J71" s="93" t="s">
        <v>13</v>
      </c>
      <c r="K71" s="100">
        <f>+K69+K70</f>
        <v>11321.438953374</v>
      </c>
      <c r="M71" s="346"/>
    </row>
    <row r="72" spans="2:13" x14ac:dyDescent="0.25">
      <c r="B72" s="95" t="s">
        <v>578</v>
      </c>
      <c r="C72" s="96" t="s">
        <v>67</v>
      </c>
      <c r="D72" s="101">
        <v>30</v>
      </c>
      <c r="E72" s="101">
        <v>0</v>
      </c>
      <c r="F72" s="101">
        <v>30</v>
      </c>
      <c r="G72" s="98">
        <f>+VLOOKUP(Tabla1103453454455456479455868778695108117127136228237352382406240359436475[[#This Row],[Ingrediente]],Tabla34[#All],3,0)</f>
        <v>3.6593364799999999</v>
      </c>
      <c r="H72" s="99">
        <f>+Tabla1103453454455456479455868778695108117127136228237352382406240359436475[[#This Row],[Costo]]*Tabla1103453454455456479455868778695108117127136228237352382406240359436475[[#This Row],[Columna2]]</f>
        <v>109.7800944</v>
      </c>
      <c r="J72" s="102" t="s">
        <v>14</v>
      </c>
      <c r="K72" s="103">
        <v>39500</v>
      </c>
      <c r="M72" s="346"/>
    </row>
    <row r="73" spans="2:13" ht="14.4" x14ac:dyDescent="0.3">
      <c r="B73" s="95" t="s">
        <v>1317</v>
      </c>
      <c r="C73" s="96" t="s">
        <v>67</v>
      </c>
      <c r="D73" s="101">
        <v>30</v>
      </c>
      <c r="E73" s="101">
        <v>0</v>
      </c>
      <c r="F73" s="101">
        <v>30</v>
      </c>
      <c r="G73" s="98">
        <f>+VLOOKUP(Tabla1103453454455456479455868778695108117127136228237352382406240359436475[[#This Row],[Ingrediente]],Tabla34[#All],3,0)</f>
        <v>4.1835440000000004</v>
      </c>
      <c r="H73" s="99">
        <f>+Tabla1103453454455456479455868778695108117127136228237352382406240359436475[[#This Row],[Costo]]*Tabla1103453454455456479455868778695108117127136228237352382406240359436475[[#This Row],[Columna2]]</f>
        <v>125.50632000000002</v>
      </c>
      <c r="J73" s="93" t="s">
        <v>15</v>
      </c>
      <c r="K73" s="100">
        <f>+K72/1.08*0.08</f>
        <v>2925.9259259259261</v>
      </c>
      <c r="M73"/>
    </row>
    <row r="74" spans="2:13" ht="14.4" x14ac:dyDescent="0.3">
      <c r="B74" s="95" t="s">
        <v>168</v>
      </c>
      <c r="C74" s="96" t="s">
        <v>67</v>
      </c>
      <c r="D74" s="101">
        <v>45</v>
      </c>
      <c r="E74" s="101">
        <v>0</v>
      </c>
      <c r="F74" s="101">
        <v>45</v>
      </c>
      <c r="G74" s="98">
        <f>+VLOOKUP(Tabla1103453454455456479455868778695108117127136228237352382406240359436475[[#This Row],[Ingrediente]],Tabla34[#All],3,0)</f>
        <v>10.86600002</v>
      </c>
      <c r="H74" s="99">
        <f>+Tabla1103453454455456479455868778695108117127136228237352382406240359436475[[#This Row],[Costo]]*Tabla1103453454455456479455868778695108117127136228237352382406240359436475[[#This Row],[Columna2]]</f>
        <v>488.9700009</v>
      </c>
      <c r="J74" s="93" t="s">
        <v>16</v>
      </c>
      <c r="K74" s="100">
        <f>+K72-K73</f>
        <v>36574.074074074073</v>
      </c>
      <c r="M74" s="377" t="s">
        <v>1377</v>
      </c>
    </row>
    <row r="75" spans="2:13" x14ac:dyDescent="0.25">
      <c r="B75" s="95" t="s">
        <v>746</v>
      </c>
      <c r="C75" s="96" t="s">
        <v>67</v>
      </c>
      <c r="D75" s="101">
        <v>5</v>
      </c>
      <c r="E75" s="101">
        <v>0</v>
      </c>
      <c r="F75" s="101">
        <v>5</v>
      </c>
      <c r="G75" s="98">
        <f>+VLOOKUP(Tabla1103453454455456479455868778695108117127136228237352382406240359436475[[#This Row],[Ingrediente]],Tabla34[#All],3,0)</f>
        <v>12</v>
      </c>
      <c r="H75" s="99">
        <f>+Tabla1103453454455456479455868778695108117127136228237352382406240359436475[[#This Row],[Costo]]*Tabla1103453454455456479455868778695108117127136228237352382406240359436475[[#This Row],[Columna2]]</f>
        <v>60</v>
      </c>
      <c r="I75" s="89"/>
      <c r="J75" s="93" t="s">
        <v>17</v>
      </c>
      <c r="K75" s="22">
        <f>+K71/K74</f>
        <v>0.3095482042947828</v>
      </c>
      <c r="M75" s="346"/>
    </row>
    <row r="76" spans="2:13" x14ac:dyDescent="0.25">
      <c r="B76" s="95" t="s">
        <v>810</v>
      </c>
      <c r="C76" s="96" t="s">
        <v>67</v>
      </c>
      <c r="D76" s="101">
        <v>5</v>
      </c>
      <c r="E76" s="101">
        <v>0</v>
      </c>
      <c r="F76" s="101">
        <v>5</v>
      </c>
      <c r="G76" s="98">
        <f>+VLOOKUP(Tabla1103453454455456479455868778695108117127136228237352382406240359436475[[#This Row],[Ingrediente]],Tabla34[#All],3,0)</f>
        <v>6</v>
      </c>
      <c r="H76" s="99">
        <f>+Tabla1103453454455456479455868778695108117127136228237352382406240359436475[[#This Row],[Costo]]*Tabla1103453454455456479455868778695108117127136228237352382406240359436475[[#This Row],[Columna2]]</f>
        <v>30</v>
      </c>
      <c r="I76" s="89"/>
      <c r="J76" s="93" t="s">
        <v>18</v>
      </c>
      <c r="K76" s="23">
        <f>+K74-K71</f>
        <v>25252.635120700073</v>
      </c>
      <c r="M76" s="346"/>
    </row>
    <row r="77" spans="2:13" x14ac:dyDescent="0.25">
      <c r="B77" s="104"/>
      <c r="C77" s="105"/>
      <c r="D77" s="105"/>
      <c r="E77" s="105"/>
      <c r="F77" s="105"/>
      <c r="G77" s="106"/>
      <c r="H77" s="106">
        <f>SUBTOTAL(109,Tabla1103453454455456479455868778695108117127136228237352382406240359436475[Total costo])</f>
        <v>10292.21723034</v>
      </c>
      <c r="I77" s="89"/>
      <c r="J77" s="93" t="s">
        <v>19</v>
      </c>
      <c r="K77" s="25">
        <f>+K76/K71</f>
        <v>2.2305146213922145</v>
      </c>
      <c r="M77" s="346"/>
    </row>
    <row r="78" spans="2:13" x14ac:dyDescent="0.25">
      <c r="I78" s="89"/>
    </row>
    <row r="79" spans="2:13" ht="15.6" x14ac:dyDescent="0.3">
      <c r="B79" s="86" t="s">
        <v>551</v>
      </c>
      <c r="C79" s="87"/>
      <c r="D79" s="87"/>
      <c r="E79" s="88"/>
      <c r="F79" s="88"/>
      <c r="G79" s="88"/>
      <c r="H79" s="88"/>
      <c r="I79" s="89"/>
      <c r="J79" s="403" t="s">
        <v>0</v>
      </c>
      <c r="K79" s="403"/>
      <c r="M79" s="377" t="s">
        <v>1394</v>
      </c>
    </row>
    <row r="80" spans="2:13" x14ac:dyDescent="0.25">
      <c r="B80" s="90" t="s">
        <v>857</v>
      </c>
      <c r="C80" s="91" t="s">
        <v>895</v>
      </c>
      <c r="D80" s="91" t="s">
        <v>892</v>
      </c>
      <c r="E80" s="91" t="s">
        <v>893</v>
      </c>
      <c r="F80" s="91" t="s">
        <v>894</v>
      </c>
      <c r="G80" s="92" t="s">
        <v>901</v>
      </c>
      <c r="H80" s="92" t="s">
        <v>902</v>
      </c>
      <c r="I80" s="89"/>
      <c r="J80" s="93" t="s">
        <v>6</v>
      </c>
      <c r="K80" s="94">
        <f>SUM(Tabla1103453454455456479455868778695108117127136228237352382406240359436475490[Coste LÃ­nea])</f>
        <v>12114.171766610001</v>
      </c>
      <c r="M80" s="346"/>
    </row>
    <row r="81" spans="2:13" x14ac:dyDescent="0.25">
      <c r="B81" s="95" t="s">
        <v>665</v>
      </c>
      <c r="C81" s="96" t="s">
        <v>605</v>
      </c>
      <c r="D81" s="101">
        <v>2</v>
      </c>
      <c r="E81" s="101">
        <v>0</v>
      </c>
      <c r="F81" s="101">
        <v>2</v>
      </c>
      <c r="G81" s="98">
        <f>+VLOOKUP(Tabla1103453454455456479455868778695108117127136228237352382406240359436475490[[#This Row],[ArtÃ­culo]],Tabla34[#All],3,0)</f>
        <v>2082.9166666699998</v>
      </c>
      <c r="H81" s="99">
        <f>+Tabla1103453454455456479455868778695108117127136228237352382406240359436475490[[#This Row],[Coste Componente]]*Tabla1103453454455456479455868778695108117127136228237352382406240359436475490[[#This Row],[Unidades]]</f>
        <v>4165.8333333399996</v>
      </c>
      <c r="I81" s="89"/>
      <c r="J81" s="93" t="s">
        <v>12</v>
      </c>
      <c r="K81" s="100">
        <f>+K80*10%</f>
        <v>1211.4171766610002</v>
      </c>
      <c r="M81" s="346"/>
    </row>
    <row r="82" spans="2:13" x14ac:dyDescent="0.25">
      <c r="B82" s="95" t="s">
        <v>825</v>
      </c>
      <c r="C82" s="96" t="s">
        <v>605</v>
      </c>
      <c r="D82" s="101">
        <v>1</v>
      </c>
      <c r="E82" s="101">
        <v>0</v>
      </c>
      <c r="F82" s="101">
        <v>1</v>
      </c>
      <c r="G82" s="98">
        <f>+VLOOKUP(Tabla1103453454455456479455868778695108117127136228237352382406240359436475490[[#This Row],[ArtÃ­culo]],Tabla34[#All],3,0)</f>
        <v>3704.75</v>
      </c>
      <c r="H82" s="99">
        <f>+Tabla1103453454455456479455868778695108117127136228237352382406240359436475490[[#This Row],[Coste Componente]]*Tabla1103453454455456479455868778695108117127136228237352382406240359436475490[[#This Row],[Unidades]]</f>
        <v>3704.75</v>
      </c>
      <c r="I82" s="89"/>
      <c r="J82" s="93" t="s">
        <v>13</v>
      </c>
      <c r="K82" s="100">
        <f>+K80+K81</f>
        <v>13325.588943271001</v>
      </c>
      <c r="M82" s="346"/>
    </row>
    <row r="83" spans="2:13" x14ac:dyDescent="0.25">
      <c r="B83" s="95" t="s">
        <v>1215</v>
      </c>
      <c r="C83" s="96" t="s">
        <v>605</v>
      </c>
      <c r="D83" s="101">
        <v>1</v>
      </c>
      <c r="E83" s="101">
        <v>0</v>
      </c>
      <c r="F83" s="101">
        <v>1</v>
      </c>
      <c r="G83" s="98">
        <f>+VLOOKUP(Tabla1103453454455456479455868778695108117127136228237352382406240359436475490[[#This Row],[ArtÃ­culo]],Tabla34[#All],3,0)</f>
        <v>1934.05172414</v>
      </c>
      <c r="H83" s="99">
        <f>+Tabla1103453454455456479455868778695108117127136228237352382406240359436475490[[#This Row],[Coste Componente]]*Tabla1103453454455456479455868778695108117127136228237352382406240359436475490[[#This Row],[Unidades]]</f>
        <v>1934.05172414</v>
      </c>
      <c r="I83" s="89"/>
      <c r="J83" s="102" t="s">
        <v>14</v>
      </c>
      <c r="K83" s="103">
        <v>46500</v>
      </c>
      <c r="M83" s="346"/>
    </row>
    <row r="84" spans="2:13" ht="14.4" x14ac:dyDescent="0.3">
      <c r="B84" s="95" t="s">
        <v>146</v>
      </c>
      <c r="C84" s="96" t="s">
        <v>67</v>
      </c>
      <c r="D84" s="101">
        <v>30</v>
      </c>
      <c r="E84" s="101">
        <v>0</v>
      </c>
      <c r="F84" s="101">
        <v>30</v>
      </c>
      <c r="G84" s="98">
        <f>+VLOOKUP(Tabla1103453454455456479455868778695108117127136228237352382406240359436475490[[#This Row],[ArtÃ­culo]],Tabla34[#All],3,0)</f>
        <v>11.36127894</v>
      </c>
      <c r="H84" s="99">
        <f>+Tabla1103453454455456479455868778695108117127136228237352382406240359436475490[[#This Row],[Coste Componente]]*Tabla1103453454455456479455868778695108117127136228237352382406240359436475490[[#This Row],[Unidades]]</f>
        <v>340.83836819999999</v>
      </c>
      <c r="J84" s="93" t="s">
        <v>15</v>
      </c>
      <c r="K84" s="100">
        <f>+K83/1.08*0.08</f>
        <v>3444.4444444444443</v>
      </c>
      <c r="M84"/>
    </row>
    <row r="85" spans="2:13" ht="14.4" x14ac:dyDescent="0.3">
      <c r="B85" s="95" t="s">
        <v>807</v>
      </c>
      <c r="C85" s="96" t="s">
        <v>67</v>
      </c>
      <c r="D85" s="101">
        <v>1</v>
      </c>
      <c r="E85" s="101">
        <v>0</v>
      </c>
      <c r="F85" s="101">
        <v>1</v>
      </c>
      <c r="G85" s="98">
        <f>+VLOOKUP(Tabla1103453454455456479455868778695108117127136228237352382406240359436475490[[#This Row],[ArtÃ­culo]],Tabla34[#All],3,0)</f>
        <v>126.00709132999999</v>
      </c>
      <c r="H85" s="99">
        <f>+Tabla1103453454455456479455868778695108117127136228237352382406240359436475490[[#This Row],[Coste Componente]]*Tabla1103453454455456479455868778695108117127136228237352382406240359436475490[[#This Row],[Unidades]]</f>
        <v>126.00709132999999</v>
      </c>
      <c r="J85" s="93" t="s">
        <v>16</v>
      </c>
      <c r="K85" s="100">
        <f>+K83-K84</f>
        <v>43055.555555555555</v>
      </c>
      <c r="M85" s="377" t="s">
        <v>1377</v>
      </c>
    </row>
    <row r="86" spans="2:13" x14ac:dyDescent="0.25">
      <c r="B86" s="95" t="s">
        <v>168</v>
      </c>
      <c r="C86" s="96" t="s">
        <v>67</v>
      </c>
      <c r="D86" s="101">
        <v>15</v>
      </c>
      <c r="E86" s="101">
        <v>0</v>
      </c>
      <c r="F86" s="101">
        <v>15</v>
      </c>
      <c r="G86" s="98">
        <f>+VLOOKUP(Tabla1103453454455456479455868778695108117127136228237352382406240359436475490[[#This Row],[ArtÃ­culo]],Tabla34[#All],3,0)</f>
        <v>10.86600002</v>
      </c>
      <c r="H86" s="99">
        <f>+Tabla1103453454455456479455868778695108117127136228237352382406240359436475490[[#This Row],[Coste Componente]]*Tabla1103453454455456479455868778695108117127136228237352382406240359436475490[[#This Row],[Unidades]]</f>
        <v>162.99000029999999</v>
      </c>
      <c r="J86" s="93" t="s">
        <v>17</v>
      </c>
      <c r="K86" s="22">
        <f>+K82/K85</f>
        <v>0.30949754965016518</v>
      </c>
      <c r="M86" s="346"/>
    </row>
    <row r="87" spans="2:13" x14ac:dyDescent="0.25">
      <c r="B87" s="95" t="s">
        <v>164</v>
      </c>
      <c r="C87" s="96" t="s">
        <v>67</v>
      </c>
      <c r="D87" s="101">
        <v>10</v>
      </c>
      <c r="E87" s="101">
        <v>0</v>
      </c>
      <c r="F87" s="101">
        <v>10</v>
      </c>
      <c r="G87" s="98">
        <f>+VLOOKUP(Tabla1103453454455456479455868778695108117127136228237352382406240359436475490[[#This Row],[ArtÃ­culo]],Tabla34[#All],3,0)</f>
        <v>11.370124929999999</v>
      </c>
      <c r="H87" s="99">
        <f>+Tabla1103453454455456479455868778695108117127136228237352382406240359436475490[[#This Row],[Coste Componente]]*Tabla1103453454455456479455868778695108117127136228237352382406240359436475490[[#This Row],[Unidades]]</f>
        <v>113.7012493</v>
      </c>
      <c r="J87" s="93" t="s">
        <v>18</v>
      </c>
      <c r="K87" s="23">
        <f>+K85-K82</f>
        <v>29729.966612284552</v>
      </c>
    </row>
    <row r="88" spans="2:13" x14ac:dyDescent="0.25">
      <c r="B88" s="95" t="s">
        <v>183</v>
      </c>
      <c r="C88" s="96" t="s">
        <v>67</v>
      </c>
      <c r="D88" s="101">
        <v>50</v>
      </c>
      <c r="E88" s="101">
        <v>0</v>
      </c>
      <c r="F88" s="101">
        <v>50</v>
      </c>
      <c r="G88" s="98">
        <f>+VLOOKUP(Tabla1103453454455456479455868778695108117127136228237352382406240359436475490[[#This Row],[ArtÃ­culo]],Tabla34[#All],3,0)</f>
        <v>1</v>
      </c>
      <c r="H88" s="99">
        <f>+Tabla1103453454455456479455868778695108117127136228237352382406240359436475490[[#This Row],[Coste Componente]]*Tabla1103453454455456479455868778695108117127136228237352382406240359436475490[[#This Row],[Unidades]]</f>
        <v>50</v>
      </c>
      <c r="I88" s="89"/>
      <c r="J88" s="93" t="s">
        <v>19</v>
      </c>
      <c r="K88" s="25">
        <f>+K87/K82</f>
        <v>2.231043351168148</v>
      </c>
    </row>
    <row r="89" spans="2:13" x14ac:dyDescent="0.25">
      <c r="B89" s="95" t="s">
        <v>751</v>
      </c>
      <c r="C89" s="96" t="s">
        <v>67</v>
      </c>
      <c r="D89" s="101">
        <v>1</v>
      </c>
      <c r="E89" s="101">
        <v>0</v>
      </c>
      <c r="F89" s="101">
        <v>1</v>
      </c>
      <c r="G89" s="98">
        <f>+VLOOKUP(Tabla1103453454455456479455868778695108117127136228237352382406240359436475490[[#This Row],[ArtÃ­culo]],Tabla34[#All],3,0)</f>
        <v>16</v>
      </c>
      <c r="H89" s="99">
        <f>+Tabla1103453454455456479455868778695108117127136228237352382406240359436475490[[#This Row],[Coste Componente]]*Tabla1103453454455456479455868778695108117127136228237352382406240359436475490[[#This Row],[Unidades]]</f>
        <v>16</v>
      </c>
      <c r="I89" s="89"/>
    </row>
    <row r="90" spans="2:13" x14ac:dyDescent="0.25">
      <c r="B90" s="95" t="s">
        <v>758</v>
      </c>
      <c r="C90" s="96" t="s">
        <v>67</v>
      </c>
      <c r="D90" s="101">
        <v>1</v>
      </c>
      <c r="E90" s="101">
        <v>0</v>
      </c>
      <c r="F90" s="101">
        <v>1</v>
      </c>
      <c r="G90" s="98">
        <f>+VLOOKUP(Tabla1103453454455456479455868778695108117127136228237352382406240359436475490[[#This Row],[ArtÃ­culo]],Tabla34[#All],3,0)</f>
        <v>1500</v>
      </c>
      <c r="H90" s="99">
        <f>+Tabla1103453454455456479455868778695108117127136228237352382406240359436475490[[#This Row],[Coste Componente]]*Tabla1103453454455456479455868778695108117127136228237352382406240359436475490[[#This Row],[Unidades]]</f>
        <v>1500</v>
      </c>
      <c r="I90" s="89"/>
    </row>
    <row r="91" spans="2:13" x14ac:dyDescent="0.25">
      <c r="B91" s="104"/>
      <c r="C91" s="105"/>
      <c r="D91" s="105"/>
      <c r="E91" s="105"/>
      <c r="F91" s="105"/>
      <c r="G91" s="106"/>
      <c r="H91" s="106">
        <f>SUBTOTAL(109,Tabla1103453454455456479455868778695108117127136228237352382406240359436475490[Coste LÃ­nea])</f>
        <v>12114.171766610001</v>
      </c>
      <c r="I91" s="89"/>
    </row>
    <row r="92" spans="2:13" x14ac:dyDescent="0.25">
      <c r="I92" s="89"/>
    </row>
    <row r="93" spans="2:13" x14ac:dyDescent="0.25">
      <c r="I93" s="89"/>
    </row>
    <row r="94" spans="2:13" x14ac:dyDescent="0.25">
      <c r="I94" s="89"/>
    </row>
    <row r="95" spans="2:13" ht="15.6" x14ac:dyDescent="0.3">
      <c r="B95" s="86" t="s">
        <v>873</v>
      </c>
      <c r="C95" s="87"/>
      <c r="D95" s="87"/>
      <c r="E95" s="88"/>
      <c r="F95" s="88"/>
      <c r="G95" s="88"/>
      <c r="H95" s="88"/>
      <c r="I95" s="89"/>
      <c r="J95" s="403" t="s">
        <v>0</v>
      </c>
      <c r="K95" s="403"/>
      <c r="M95" s="377" t="s">
        <v>1394</v>
      </c>
    </row>
    <row r="96" spans="2:13" x14ac:dyDescent="0.25">
      <c r="B96" s="90" t="s">
        <v>857</v>
      </c>
      <c r="C96" s="91" t="s">
        <v>895</v>
      </c>
      <c r="D96" s="91" t="s">
        <v>892</v>
      </c>
      <c r="E96" s="91" t="s">
        <v>893</v>
      </c>
      <c r="F96" s="91" t="s">
        <v>894</v>
      </c>
      <c r="G96" s="92" t="s">
        <v>901</v>
      </c>
      <c r="H96" s="92" t="s">
        <v>902</v>
      </c>
      <c r="I96" s="89"/>
      <c r="J96" s="93" t="s">
        <v>6</v>
      </c>
      <c r="K96" s="94">
        <f>SUM(Tabla1103453454455456479455868778695108117127136228237352382406240359436476479237[Coste LÃ­nea])</f>
        <v>9594.1300439993993</v>
      </c>
      <c r="M96" s="346"/>
    </row>
    <row r="97" spans="2:13" x14ac:dyDescent="0.25">
      <c r="B97" s="95" t="s">
        <v>660</v>
      </c>
      <c r="C97" s="96" t="s">
        <v>605</v>
      </c>
      <c r="D97" s="101">
        <v>1.66</v>
      </c>
      <c r="E97" s="101">
        <v>0</v>
      </c>
      <c r="F97" s="101">
        <v>1.66</v>
      </c>
      <c r="G97" s="98">
        <f>+VLOOKUP(Tabla1103453454455456479455868778695108117127136228237352382406240359436476479237[[#This Row],[ArtÃ­culo]],Tabla34[#All],3,0)</f>
        <v>3359</v>
      </c>
      <c r="H97" s="99">
        <f>+Tabla1103453454455456479455868778695108117127136228237352382406240359436476479237[[#This Row],[Coste Componente]]*Tabla1103453454455456479455868778695108117127136228237352382406240359436476479237[[#This Row],[Unidades]]</f>
        <v>5575.94</v>
      </c>
      <c r="J97" s="93" t="s">
        <v>12</v>
      </c>
      <c r="K97" s="100">
        <f>+K96*10%</f>
        <v>959.41300439993995</v>
      </c>
      <c r="M97" s="346"/>
    </row>
    <row r="98" spans="2:13" x14ac:dyDescent="0.25">
      <c r="B98" s="95" t="s">
        <v>574</v>
      </c>
      <c r="C98" s="96" t="s">
        <v>605</v>
      </c>
      <c r="D98" s="101">
        <v>0.33</v>
      </c>
      <c r="E98" s="101">
        <v>0</v>
      </c>
      <c r="F98" s="101">
        <v>0.33</v>
      </c>
      <c r="G98" s="98">
        <f>+VLOOKUP(Tabla1103453454455456479455868778695108117127136228237352382406240359436476479237[[#This Row],[ArtÃ­culo]],Tabla34[#All],3,0)</f>
        <v>4320.1818181799999</v>
      </c>
      <c r="H98" s="99">
        <f>+Tabla1103453454455456479455868778695108117127136228237352382406240359436476479237[[#This Row],[Coste Componente]]*Tabla1103453454455456479455868778695108117127136228237352382406240359436476479237[[#This Row],[Unidades]]</f>
        <v>1425.6599999994</v>
      </c>
      <c r="J98" s="93" t="s">
        <v>13</v>
      </c>
      <c r="K98" s="100">
        <f>+K96+K97</f>
        <v>10553.543048399339</v>
      </c>
      <c r="M98" s="346"/>
    </row>
    <row r="99" spans="2:13" x14ac:dyDescent="0.25">
      <c r="B99" s="95" t="s">
        <v>134</v>
      </c>
      <c r="C99" s="96" t="s">
        <v>67</v>
      </c>
      <c r="D99" s="108">
        <v>20</v>
      </c>
      <c r="E99" s="101">
        <v>0</v>
      </c>
      <c r="F99" s="101">
        <v>20</v>
      </c>
      <c r="G99" s="98">
        <f>+VLOOKUP(Tabla1103453454455456479455868778695108117127136228237352382406240359436476479237[[#This Row],[ArtÃ­culo]],Tabla34[#All],3,0)</f>
        <v>5.7702915900000002</v>
      </c>
      <c r="H99" s="99">
        <f>+Tabla1103453454455456479455868778695108117127136228237352382406240359436476479237[[#This Row],[Coste Componente]]*Tabla1103453454455456479455868778695108117127136228237352382406240359436476479237[[#This Row],[Unidades]]</f>
        <v>115.4058318</v>
      </c>
      <c r="J99" s="102" t="s">
        <v>14</v>
      </c>
      <c r="K99" s="103">
        <v>46500</v>
      </c>
      <c r="M99" s="346"/>
    </row>
    <row r="100" spans="2:13" ht="14.4" x14ac:dyDescent="0.3">
      <c r="B100" s="95" t="s">
        <v>168</v>
      </c>
      <c r="C100" s="96" t="s">
        <v>67</v>
      </c>
      <c r="D100" s="101">
        <v>20</v>
      </c>
      <c r="E100" s="101">
        <v>0</v>
      </c>
      <c r="F100" s="101">
        <v>20</v>
      </c>
      <c r="G100" s="98">
        <f>+VLOOKUP(Tabla1103453454455456479455868778695108117127136228237352382406240359436476479237[[#This Row],[ArtÃ­culo]],Tabla34[#All],3,0)</f>
        <v>10.86600002</v>
      </c>
      <c r="H100" s="99">
        <f>+Tabla1103453454455456479455868778695108117127136228237352382406240359436476479237[[#This Row],[Coste Componente]]*Tabla1103453454455456479455868778695108117127136228237352382406240359436476479237[[#This Row],[Unidades]]</f>
        <v>217.3200004</v>
      </c>
      <c r="J100" s="93" t="s">
        <v>15</v>
      </c>
      <c r="K100" s="100">
        <f>+K99/1.08*0.08</f>
        <v>3444.4444444444443</v>
      </c>
      <c r="M100"/>
    </row>
    <row r="101" spans="2:13" ht="14.4" x14ac:dyDescent="0.3">
      <c r="B101" s="95" t="s">
        <v>804</v>
      </c>
      <c r="C101" s="96" t="s">
        <v>67</v>
      </c>
      <c r="D101" s="101">
        <v>20</v>
      </c>
      <c r="E101" s="101">
        <v>0</v>
      </c>
      <c r="F101" s="101">
        <v>20</v>
      </c>
      <c r="G101" s="98">
        <f>+VLOOKUP(Tabla1103453454455456479455868778695108117127136228237352382406240359436476479237[[#This Row],[ArtÃ­culo]],Tabla34[#All],3,0)</f>
        <v>90.990210590000004</v>
      </c>
      <c r="H101" s="99">
        <f>+Tabla1103453454455456479455868778695108117127136228237352382406240359436476479237[[#This Row],[Coste Componente]]*Tabla1103453454455456479455868778695108117127136228237352382406240359436476479237[[#This Row],[Unidades]]</f>
        <v>1819.8042118000001</v>
      </c>
      <c r="J101" s="93" t="s">
        <v>16</v>
      </c>
      <c r="K101" s="100">
        <f>+K99-K100</f>
        <v>43055.555555555555</v>
      </c>
      <c r="M101" s="377" t="s">
        <v>1377</v>
      </c>
    </row>
    <row r="102" spans="2:13" x14ac:dyDescent="0.25">
      <c r="B102" s="95" t="s">
        <v>886</v>
      </c>
      <c r="C102" s="96" t="s">
        <v>67</v>
      </c>
      <c r="D102" s="101">
        <v>1</v>
      </c>
      <c r="E102" s="101">
        <v>0</v>
      </c>
      <c r="F102" s="101">
        <v>1</v>
      </c>
      <c r="G102" s="98">
        <f>+VLOOKUP(Tabla1103453454455456479455868778695108117127136228237352382406240359436476479237[[#This Row],[ArtÃ­culo]],Tabla34[#All],3,0)</f>
        <v>350</v>
      </c>
      <c r="H102" s="99">
        <f>+Tabla1103453454455456479455868778695108117127136228237352382406240359436476479237[[#This Row],[Coste Componente]]*Tabla1103453454455456479455868778695108117127136228237352382406240359436476479237[[#This Row],[Unidades]]</f>
        <v>350</v>
      </c>
      <c r="J102" s="93" t="s">
        <v>17</v>
      </c>
      <c r="K102" s="22">
        <f>+K98/K101</f>
        <v>0.24511454822088788</v>
      </c>
      <c r="M102" s="346"/>
    </row>
    <row r="103" spans="2:13" x14ac:dyDescent="0.25">
      <c r="B103" s="95" t="s">
        <v>721</v>
      </c>
      <c r="C103" s="96" t="s">
        <v>67</v>
      </c>
      <c r="D103" s="101">
        <v>1</v>
      </c>
      <c r="E103" s="101">
        <v>0</v>
      </c>
      <c r="F103" s="101">
        <v>1</v>
      </c>
      <c r="G103" s="98">
        <f>+VLOOKUP(Tabla1103453454455456479455868778695108117127136228237352382406240359436476479237[[#This Row],[ArtÃ­culo]],Tabla34[#All],3,0)</f>
        <v>90</v>
      </c>
      <c r="H103" s="99">
        <f>+Tabla1103453454455456479455868778695108117127136228237352382406240359436476479237[[#This Row],[Coste Componente]]*Tabla1103453454455456479455868778695108117127136228237352382406240359436476479237[[#This Row],[Unidades]]</f>
        <v>90</v>
      </c>
      <c r="J103" s="93" t="s">
        <v>18</v>
      </c>
      <c r="K103" s="23">
        <f>+K101-K98</f>
        <v>32502.012507156214</v>
      </c>
    </row>
    <row r="104" spans="2:13" x14ac:dyDescent="0.25">
      <c r="B104" s="104"/>
      <c r="C104" s="105"/>
      <c r="D104" s="105"/>
      <c r="E104" s="105"/>
      <c r="F104" s="105"/>
      <c r="G104" s="106"/>
      <c r="H104" s="106">
        <f>SUBTOTAL(109,Tabla1103453454455456479455868778695108117127136228237352382406240359436476479237[Coste LÃ­nea])</f>
        <v>9594.1300439993993</v>
      </c>
      <c r="I104" s="89"/>
      <c r="J104" s="93" t="s">
        <v>19</v>
      </c>
      <c r="K104" s="25">
        <f>+K103/K98</f>
        <v>3.0797252030052422</v>
      </c>
    </row>
    <row r="105" spans="2:13" ht="14.4" x14ac:dyDescent="0.3">
      <c r="G105"/>
      <c r="I105" s="89"/>
    </row>
    <row r="106" spans="2:13" x14ac:dyDescent="0.25">
      <c r="I106" s="89"/>
    </row>
    <row r="107" spans="2:13" x14ac:dyDescent="0.25">
      <c r="I107" s="89"/>
    </row>
    <row r="108" spans="2:13" x14ac:dyDescent="0.25">
      <c r="I108" s="89"/>
    </row>
    <row r="109" spans="2:13" ht="15.6" x14ac:dyDescent="0.3">
      <c r="B109" s="86" t="s">
        <v>1129</v>
      </c>
      <c r="C109" s="87"/>
      <c r="D109" s="87"/>
      <c r="E109" s="88"/>
      <c r="F109" s="88"/>
      <c r="G109" s="88"/>
      <c r="H109" s="88"/>
      <c r="I109" s="89"/>
      <c r="J109" s="403" t="s">
        <v>0</v>
      </c>
      <c r="K109" s="403"/>
      <c r="M109" s="377" t="s">
        <v>1394</v>
      </c>
    </row>
    <row r="110" spans="2:13" x14ac:dyDescent="0.25">
      <c r="B110" s="90" t="s">
        <v>857</v>
      </c>
      <c r="C110" s="91" t="s">
        <v>895</v>
      </c>
      <c r="D110" s="91" t="s">
        <v>892</v>
      </c>
      <c r="E110" s="91" t="s">
        <v>893</v>
      </c>
      <c r="F110" s="91" t="s">
        <v>894</v>
      </c>
      <c r="G110" s="92" t="s">
        <v>901</v>
      </c>
      <c r="H110" s="92" t="s">
        <v>902</v>
      </c>
      <c r="I110" s="89"/>
      <c r="J110" s="93" t="s">
        <v>6</v>
      </c>
      <c r="K110" s="94">
        <f>SUM(Tabla110345345445545647945586877869510811712713622823735238240624035943647647923763[Coste LÃ­nea])</f>
        <v>8545.3758338349999</v>
      </c>
      <c r="M110" s="346"/>
    </row>
    <row r="111" spans="2:13" x14ac:dyDescent="0.25">
      <c r="B111" s="95" t="s">
        <v>168</v>
      </c>
      <c r="C111" s="96" t="s">
        <v>67</v>
      </c>
      <c r="D111" s="101">
        <v>30</v>
      </c>
      <c r="E111" s="101">
        <v>0</v>
      </c>
      <c r="F111" s="101">
        <v>30</v>
      </c>
      <c r="G111" s="98">
        <f>+VLOOKUP(Tabla110345345445545647945586877869510811712713622823735238240624035943647647923763[[#This Row],[ArtÃ­culo]],Tabla34[#All],3,0)</f>
        <v>10.86600002</v>
      </c>
      <c r="H111" s="99">
        <f>+Tabla110345345445545647945586877869510811712713622823735238240624035943647647923763[[#This Row],[Coste Componente]]*Tabla110345345445545647945586877869510811712713622823735238240624035943647647923763[[#This Row],[Unidades]]</f>
        <v>325.98000059999998</v>
      </c>
      <c r="I111" s="89"/>
      <c r="J111" s="93" t="s">
        <v>12</v>
      </c>
      <c r="K111" s="100">
        <f>+K110*10%</f>
        <v>854.53758338350008</v>
      </c>
      <c r="M111" s="346"/>
    </row>
    <row r="112" spans="2:13" x14ac:dyDescent="0.25">
      <c r="B112" s="95" t="s">
        <v>1130</v>
      </c>
      <c r="C112" s="96" t="s">
        <v>67</v>
      </c>
      <c r="D112" s="101">
        <v>30</v>
      </c>
      <c r="E112" s="101">
        <v>0</v>
      </c>
      <c r="F112" s="101">
        <v>30</v>
      </c>
      <c r="G112" s="98">
        <f>+VLOOKUP(Tabla110345345445545647945586877869510811712713622823735238240624035943647647923763[[#This Row],[ArtÃ­culo]],Tabla34[#All],3,0)</f>
        <v>4.2533333300000002</v>
      </c>
      <c r="H112" s="99">
        <f>+Tabla110345345445545647945586877869510811712713622823735238240624035943647647923763[[#This Row],[Coste Componente]]*Tabla110345345445545647945586877869510811712713622823735238240624035943647647923763[[#This Row],[Unidades]]</f>
        <v>127.5999999</v>
      </c>
      <c r="I112" s="89"/>
      <c r="J112" s="93" t="s">
        <v>13</v>
      </c>
      <c r="K112" s="100">
        <f>+K110+K111</f>
        <v>9399.9134172185004</v>
      </c>
      <c r="M112" s="346"/>
    </row>
    <row r="113" spans="2:13" x14ac:dyDescent="0.25">
      <c r="B113" s="95" t="s">
        <v>660</v>
      </c>
      <c r="C113" s="96" t="s">
        <v>605</v>
      </c>
      <c r="D113" s="108">
        <v>2</v>
      </c>
      <c r="E113" s="101">
        <v>0</v>
      </c>
      <c r="F113" s="101">
        <v>2</v>
      </c>
      <c r="G113" s="98">
        <f>+VLOOKUP(Tabla110345345445545647945586877869510811712713622823735238240624035943647647923763[[#This Row],[ArtÃ­culo]],Tabla34[#All],3,0)</f>
        <v>3359</v>
      </c>
      <c r="H113" s="99">
        <f>+Tabla110345345445545647945586877869510811712713622823735238240624035943647647923763[[#This Row],[Coste Componente]]*Tabla110345345445545647945586877869510811712713622823735238240624035943647647923763[[#This Row],[Unidades]]</f>
        <v>6718</v>
      </c>
      <c r="J113" s="102" t="s">
        <v>14</v>
      </c>
      <c r="K113" s="103"/>
      <c r="M113" s="346"/>
    </row>
    <row r="114" spans="2:13" ht="14.4" x14ac:dyDescent="0.3">
      <c r="B114" s="95" t="s">
        <v>226</v>
      </c>
      <c r="C114" s="96" t="s">
        <v>847</v>
      </c>
      <c r="D114" s="101">
        <v>0.5</v>
      </c>
      <c r="E114" s="101">
        <v>0</v>
      </c>
      <c r="F114" s="101">
        <v>0.5</v>
      </c>
      <c r="G114" s="98">
        <f>+VLOOKUP(Tabla110345345445545647945586877869510811712713622823735238240624035943647647923763[[#This Row],[ArtÃ­culo]],Tabla34[#All],3,0)</f>
        <v>1497.59166667</v>
      </c>
      <c r="H114" s="99">
        <f>+Tabla110345345445545647945586877869510811712713622823735238240624035943647647923763[[#This Row],[Coste Componente]]*Tabla110345345445545647945586877869510811712713622823735238240624035943647647923763[[#This Row],[Unidades]]</f>
        <v>748.795833335</v>
      </c>
      <c r="J114" s="93" t="s">
        <v>15</v>
      </c>
      <c r="K114" s="100">
        <f>+K113/1.08*0.08</f>
        <v>0</v>
      </c>
      <c r="M114"/>
    </row>
    <row r="115" spans="2:13" ht="14.4" x14ac:dyDescent="0.3">
      <c r="B115" s="95" t="s">
        <v>1131</v>
      </c>
      <c r="C115" s="96" t="s">
        <v>67</v>
      </c>
      <c r="D115" s="101">
        <v>5</v>
      </c>
      <c r="E115" s="101">
        <v>0</v>
      </c>
      <c r="F115" s="101">
        <v>5</v>
      </c>
      <c r="G115" s="98">
        <f>+VLOOKUP(Tabla110345345445545647945586877869510811712713622823735238240624035943647647923763[[#This Row],[ArtÃ­culo]],Tabla34[#All],3,0)</f>
        <v>17</v>
      </c>
      <c r="H115" s="99">
        <f>+Tabla110345345445545647945586877869510811712713622823735238240624035943647647923763[[#This Row],[Coste Componente]]*Tabla110345345445545647945586877869510811712713622823735238240624035943647647923763[[#This Row],[Unidades]]</f>
        <v>85</v>
      </c>
      <c r="J115" s="93" t="s">
        <v>16</v>
      </c>
      <c r="K115" s="100">
        <f>+K113-K114</f>
        <v>0</v>
      </c>
      <c r="M115" s="377" t="s">
        <v>1377</v>
      </c>
    </row>
    <row r="116" spans="2:13" x14ac:dyDescent="0.25">
      <c r="B116" s="95" t="s">
        <v>183</v>
      </c>
      <c r="C116" s="96" t="s">
        <v>67</v>
      </c>
      <c r="D116" s="101">
        <v>180</v>
      </c>
      <c r="E116" s="101">
        <v>0</v>
      </c>
      <c r="F116" s="101">
        <v>180</v>
      </c>
      <c r="G116" s="98">
        <f>+VLOOKUP(Tabla110345345445545647945586877869510811712713622823735238240624035943647647923763[[#This Row],[ArtÃ­culo]],Tabla34[#All],3,0)</f>
        <v>1</v>
      </c>
      <c r="H116" s="99">
        <f>+Tabla110345345445545647945586877869510811712713622823735238240624035943647647923763[[#This Row],[Coste Componente]]*Tabla110345345445545647945586877869510811712713622823735238240624035943647647923763[[#This Row],[Unidades]]</f>
        <v>180</v>
      </c>
      <c r="J116" s="93" t="s">
        <v>17</v>
      </c>
      <c r="K116" s="22" t="e">
        <f>+K112/K115</f>
        <v>#DIV/0!</v>
      </c>
      <c r="M116" s="346"/>
    </row>
    <row r="117" spans="2:13" x14ac:dyDescent="0.25">
      <c r="B117" s="95" t="s">
        <v>1132</v>
      </c>
      <c r="C117" s="96" t="s">
        <v>67</v>
      </c>
      <c r="D117" s="101">
        <v>60</v>
      </c>
      <c r="E117" s="101">
        <v>0</v>
      </c>
      <c r="F117" s="101">
        <v>60</v>
      </c>
      <c r="G117" s="98">
        <f>+VLOOKUP(Tabla110345345445545647945586877869510811712713622823735238240624035943647647923763[[#This Row],[ArtÃ­culo]],Tabla34[#All],3,0)</f>
        <v>6</v>
      </c>
      <c r="H117" s="99">
        <f>+Tabla110345345445545647945586877869510811712713622823735238240624035943647647923763[[#This Row],[Coste Componente]]*Tabla110345345445545647945586877869510811712713622823735238240624035943647647923763[[#This Row],[Unidades]]</f>
        <v>360</v>
      </c>
      <c r="J117" s="93" t="s">
        <v>18</v>
      </c>
      <c r="K117" s="23">
        <f>+K115-K112</f>
        <v>-9399.9134172185004</v>
      </c>
    </row>
    <row r="118" spans="2:13" x14ac:dyDescent="0.25">
      <c r="B118" s="104"/>
      <c r="C118" s="105"/>
      <c r="D118" s="105"/>
      <c r="E118" s="105"/>
      <c r="F118" s="105"/>
      <c r="G118" s="106"/>
      <c r="H118" s="106">
        <f>SUBTOTAL(109,Tabla110345345445545647945586877869510811712713622823735238240624035943647647923763[Coste LÃ­nea])</f>
        <v>8545.3758338349999</v>
      </c>
      <c r="J118" s="93" t="s">
        <v>19</v>
      </c>
      <c r="K118" s="25">
        <f>+K117/K112</f>
        <v>-1</v>
      </c>
    </row>
    <row r="119" spans="2:13" x14ac:dyDescent="0.25">
      <c r="I119" s="89"/>
    </row>
    <row r="120" spans="2:13" x14ac:dyDescent="0.25">
      <c r="I120" s="89"/>
    </row>
    <row r="121" spans="2:13" x14ac:dyDescent="0.25">
      <c r="I121" s="89"/>
    </row>
    <row r="122" spans="2:13" ht="15.6" x14ac:dyDescent="0.3">
      <c r="B122" s="86" t="s">
        <v>1133</v>
      </c>
      <c r="C122" s="87"/>
      <c r="D122" s="87"/>
      <c r="E122" s="88"/>
      <c r="F122" s="88"/>
      <c r="G122" s="88"/>
      <c r="H122" s="88"/>
      <c r="I122" s="89"/>
      <c r="J122" s="403" t="s">
        <v>0</v>
      </c>
      <c r="K122" s="403"/>
      <c r="M122" s="377" t="s">
        <v>1394</v>
      </c>
    </row>
    <row r="123" spans="2:13" x14ac:dyDescent="0.25">
      <c r="B123" s="90" t="s">
        <v>857</v>
      </c>
      <c r="C123" s="91" t="s">
        <v>895</v>
      </c>
      <c r="D123" s="91" t="s">
        <v>892</v>
      </c>
      <c r="E123" s="91" t="s">
        <v>893</v>
      </c>
      <c r="F123" s="91" t="s">
        <v>894</v>
      </c>
      <c r="G123" s="92" t="s">
        <v>901</v>
      </c>
      <c r="H123" s="92" t="s">
        <v>902</v>
      </c>
      <c r="I123" s="89"/>
      <c r="J123" s="93" t="s">
        <v>6</v>
      </c>
      <c r="K123" s="94" t="e">
        <f>SUM(Tabla11034534544554564794558687786951081171271362282373523824062403594364764792376364[Coste LÃ­nea])</f>
        <v>#N/A</v>
      </c>
      <c r="M123" s="346"/>
    </row>
    <row r="124" spans="2:13" x14ac:dyDescent="0.25">
      <c r="B124" s="95" t="s">
        <v>660</v>
      </c>
      <c r="C124" s="96" t="s">
        <v>605</v>
      </c>
      <c r="D124" s="101">
        <v>2</v>
      </c>
      <c r="E124" s="101">
        <v>0</v>
      </c>
      <c r="F124" s="101">
        <v>2</v>
      </c>
      <c r="G124" s="98">
        <f>+VLOOKUP(Tabla11034534544554564794558687786951081171271362282373523824062403594364764792376364[[#This Row],[ArtÃ­culo]],Tabla34[#All],3,0)</f>
        <v>3359</v>
      </c>
      <c r="H124" s="99">
        <f>+Tabla11034534544554564794558687786951081171271362282373523824062403594364764792376364[[#This Row],[Coste Componente]]*Tabla11034534544554564794558687786951081171271362282373523824062403594364764792376364[[#This Row],[Unidades]]</f>
        <v>6718</v>
      </c>
      <c r="I124" s="89"/>
      <c r="J124" s="93" t="s">
        <v>12</v>
      </c>
      <c r="K124" s="100" t="e">
        <f>+K123*10%</f>
        <v>#N/A</v>
      </c>
      <c r="M124" s="346"/>
    </row>
    <row r="125" spans="2:13" x14ac:dyDescent="0.25">
      <c r="B125" s="95" t="s">
        <v>134</v>
      </c>
      <c r="C125" s="96" t="s">
        <v>67</v>
      </c>
      <c r="D125" s="101">
        <v>30</v>
      </c>
      <c r="E125" s="101">
        <v>0</v>
      </c>
      <c r="F125" s="101">
        <v>30</v>
      </c>
      <c r="G125" s="98">
        <f>+VLOOKUP(Tabla11034534544554564794558687786951081171271362282373523824062403594364764792376364[[#This Row],[ArtÃ­culo]],Tabla34[#All],3,0)</f>
        <v>5.7702915900000002</v>
      </c>
      <c r="H125" s="99">
        <f>+Tabla11034534544554564794558687786951081171271362282373523824062403594364764792376364[[#This Row],[Coste Componente]]*Tabla11034534544554564794558687786951081171271362282373523824062403594364764792376364[[#This Row],[Unidades]]</f>
        <v>173.10874770000001</v>
      </c>
      <c r="J125" s="93" t="s">
        <v>13</v>
      </c>
      <c r="K125" s="100" t="e">
        <f>+K123+K124</f>
        <v>#N/A</v>
      </c>
      <c r="M125" s="346"/>
    </row>
    <row r="126" spans="2:13" x14ac:dyDescent="0.25">
      <c r="B126" s="95" t="s">
        <v>1332</v>
      </c>
      <c r="C126" s="96" t="s">
        <v>67</v>
      </c>
      <c r="D126" s="108">
        <v>20</v>
      </c>
      <c r="E126" s="101">
        <v>0</v>
      </c>
      <c r="F126" s="101">
        <v>20</v>
      </c>
      <c r="G126" s="98" t="e">
        <f>+VLOOKUP(Tabla11034534544554564794558687786951081171271362282373523824062403594364764792376364[[#This Row],[ArtÃ­culo]],Tabla34[#All],3,0)</f>
        <v>#N/A</v>
      </c>
      <c r="H126" s="99" t="e">
        <f>+Tabla11034534544554564794558687786951081171271362282373523824062403594364764792376364[[#This Row],[Coste Componente]]*Tabla11034534544554564794558687786951081171271362282373523824062403594364764792376364[[#This Row],[Unidades]]</f>
        <v>#N/A</v>
      </c>
      <c r="J126" s="102" t="s">
        <v>14</v>
      </c>
      <c r="K126" s="103"/>
      <c r="M126" s="346"/>
    </row>
    <row r="127" spans="2:13" ht="14.4" x14ac:dyDescent="0.3">
      <c r="B127" s="95" t="s">
        <v>168</v>
      </c>
      <c r="C127" s="96" t="s">
        <v>67</v>
      </c>
      <c r="D127" s="101">
        <v>30</v>
      </c>
      <c r="E127" s="101">
        <v>0</v>
      </c>
      <c r="F127" s="101">
        <v>30</v>
      </c>
      <c r="G127" s="98">
        <f>+VLOOKUP(Tabla11034534544554564794558687786951081171271362282373523824062403594364764792376364[[#This Row],[ArtÃ­culo]],Tabla34[#All],3,0)</f>
        <v>10.86600002</v>
      </c>
      <c r="H127" s="99">
        <f>+Tabla11034534544554564794558687786951081171271362282373523824062403594364764792376364[[#This Row],[Coste Componente]]*Tabla11034534544554564794558687786951081171271362282373523824062403594364764792376364[[#This Row],[Unidades]]</f>
        <v>325.98000059999998</v>
      </c>
      <c r="J127" s="93" t="s">
        <v>15</v>
      </c>
      <c r="K127" s="100">
        <f>+K126/1.08*0.08</f>
        <v>0</v>
      </c>
      <c r="M127"/>
    </row>
    <row r="128" spans="2:13" ht="14.4" x14ac:dyDescent="0.3">
      <c r="B128" s="95" t="s">
        <v>1311</v>
      </c>
      <c r="C128" s="96" t="s">
        <v>67</v>
      </c>
      <c r="D128" s="101">
        <v>60</v>
      </c>
      <c r="E128" s="101">
        <v>0</v>
      </c>
      <c r="F128" s="101">
        <v>60</v>
      </c>
      <c r="G128" s="98">
        <f>+VLOOKUP(Tabla11034534544554564794558687786951081171271362282373523824062403594364764792376364[[#This Row],[ArtÃ­culo]],Tabla34[#All],3,0)</f>
        <v>35</v>
      </c>
      <c r="H128" s="99">
        <f>+Tabla11034534544554564794558687786951081171271362282373523824062403594364764792376364[[#This Row],[Coste Componente]]*Tabla11034534544554564794558687786951081171271362282373523824062403594364764792376364[[#This Row],[Unidades]]</f>
        <v>2100</v>
      </c>
      <c r="J128" s="93" t="s">
        <v>16</v>
      </c>
      <c r="K128" s="100">
        <f>+K126-K127</f>
        <v>0</v>
      </c>
      <c r="M128" s="377" t="s">
        <v>1377</v>
      </c>
    </row>
    <row r="129" spans="2:13" x14ac:dyDescent="0.25">
      <c r="B129" s="95" t="s">
        <v>226</v>
      </c>
      <c r="C129" s="96" t="s">
        <v>847</v>
      </c>
      <c r="D129" s="101">
        <v>0.33</v>
      </c>
      <c r="E129" s="101">
        <v>0</v>
      </c>
      <c r="F129" s="101">
        <v>0.33</v>
      </c>
      <c r="G129" s="98">
        <f>+VLOOKUP(Tabla11034534544554564794558687786951081171271362282373523824062403594364764792376364[[#This Row],[ArtÃ­culo]],Tabla34[#All],3,0)</f>
        <v>1497.59166667</v>
      </c>
      <c r="H129" s="99">
        <f>+Tabla11034534544554564794558687786951081171271362282373523824062403594364764792376364[[#This Row],[Coste Componente]]*Tabla11034534544554564794558687786951081171271362282373523824062403594364764792376364[[#This Row],[Unidades]]</f>
        <v>494.20525000110001</v>
      </c>
      <c r="J129" s="93" t="s">
        <v>17</v>
      </c>
      <c r="K129" s="22" t="e">
        <f>+K125/K128</f>
        <v>#N/A</v>
      </c>
      <c r="M129" s="346"/>
    </row>
    <row r="130" spans="2:13" x14ac:dyDescent="0.25">
      <c r="B130" s="95" t="s">
        <v>1333</v>
      </c>
      <c r="C130" s="96" t="s">
        <v>67</v>
      </c>
      <c r="D130" s="101">
        <v>1</v>
      </c>
      <c r="E130" s="101">
        <v>0</v>
      </c>
      <c r="F130" s="101">
        <v>1</v>
      </c>
      <c r="G130" s="98" t="e">
        <f>+VLOOKUP(Tabla11034534544554564794558687786951081171271362282373523824062403594364764792376364[[#This Row],[ArtÃ­culo]],Tabla34[#All],3,0)</f>
        <v>#N/A</v>
      </c>
      <c r="H130" s="99" t="e">
        <f>+Tabla11034534544554564794558687786951081171271362282373523824062403594364764792376364[[#This Row],[Coste Componente]]*Tabla11034534544554564794558687786951081171271362282373523824062403594364764792376364[[#This Row],[Unidades]]</f>
        <v>#N/A</v>
      </c>
      <c r="J130" s="93" t="s">
        <v>18</v>
      </c>
      <c r="K130" s="23" t="e">
        <f>+K128-K125</f>
        <v>#N/A</v>
      </c>
    </row>
    <row r="131" spans="2:13" x14ac:dyDescent="0.25">
      <c r="B131" s="95" t="s">
        <v>886</v>
      </c>
      <c r="C131" s="96" t="s">
        <v>67</v>
      </c>
      <c r="D131" s="101">
        <v>1</v>
      </c>
      <c r="E131" s="101">
        <v>0</v>
      </c>
      <c r="F131" s="101">
        <v>1</v>
      </c>
      <c r="G131" s="98">
        <f>+VLOOKUP(Tabla11034534544554564794558687786951081171271362282373523824062403594364764792376364[[#This Row],[ArtÃ­culo]],Tabla34[#All],3,0)</f>
        <v>350</v>
      </c>
      <c r="H131" s="99">
        <f>+Tabla11034534544554564794558687786951081171271362282373523824062403594364764792376364[[#This Row],[Coste Componente]]*Tabla11034534544554564794558687786951081171271362282373523824062403594364764792376364[[#This Row],[Unidades]]</f>
        <v>350</v>
      </c>
      <c r="J131" s="93" t="s">
        <v>19</v>
      </c>
      <c r="K131" s="25" t="e">
        <f>+K130/K125</f>
        <v>#N/A</v>
      </c>
    </row>
    <row r="132" spans="2:13" x14ac:dyDescent="0.25">
      <c r="B132" s="104"/>
      <c r="C132" s="105"/>
      <c r="D132" s="105"/>
      <c r="E132" s="105"/>
      <c r="F132" s="105"/>
      <c r="G132" s="106"/>
      <c r="H132" s="106" t="e">
        <f>SUBTOTAL(109,Tabla11034534544554564794558687786951081171271362282373523824062403594364764792376364[Coste LÃ­nea])</f>
        <v>#N/A</v>
      </c>
    </row>
    <row r="133" spans="2:13" x14ac:dyDescent="0.25">
      <c r="I133" s="89"/>
    </row>
    <row r="134" spans="2:13" x14ac:dyDescent="0.25">
      <c r="I134" s="89"/>
    </row>
    <row r="135" spans="2:13" ht="15.6" x14ac:dyDescent="0.3">
      <c r="B135" s="86" t="s">
        <v>1135</v>
      </c>
      <c r="C135" s="87"/>
      <c r="D135" s="87"/>
      <c r="E135" s="88"/>
      <c r="F135" s="88"/>
      <c r="G135" s="88"/>
      <c r="H135" s="88"/>
      <c r="I135" s="89"/>
      <c r="J135" s="403" t="s">
        <v>0</v>
      </c>
      <c r="K135" s="403"/>
      <c r="M135" s="377" t="s">
        <v>1394</v>
      </c>
    </row>
    <row r="136" spans="2:13" x14ac:dyDescent="0.25">
      <c r="B136" s="90" t="s">
        <v>857</v>
      </c>
      <c r="C136" s="91" t="s">
        <v>895</v>
      </c>
      <c r="D136" s="91" t="s">
        <v>892</v>
      </c>
      <c r="E136" s="91" t="s">
        <v>893</v>
      </c>
      <c r="F136" s="91" t="s">
        <v>894</v>
      </c>
      <c r="G136" s="92" t="s">
        <v>901</v>
      </c>
      <c r="H136" s="92" t="s">
        <v>902</v>
      </c>
      <c r="I136" s="89"/>
      <c r="J136" s="93" t="s">
        <v>6</v>
      </c>
      <c r="K136" s="94">
        <f>SUM(Tabla11034534544554564794558687786951081171271362282373523824062403594364764792376365[Coste LÃ­nea])</f>
        <v>8220.3867699499988</v>
      </c>
      <c r="M136" s="346"/>
    </row>
    <row r="137" spans="2:13" x14ac:dyDescent="0.25">
      <c r="B137" s="95" t="s">
        <v>1318</v>
      </c>
      <c r="C137" s="96" t="s">
        <v>605</v>
      </c>
      <c r="D137" s="101">
        <v>2</v>
      </c>
      <c r="E137" s="101">
        <v>0</v>
      </c>
      <c r="F137" s="101">
        <v>2</v>
      </c>
      <c r="G137" s="98">
        <f>+VLOOKUP(Tabla11034534544554564794558687786951081171271362282373523824062403594364764792376365[[#This Row],[ArtÃ­culo]],Tabla34[#All],3,0)</f>
        <v>3672</v>
      </c>
      <c r="H137" s="99">
        <f>+Tabla11034534544554564794558687786951081171271362282373523824062403594364764792376365[[#This Row],[Coste Componente]]*Tabla11034534544554564794558687786951081171271362282373523824062403594364764792376365[[#This Row],[Unidades]]</f>
        <v>7344</v>
      </c>
      <c r="I137" s="89"/>
      <c r="J137" s="93" t="s">
        <v>12</v>
      </c>
      <c r="K137" s="100">
        <f>+K136*10%</f>
        <v>822.03867699499995</v>
      </c>
      <c r="M137" s="346"/>
    </row>
    <row r="138" spans="2:13" x14ac:dyDescent="0.25">
      <c r="B138" s="95" t="s">
        <v>1309</v>
      </c>
      <c r="C138" s="96" t="s">
        <v>67</v>
      </c>
      <c r="D138" s="101">
        <v>20</v>
      </c>
      <c r="E138" s="101">
        <v>0</v>
      </c>
      <c r="F138" s="101">
        <v>20</v>
      </c>
      <c r="G138" s="98">
        <f>+VLOOKUP(Tabla11034534544554564794558687786951081171271362282373523824062403594364764792376365[[#This Row],[ArtÃ­culo]],Tabla34[#All],3,0)</f>
        <v>10</v>
      </c>
      <c r="H138" s="99">
        <f>+Tabla11034534544554564794558687786951081171271362282373523824062403594364764792376365[[#This Row],[Coste Componente]]*Tabla11034534544554564794558687786951081171271362282373523824062403594364764792376365[[#This Row],[Unidades]]</f>
        <v>200</v>
      </c>
      <c r="I138" s="89"/>
      <c r="J138" s="93" t="s">
        <v>13</v>
      </c>
      <c r="K138" s="100">
        <f>+K136+K137</f>
        <v>9042.4254469449988</v>
      </c>
      <c r="M138" s="346"/>
    </row>
    <row r="139" spans="2:13" x14ac:dyDescent="0.25">
      <c r="B139" s="95" t="s">
        <v>1317</v>
      </c>
      <c r="C139" s="96" t="s">
        <v>67</v>
      </c>
      <c r="D139" s="108">
        <v>20</v>
      </c>
      <c r="E139" s="101">
        <v>0</v>
      </c>
      <c r="F139" s="101">
        <v>20</v>
      </c>
      <c r="G139" s="98">
        <f>+VLOOKUP(Tabla11034534544554564794558687786951081171271362282373523824062403594364764792376365[[#This Row],[ArtÃ­culo]],Tabla34[#All],3,0)</f>
        <v>4.1835440000000004</v>
      </c>
      <c r="H139" s="99">
        <f>+Tabla11034534544554564794558687786951081171271362282373523824062403594364764792376365[[#This Row],[Coste Componente]]*Tabla11034534544554564794558687786951081171271362282373523824062403594364764792376365[[#This Row],[Unidades]]</f>
        <v>83.670880000000011</v>
      </c>
      <c r="I139" s="89"/>
      <c r="J139" s="102" t="s">
        <v>14</v>
      </c>
      <c r="K139" s="103"/>
      <c r="M139" s="346"/>
    </row>
    <row r="140" spans="2:13" ht="14.4" x14ac:dyDescent="0.3">
      <c r="B140" s="95" t="s">
        <v>168</v>
      </c>
      <c r="C140" s="96" t="s">
        <v>67</v>
      </c>
      <c r="D140" s="101">
        <v>30</v>
      </c>
      <c r="E140" s="101">
        <v>0</v>
      </c>
      <c r="F140" s="101">
        <v>30</v>
      </c>
      <c r="G140" s="98">
        <f>+VLOOKUP(Tabla11034534544554564794558687786951081171271362282373523824062403594364764792376365[[#This Row],[ArtÃ­culo]],Tabla34[#All],3,0)</f>
        <v>10.86600002</v>
      </c>
      <c r="H140" s="99">
        <f>+Tabla11034534544554564794558687786951081171271362282373523824062403594364764792376365[[#This Row],[Coste Componente]]*Tabla11034534544554564794558687786951081171271362282373523824062403594364764792376365[[#This Row],[Unidades]]</f>
        <v>325.98000059999998</v>
      </c>
      <c r="I140" s="89"/>
      <c r="J140" s="93" t="s">
        <v>15</v>
      </c>
      <c r="K140" s="100">
        <f>+K139/1.08*0.08</f>
        <v>0</v>
      </c>
      <c r="M140"/>
    </row>
    <row r="141" spans="2:13" ht="14.4" x14ac:dyDescent="0.3">
      <c r="B141" s="95" t="s">
        <v>590</v>
      </c>
      <c r="C141" s="96" t="s">
        <v>67</v>
      </c>
      <c r="D141" s="101">
        <v>1</v>
      </c>
      <c r="E141" s="101">
        <v>0</v>
      </c>
      <c r="F141" s="101">
        <v>1</v>
      </c>
      <c r="G141" s="98">
        <f>+VLOOKUP(Tabla11034534544554564794558687786951081171271362282373523824062403594364764792376365[[#This Row],[ArtÃ­culo]],Tabla34[#All],3,0)</f>
        <v>85.053389350000003</v>
      </c>
      <c r="H141" s="99">
        <f>+Tabla11034534544554564794558687786951081171271362282373523824062403594364764792376365[[#This Row],[Coste Componente]]*Tabla11034534544554564794558687786951081171271362282373523824062403594364764792376365[[#This Row],[Unidades]]</f>
        <v>85.053389350000003</v>
      </c>
      <c r="I141" s="89"/>
      <c r="J141" s="93" t="s">
        <v>16</v>
      </c>
      <c r="K141" s="100">
        <f>+K139-K140</f>
        <v>0</v>
      </c>
      <c r="M141" s="377" t="s">
        <v>1377</v>
      </c>
    </row>
    <row r="142" spans="2:13" x14ac:dyDescent="0.25">
      <c r="B142" s="95" t="s">
        <v>223</v>
      </c>
      <c r="C142" s="96" t="s">
        <v>67</v>
      </c>
      <c r="D142" s="101">
        <v>1</v>
      </c>
      <c r="E142" s="101">
        <v>0</v>
      </c>
      <c r="F142" s="101">
        <v>1</v>
      </c>
      <c r="G142" s="98">
        <f>+VLOOKUP(Tabla11034534544554564794558687786951081171271362282373523824062403594364764792376365[[#This Row],[ArtÃ­culo]],Tabla34[#All],3,0)</f>
        <v>61.682499999999997</v>
      </c>
      <c r="H142" s="99">
        <f>+Tabla11034534544554564794558687786951081171271362282373523824062403594364764792376365[[#This Row],[Coste Componente]]*Tabla11034534544554564794558687786951081171271362282373523824062403594364764792376365[[#This Row],[Unidades]]</f>
        <v>61.682499999999997</v>
      </c>
      <c r="J142" s="93" t="s">
        <v>17</v>
      </c>
      <c r="K142" s="22" t="e">
        <f>+K138/K141</f>
        <v>#DIV/0!</v>
      </c>
      <c r="M142" s="346"/>
    </row>
    <row r="143" spans="2:13" x14ac:dyDescent="0.25">
      <c r="B143" s="95" t="s">
        <v>742</v>
      </c>
      <c r="C143" s="96" t="s">
        <v>67</v>
      </c>
      <c r="D143" s="101">
        <v>10</v>
      </c>
      <c r="E143" s="101">
        <v>0</v>
      </c>
      <c r="F143" s="101">
        <v>10</v>
      </c>
      <c r="G143" s="98">
        <f>+VLOOKUP(Tabla11034534544554564794558687786951081171271362282373523824062403594364764792376365[[#This Row],[ArtÃ­culo]],Tabla34[#All],3,0)</f>
        <v>12</v>
      </c>
      <c r="H143" s="99">
        <f>+Tabla11034534544554564794558687786951081171271362282373523824062403594364764792376365[[#This Row],[Coste Componente]]*Tabla11034534544554564794558687786951081171271362282373523824062403594364764792376365[[#This Row],[Unidades]]</f>
        <v>120</v>
      </c>
      <c r="J143" s="93" t="s">
        <v>18</v>
      </c>
      <c r="K143" s="23">
        <f>+K141-K138</f>
        <v>-9042.4254469449988</v>
      </c>
    </row>
    <row r="144" spans="2:13" x14ac:dyDescent="0.25">
      <c r="B144" s="104"/>
      <c r="C144" s="105"/>
      <c r="D144" s="105"/>
      <c r="E144" s="105"/>
      <c r="F144" s="105"/>
      <c r="G144" s="106"/>
      <c r="H144" s="106">
        <f>SUBTOTAL(109,Tabla11034534544554564794558687786951081171271362282373523824062403594364764792376365[Coste LÃ­nea])</f>
        <v>8220.3867699499988</v>
      </c>
      <c r="J144" s="93" t="s">
        <v>19</v>
      </c>
      <c r="K144" s="25">
        <f>+K143/K138</f>
        <v>-1</v>
      </c>
    </row>
    <row r="148" spans="2:13" ht="15.6" x14ac:dyDescent="0.3">
      <c r="B148" s="86" t="s">
        <v>1144</v>
      </c>
      <c r="C148" s="87"/>
      <c r="D148" s="87"/>
      <c r="E148" s="88"/>
      <c r="F148" s="88"/>
      <c r="G148" s="88"/>
      <c r="H148" s="88"/>
      <c r="I148" s="89"/>
      <c r="J148" s="403" t="s">
        <v>0</v>
      </c>
      <c r="K148" s="403"/>
      <c r="M148" s="377" t="s">
        <v>1394</v>
      </c>
    </row>
    <row r="149" spans="2:13" x14ac:dyDescent="0.25">
      <c r="B149" s="90" t="s">
        <v>857</v>
      </c>
      <c r="C149" s="91" t="s">
        <v>895</v>
      </c>
      <c r="D149" s="91" t="s">
        <v>892</v>
      </c>
      <c r="E149" s="91" t="s">
        <v>893</v>
      </c>
      <c r="F149" s="91" t="s">
        <v>894</v>
      </c>
      <c r="G149" s="92" t="s">
        <v>901</v>
      </c>
      <c r="H149" s="92" t="s">
        <v>902</v>
      </c>
      <c r="I149" s="89"/>
      <c r="J149" s="93" t="s">
        <v>6</v>
      </c>
      <c r="K149" s="94">
        <f>SUM(Tabla11034534544554564794558687786951081171271362282373523824062403594364764792376366[Coste LÃ­nea])</f>
        <v>20879.99937152</v>
      </c>
      <c r="M149" s="346"/>
    </row>
    <row r="150" spans="2:13" x14ac:dyDescent="0.25">
      <c r="B150" s="95" t="s">
        <v>1251</v>
      </c>
      <c r="C150" s="96" t="s">
        <v>605</v>
      </c>
      <c r="D150" s="101">
        <v>2</v>
      </c>
      <c r="E150" s="101">
        <v>0</v>
      </c>
      <c r="F150" s="101">
        <v>2</v>
      </c>
      <c r="G150" s="98">
        <f>+VLOOKUP(Tabla11034534544554564794558687786951081171271362282373523824062403594364764792376366[[#This Row],[ArtÃ­culo]],Tabla34[#All],3,0)</f>
        <v>8874.3181818199992</v>
      </c>
      <c r="H150" s="99">
        <f>+Tabla11034534544554564794558687786951081171271362282373523824062403594364764792376366[[#This Row],[Coste Componente]]*Tabla11034534544554564794558687786951081171271362282373523824062403594364764792376366[[#This Row],[Unidades]]</f>
        <v>17748.636363639998</v>
      </c>
      <c r="I150" s="89"/>
      <c r="J150" s="93" t="s">
        <v>12</v>
      </c>
      <c r="K150" s="100">
        <f>+K149*10%</f>
        <v>2087.9999371520003</v>
      </c>
      <c r="M150" s="346"/>
    </row>
    <row r="151" spans="2:13" x14ac:dyDescent="0.25">
      <c r="B151" s="95" t="s">
        <v>1142</v>
      </c>
      <c r="C151" s="96" t="s">
        <v>605</v>
      </c>
      <c r="D151" s="101">
        <v>1</v>
      </c>
      <c r="E151" s="101">
        <v>0</v>
      </c>
      <c r="F151" s="101">
        <v>1</v>
      </c>
      <c r="G151" s="98">
        <f>+VLOOKUP(Tabla11034534544554564794558687786951081171271362282373523824062403594364764792376366[[#This Row],[ArtÃ­culo]],Tabla34[#All],3,0)</f>
        <v>2566.0473321899999</v>
      </c>
      <c r="H151" s="99">
        <f>+Tabla11034534544554564794558687786951081171271362282373523824062403594364764792376366[[#This Row],[Coste Componente]]*Tabla11034534544554564794558687786951081171271362282373523824062403594364764792376366[[#This Row],[Unidades]]</f>
        <v>2566.0473321899999</v>
      </c>
      <c r="I151" s="89"/>
      <c r="J151" s="93" t="s">
        <v>13</v>
      </c>
      <c r="K151" s="100">
        <v>113350.27130007002</v>
      </c>
      <c r="M151" s="346"/>
    </row>
    <row r="152" spans="2:13" x14ac:dyDescent="0.25">
      <c r="B152" s="95" t="s">
        <v>887</v>
      </c>
      <c r="C152" s="96" t="s">
        <v>1143</v>
      </c>
      <c r="D152" s="101">
        <v>5</v>
      </c>
      <c r="E152" s="101">
        <v>0</v>
      </c>
      <c r="F152" s="101">
        <v>5</v>
      </c>
      <c r="G152" s="98">
        <f>+VLOOKUP(Tabla11034534544554564794558687786951081171271362282373523824062403594364764792376366[[#This Row],[ArtÃ­culo]],Tabla34[#All],3,0)</f>
        <v>46.232876699999998</v>
      </c>
      <c r="H152" s="99">
        <f>+Tabla11034534544554564794558687786951081171271362282373523824062403594364764792376366[[#This Row],[Coste Componente]]*Tabla11034534544554564794558687786951081171271362282373523824062403594364764792376366[[#This Row],[Unidades]]</f>
        <v>231.16438349999999</v>
      </c>
      <c r="I152" s="89"/>
      <c r="J152" s="102" t="s">
        <v>14</v>
      </c>
      <c r="K152" s="103">
        <v>230000</v>
      </c>
      <c r="M152" s="346"/>
    </row>
    <row r="153" spans="2:13" ht="14.4" x14ac:dyDescent="0.3">
      <c r="B153" s="95" t="s">
        <v>89</v>
      </c>
      <c r="C153" s="96" t="s">
        <v>1143</v>
      </c>
      <c r="D153" s="101">
        <v>1</v>
      </c>
      <c r="E153" s="101">
        <v>0</v>
      </c>
      <c r="F153" s="101">
        <v>1</v>
      </c>
      <c r="G153" s="98">
        <f>+VLOOKUP(Tabla11034534544554564794558687786951081171271362282373523824062403594364764792376366[[#This Row],[ArtÃ­culo]],Tabla34[#All],3,0)</f>
        <v>2.4009999999999998</v>
      </c>
      <c r="H153" s="99">
        <f>+Tabla11034534544554564794558687786951081171271362282373523824062403594364764792376366[[#This Row],[Coste Componente]]*Tabla11034534544554564794558687786951081171271362282373523824062403594364764792376366[[#This Row],[Unidades]]</f>
        <v>2.4009999999999998</v>
      </c>
      <c r="I153" s="89"/>
      <c r="J153" s="93" t="s">
        <v>15</v>
      </c>
      <c r="K153" s="100">
        <f>+K152/1.08*0.08</f>
        <v>17037.037037037036</v>
      </c>
      <c r="M153"/>
    </row>
    <row r="154" spans="2:13" ht="14.4" x14ac:dyDescent="0.3">
      <c r="B154" s="95" t="s">
        <v>134</v>
      </c>
      <c r="C154" s="96" t="s">
        <v>1143</v>
      </c>
      <c r="D154" s="101">
        <v>1</v>
      </c>
      <c r="E154" s="101">
        <v>0</v>
      </c>
      <c r="F154" s="101">
        <v>1</v>
      </c>
      <c r="G154" s="98">
        <f>+VLOOKUP(Tabla11034534544554564794558687786951081171271362282373523824062403594364764792376366[[#This Row],[ArtÃ­culo]],Tabla34[#All],3,0)</f>
        <v>5.7702915900000002</v>
      </c>
      <c r="H154" s="99">
        <f>+Tabla11034534544554564794558687786951081171271362282373523824062403594364764792376366[[#This Row],[Coste Componente]]*Tabla11034534544554564794558687786951081171271362282373523824062403594364764792376366[[#This Row],[Unidades]]</f>
        <v>5.7702915900000002</v>
      </c>
      <c r="I154" s="89"/>
      <c r="J154" s="93" t="s">
        <v>16</v>
      </c>
      <c r="K154" s="100">
        <f>+K152-K153</f>
        <v>212962.96296296298</v>
      </c>
      <c r="M154" s="377" t="s">
        <v>1377</v>
      </c>
    </row>
    <row r="155" spans="2:13" x14ac:dyDescent="0.25">
      <c r="B155" s="95" t="s">
        <v>168</v>
      </c>
      <c r="C155" s="96" t="s">
        <v>1143</v>
      </c>
      <c r="D155" s="101">
        <v>30</v>
      </c>
      <c r="E155" s="101">
        <v>0</v>
      </c>
      <c r="F155" s="101">
        <v>30</v>
      </c>
      <c r="G155" s="98">
        <f>+VLOOKUP(Tabla11034534544554564794558687786951081171271362282373523824062403594364764792376366[[#This Row],[ArtÃ­culo]],Tabla34[#All],3,0)</f>
        <v>10.86600002</v>
      </c>
      <c r="H155" s="99">
        <f>+Tabla11034534544554564794558687786951081171271362282373523824062403594364764792376366[[#This Row],[Coste Componente]]*Tabla11034534544554564794558687786951081171271362282373523824062403594364764792376366[[#This Row],[Unidades]]</f>
        <v>325.98000059999998</v>
      </c>
      <c r="I155" s="89"/>
      <c r="J155" s="93" t="s">
        <v>17</v>
      </c>
      <c r="K155" s="22">
        <f>+K151/K154</f>
        <v>0.53225344784380701</v>
      </c>
      <c r="M155" s="346"/>
    </row>
    <row r="156" spans="2:13" x14ac:dyDescent="0.25">
      <c r="B156" s="104"/>
      <c r="C156" s="105"/>
      <c r="D156" s="105"/>
      <c r="E156" s="105"/>
      <c r="F156" s="105"/>
      <c r="G156" s="106"/>
      <c r="H156" s="106">
        <f>SUBTOTAL(109,Tabla11034534544554564794558687786951081171271362282373523824062403594364764792376366[Coste LÃ­nea])</f>
        <v>20879.99937152</v>
      </c>
      <c r="I156" s="89"/>
      <c r="J156" s="93" t="s">
        <v>18</v>
      </c>
      <c r="K156" s="23">
        <f>+K154-K151</f>
        <v>99612.691662892961</v>
      </c>
    </row>
    <row r="157" spans="2:13" x14ac:dyDescent="0.25">
      <c r="J157" s="93" t="s">
        <v>19</v>
      </c>
      <c r="K157" s="25">
        <f>+K156/K151</f>
        <v>0.87880417506183273</v>
      </c>
    </row>
    <row r="159" spans="2:13" x14ac:dyDescent="0.25">
      <c r="M159" s="110"/>
    </row>
    <row r="160" spans="2:13" ht="15.6" x14ac:dyDescent="0.3">
      <c r="B160" s="86" t="s">
        <v>1141</v>
      </c>
      <c r="C160" s="87"/>
      <c r="D160" s="87"/>
      <c r="E160" s="88"/>
      <c r="F160" s="88"/>
      <c r="G160" s="88"/>
      <c r="H160" s="88"/>
      <c r="J160" s="403" t="s">
        <v>0</v>
      </c>
      <c r="K160" s="403"/>
      <c r="M160" s="377" t="s">
        <v>1394</v>
      </c>
    </row>
    <row r="161" spans="2:13" x14ac:dyDescent="0.25">
      <c r="B161" s="90" t="s">
        <v>857</v>
      </c>
      <c r="C161" s="91" t="s">
        <v>895</v>
      </c>
      <c r="D161" s="91" t="s">
        <v>892</v>
      </c>
      <c r="E161" s="91" t="s">
        <v>893</v>
      </c>
      <c r="F161" s="91" t="s">
        <v>894</v>
      </c>
      <c r="G161" s="92" t="s">
        <v>901</v>
      </c>
      <c r="H161" s="92" t="s">
        <v>902</v>
      </c>
      <c r="J161" s="93" t="s">
        <v>6</v>
      </c>
      <c r="K161" s="94">
        <f>SUM(Tabla11034534544554564794558687786951081171271362282373523824062403594364764792376366103[Coste LÃ­nea])</f>
        <v>21027.32783228</v>
      </c>
      <c r="M161" s="346"/>
    </row>
    <row r="162" spans="2:13" x14ac:dyDescent="0.25">
      <c r="B162" s="95" t="s">
        <v>1251</v>
      </c>
      <c r="C162" s="96" t="s">
        <v>605</v>
      </c>
      <c r="D162" s="101">
        <v>2</v>
      </c>
      <c r="E162" s="101">
        <v>0</v>
      </c>
      <c r="F162" s="101">
        <v>2</v>
      </c>
      <c r="G162" s="98">
        <f>+VLOOKUP(Tabla11034534544554564794558687786951081171271362282373523824062403594364764792376366103[[#This Row],[ArtÃ­culo]],Tabla34[#All],3,0)</f>
        <v>8874.3181818199992</v>
      </c>
      <c r="H162" s="99">
        <f>+Tabla11034534544554564794558687786951081171271362282373523824062403594364764792376366103[[#This Row],[Coste Componente]]*Tabla11034534544554564794558687786951081171271362282373523824062403594364764792376366103[[#This Row],[Unidades]]</f>
        <v>17748.636363639998</v>
      </c>
      <c r="I162" s="89"/>
      <c r="J162" s="93" t="s">
        <v>12</v>
      </c>
      <c r="K162" s="100">
        <f>+K161*10%</f>
        <v>2102.7327832280002</v>
      </c>
      <c r="M162" s="346"/>
    </row>
    <row r="163" spans="2:13" x14ac:dyDescent="0.25">
      <c r="B163" s="95" t="s">
        <v>168</v>
      </c>
      <c r="C163" s="96" t="s">
        <v>1143</v>
      </c>
      <c r="D163" s="101">
        <v>30</v>
      </c>
      <c r="E163" s="101">
        <v>0</v>
      </c>
      <c r="F163" s="101">
        <v>30</v>
      </c>
      <c r="G163" s="98">
        <f>+VLOOKUP(Tabla11034534544554564794558687786951081171271362282373523824062403594364764792376366103[[#This Row],[ArtÃ­culo]],Tabla34[#All],3,0)</f>
        <v>10.86600002</v>
      </c>
      <c r="H163" s="99">
        <f>+Tabla11034534544554564794558687786951081171271362282373523824062403594364764792376366103[[#This Row],[Coste Componente]]*Tabla11034534544554564794558687786951081171271362282373523824062403594364764792376366103[[#This Row],[Unidades]]</f>
        <v>325.98000059999998</v>
      </c>
      <c r="I163" s="89"/>
      <c r="J163" s="93" t="s">
        <v>13</v>
      </c>
      <c r="K163" s="100">
        <f>+K161+K162</f>
        <v>23130.060615507999</v>
      </c>
      <c r="M163" s="346"/>
    </row>
    <row r="164" spans="2:13" x14ac:dyDescent="0.25">
      <c r="B164" s="95" t="s">
        <v>134</v>
      </c>
      <c r="C164" s="96" t="s">
        <v>1143</v>
      </c>
      <c r="D164" s="108">
        <v>1</v>
      </c>
      <c r="E164" s="101">
        <v>0</v>
      </c>
      <c r="F164" s="101">
        <v>1</v>
      </c>
      <c r="G164" s="98">
        <f>+VLOOKUP(Tabla11034534544554564794558687786951081171271362282373523824062403594364764792376366103[[#This Row],[ArtÃ­culo]],Tabla34[#All],3,0)</f>
        <v>5.7702915900000002</v>
      </c>
      <c r="H164" s="99">
        <f>+Tabla11034534544554564794558687786951081171271362282373523824062403594364764792376366103[[#This Row],[Coste Componente]]*Tabla11034534544554564794558687786951081171271362282373523824062403594364764792376366103[[#This Row],[Unidades]]</f>
        <v>5.7702915900000002</v>
      </c>
      <c r="I164" s="89"/>
      <c r="J164" s="102" t="s">
        <v>14</v>
      </c>
      <c r="K164" s="103"/>
      <c r="M164" s="346"/>
    </row>
    <row r="165" spans="2:13" ht="14.4" x14ac:dyDescent="0.3">
      <c r="B165" s="95" t="s">
        <v>801</v>
      </c>
      <c r="C165" s="96" t="s">
        <v>1143</v>
      </c>
      <c r="D165" s="101">
        <v>5</v>
      </c>
      <c r="E165" s="101">
        <v>0</v>
      </c>
      <c r="F165" s="101">
        <v>5</v>
      </c>
      <c r="G165" s="98">
        <f>+VLOOKUP(Tabla11034534544554564794558687786951081171271362282373523824062403594364764792376366103[[#This Row],[ArtÃ­culo]],Tabla34[#All],3,0)</f>
        <v>87.08823529</v>
      </c>
      <c r="H165" s="99">
        <f>+Tabla11034534544554564794558687786951081171271362282373523824062403594364764792376366103[[#This Row],[Coste Componente]]*Tabla11034534544554564794558687786951081171271362282373523824062403594364764792376366103[[#This Row],[Unidades]]</f>
        <v>435.44117645</v>
      </c>
      <c r="I165" s="89"/>
      <c r="J165" s="93" t="s">
        <v>15</v>
      </c>
      <c r="K165" s="100">
        <f>+K164/1.08*0.08</f>
        <v>0</v>
      </c>
      <c r="M165"/>
    </row>
    <row r="166" spans="2:13" ht="14.4" x14ac:dyDescent="0.3">
      <c r="B166" s="95" t="s">
        <v>568</v>
      </c>
      <c r="C166" s="96" t="s">
        <v>847</v>
      </c>
      <c r="D166" s="101">
        <v>0.5</v>
      </c>
      <c r="E166" s="101">
        <v>0</v>
      </c>
      <c r="F166" s="101">
        <v>0.5</v>
      </c>
      <c r="G166" s="98">
        <f>+VLOOKUP(Tabla11034534544554564794558687786951081171271362282373523824062403594364764792376366103[[#This Row],[ArtÃ­culo]],Tabla34[#All],3,0)</f>
        <v>5023</v>
      </c>
      <c r="H166" s="99">
        <f>+Tabla11034534544554564794558687786951081171271362282373523824062403594364764792376366103[[#This Row],[Coste Componente]]*Tabla11034534544554564794558687786951081171271362282373523824062403594364764792376366103[[#This Row],[Unidades]]</f>
        <v>2511.5</v>
      </c>
      <c r="I166" s="89"/>
      <c r="J166" s="93" t="s">
        <v>16</v>
      </c>
      <c r="K166" s="100">
        <f>+K164-K165</f>
        <v>0</v>
      </c>
      <c r="M166" s="377" t="s">
        <v>1377</v>
      </c>
    </row>
    <row r="167" spans="2:13" x14ac:dyDescent="0.25">
      <c r="B167" s="104"/>
      <c r="C167" s="105"/>
      <c r="D167" s="105"/>
      <c r="E167" s="105"/>
      <c r="F167" s="105"/>
      <c r="G167" s="106"/>
      <c r="H167" s="106">
        <f>SUBTOTAL(109,Tabla11034534544554564794558687786951081171271362282373523824062403594364764792376366103[Coste LÃ­nea])</f>
        <v>21027.32783228</v>
      </c>
      <c r="I167" s="89"/>
      <c r="J167" s="93" t="s">
        <v>17</v>
      </c>
      <c r="K167" s="22" t="e">
        <f>+K163/K166</f>
        <v>#DIV/0!</v>
      </c>
      <c r="M167" s="346"/>
    </row>
    <row r="168" spans="2:13" x14ac:dyDescent="0.25">
      <c r="I168" s="89"/>
      <c r="J168" s="93" t="s">
        <v>18</v>
      </c>
      <c r="K168" s="23">
        <f>+K166-K163</f>
        <v>-23130.060615507999</v>
      </c>
    </row>
    <row r="169" spans="2:13" x14ac:dyDescent="0.25">
      <c r="I169" s="89"/>
      <c r="J169" s="93" t="s">
        <v>19</v>
      </c>
      <c r="K169" s="25">
        <f>+K168/K163</f>
        <v>-1</v>
      </c>
    </row>
    <row r="170" spans="2:13" x14ac:dyDescent="0.25">
      <c r="I170" s="89"/>
    </row>
    <row r="171" spans="2:13" ht="15.6" x14ac:dyDescent="0.3">
      <c r="B171" s="86" t="s">
        <v>1140</v>
      </c>
      <c r="C171" s="87"/>
      <c r="D171" s="87"/>
      <c r="E171" s="88"/>
      <c r="F171" s="88"/>
      <c r="G171" s="88"/>
      <c r="H171" s="88"/>
      <c r="J171" s="403" t="s">
        <v>0</v>
      </c>
      <c r="K171" s="403"/>
      <c r="M171" s="377" t="s">
        <v>1394</v>
      </c>
    </row>
    <row r="172" spans="2:13" x14ac:dyDescent="0.25">
      <c r="B172" s="90" t="s">
        <v>857</v>
      </c>
      <c r="C172" s="91" t="s">
        <v>895</v>
      </c>
      <c r="D172" s="91" t="s">
        <v>892</v>
      </c>
      <c r="E172" s="91" t="s">
        <v>893</v>
      </c>
      <c r="F172" s="91" t="s">
        <v>894</v>
      </c>
      <c r="G172" s="92" t="s">
        <v>901</v>
      </c>
      <c r="H172" s="92" t="s">
        <v>902</v>
      </c>
      <c r="J172" s="93" t="s">
        <v>6</v>
      </c>
      <c r="K172" s="94">
        <f>SUM(Tabla11034534544554564794558687786951081171271362282373523824062403594364764792376366144[Coste LÃ­nea])</f>
        <v>20879.99937152</v>
      </c>
      <c r="M172" s="346"/>
    </row>
    <row r="173" spans="2:13" x14ac:dyDescent="0.25">
      <c r="B173" s="95" t="s">
        <v>1251</v>
      </c>
      <c r="C173" s="96" t="s">
        <v>605</v>
      </c>
      <c r="D173" s="101">
        <v>2</v>
      </c>
      <c r="E173" s="101">
        <v>0</v>
      </c>
      <c r="F173" s="101">
        <v>2</v>
      </c>
      <c r="G173" s="98">
        <f>+VLOOKUP(Tabla11034534544554564794558687786951081171271362282373523824062403594364764792376366144[[#This Row],[ArtÃ­culo]],Tabla34[#All],3,0)</f>
        <v>8874.3181818199992</v>
      </c>
      <c r="H173" s="99">
        <f>+Tabla11034534544554564794558687786951081171271362282373523824062403594364764792376366144[[#This Row],[Coste Componente]]*Tabla11034534544554564794558687786951081171271362282373523824062403594364764792376366144[[#This Row],[Unidades]]</f>
        <v>17748.636363639998</v>
      </c>
      <c r="J173" s="93" t="s">
        <v>12</v>
      </c>
      <c r="K173" s="100">
        <f>+K172*10%</f>
        <v>2087.9999371520003</v>
      </c>
      <c r="M173" s="346"/>
    </row>
    <row r="174" spans="2:13" x14ac:dyDescent="0.25">
      <c r="B174" s="95" t="s">
        <v>1142</v>
      </c>
      <c r="C174" s="96" t="s">
        <v>605</v>
      </c>
      <c r="D174" s="101">
        <v>1</v>
      </c>
      <c r="E174" s="101">
        <v>0</v>
      </c>
      <c r="F174" s="101">
        <v>1</v>
      </c>
      <c r="G174" s="98">
        <f>+VLOOKUP(Tabla11034534544554564794558687786951081171271362282373523824062403594364764792376366144[[#This Row],[ArtÃ­culo]],Tabla34[#All],3,0)</f>
        <v>2566.0473321899999</v>
      </c>
      <c r="H174" s="99">
        <f>+Tabla11034534544554564794558687786951081171271362282373523824062403594364764792376366144[[#This Row],[Coste Componente]]*Tabla11034534544554564794558687786951081171271362282373523824062403594364764792376366144[[#This Row],[Unidades]]</f>
        <v>2566.0473321899999</v>
      </c>
      <c r="J174" s="93" t="s">
        <v>13</v>
      </c>
      <c r="K174" s="100">
        <f>+K172+K173</f>
        <v>22967.999308671999</v>
      </c>
      <c r="M174" s="346"/>
    </row>
    <row r="175" spans="2:13" x14ac:dyDescent="0.25">
      <c r="B175" s="95" t="s">
        <v>887</v>
      </c>
      <c r="C175" s="96" t="s">
        <v>1143</v>
      </c>
      <c r="D175" s="101">
        <v>5</v>
      </c>
      <c r="E175" s="101">
        <v>0</v>
      </c>
      <c r="F175" s="101">
        <v>5</v>
      </c>
      <c r="G175" s="98">
        <f>+VLOOKUP(Tabla11034534544554564794558687786951081171271362282373523824062403594364764792376366144[[#This Row],[ArtÃ­culo]],Tabla34[#All],3,0)</f>
        <v>46.232876699999998</v>
      </c>
      <c r="H175" s="99">
        <f>+Tabla11034534544554564794558687786951081171271362282373523824062403594364764792376366144[[#This Row],[Coste Componente]]*Tabla11034534544554564794558687786951081171271362282373523824062403594364764792376366144[[#This Row],[Unidades]]</f>
        <v>231.16438349999999</v>
      </c>
      <c r="J175" s="102" t="s">
        <v>14</v>
      </c>
      <c r="K175" s="103"/>
      <c r="M175" s="346"/>
    </row>
    <row r="176" spans="2:13" ht="14.4" x14ac:dyDescent="0.3">
      <c r="B176" s="95" t="s">
        <v>89</v>
      </c>
      <c r="C176" s="96" t="s">
        <v>1143</v>
      </c>
      <c r="D176" s="101">
        <v>1</v>
      </c>
      <c r="E176" s="101">
        <v>0</v>
      </c>
      <c r="F176" s="101">
        <v>1</v>
      </c>
      <c r="G176" s="98">
        <f>+VLOOKUP(Tabla11034534544554564794558687786951081171271362282373523824062403594364764792376366144[[#This Row],[ArtÃ­culo]],Tabla34[#All],3,0)</f>
        <v>2.4009999999999998</v>
      </c>
      <c r="H176" s="99">
        <f>+Tabla11034534544554564794558687786951081171271362282373523824062403594364764792376366144[[#This Row],[Coste Componente]]*Tabla11034534544554564794558687786951081171271362282373523824062403594364764792376366144[[#This Row],[Unidades]]</f>
        <v>2.4009999999999998</v>
      </c>
      <c r="I176" s="89"/>
      <c r="J176" s="93" t="s">
        <v>15</v>
      </c>
      <c r="K176" s="100">
        <f>+K175/1.08*0.08</f>
        <v>0</v>
      </c>
      <c r="M176"/>
    </row>
    <row r="177" spans="2:13" ht="14.4" x14ac:dyDescent="0.3">
      <c r="B177" s="95" t="s">
        <v>134</v>
      </c>
      <c r="C177" s="96" t="s">
        <v>1143</v>
      </c>
      <c r="D177" s="101">
        <v>1</v>
      </c>
      <c r="E177" s="101">
        <v>0</v>
      </c>
      <c r="F177" s="101">
        <v>1</v>
      </c>
      <c r="G177" s="98">
        <f>+VLOOKUP(Tabla11034534544554564794558687786951081171271362282373523824062403594364764792376366144[[#This Row],[ArtÃ­culo]],Tabla34[#All],3,0)</f>
        <v>5.7702915900000002</v>
      </c>
      <c r="H177" s="99">
        <f>+Tabla11034534544554564794558687786951081171271362282373523824062403594364764792376366144[[#This Row],[Coste Componente]]*Tabla11034534544554564794558687786951081171271362282373523824062403594364764792376366144[[#This Row],[Unidades]]</f>
        <v>5.7702915900000002</v>
      </c>
      <c r="I177" s="89"/>
      <c r="J177" s="93" t="s">
        <v>16</v>
      </c>
      <c r="K177" s="100">
        <f>+K175-K176</f>
        <v>0</v>
      </c>
      <c r="M177" s="377" t="s">
        <v>1377</v>
      </c>
    </row>
    <row r="178" spans="2:13" x14ac:dyDescent="0.25">
      <c r="B178" s="95" t="s">
        <v>168</v>
      </c>
      <c r="C178" s="96" t="s">
        <v>1143</v>
      </c>
      <c r="D178" s="101">
        <v>30</v>
      </c>
      <c r="E178" s="101">
        <v>0</v>
      </c>
      <c r="F178" s="101">
        <v>30</v>
      </c>
      <c r="G178" s="98">
        <f>+VLOOKUP(Tabla11034534544554564794558687786951081171271362282373523824062403594364764792376366144[[#This Row],[ArtÃ­culo]],Tabla34[#All],3,0)</f>
        <v>10.86600002</v>
      </c>
      <c r="H178" s="99">
        <f>+Tabla11034534544554564794558687786951081171271362282373523824062403594364764792376366144[[#This Row],[Coste Componente]]*Tabla11034534544554564794558687786951081171271362282373523824062403594364764792376366144[[#This Row],[Unidades]]</f>
        <v>325.98000059999998</v>
      </c>
      <c r="I178" s="89"/>
      <c r="J178" s="93" t="s">
        <v>17</v>
      </c>
      <c r="K178" s="22" t="e">
        <f>+K174/K177</f>
        <v>#DIV/0!</v>
      </c>
      <c r="M178" s="346"/>
    </row>
    <row r="179" spans="2:13" x14ac:dyDescent="0.25">
      <c r="B179" s="104"/>
      <c r="C179" s="105"/>
      <c r="D179" s="105"/>
      <c r="E179" s="105"/>
      <c r="F179" s="105"/>
      <c r="G179" s="106"/>
      <c r="H179" s="106">
        <f>SUBTOTAL(109,Tabla11034534544554564794558687786951081171271362282373523824062403594364764792376366144[Coste LÃ­nea])</f>
        <v>20879.99937152</v>
      </c>
      <c r="I179" s="89"/>
      <c r="J179" s="93" t="s">
        <v>18</v>
      </c>
      <c r="K179" s="23">
        <f>+K177-K174</f>
        <v>-22967.999308671999</v>
      </c>
    </row>
    <row r="180" spans="2:13" x14ac:dyDescent="0.25">
      <c r="J180" s="93" t="s">
        <v>19</v>
      </c>
      <c r="K180" s="25">
        <f>+K179/K174</f>
        <v>-1</v>
      </c>
    </row>
    <row r="185" spans="2:13" x14ac:dyDescent="0.25">
      <c r="I185" s="89"/>
    </row>
    <row r="186" spans="2:13" x14ac:dyDescent="0.25">
      <c r="I186" s="89"/>
    </row>
    <row r="187" spans="2:13" ht="15.6" x14ac:dyDescent="0.3">
      <c r="B187" s="86" t="s">
        <v>1294</v>
      </c>
      <c r="C187" s="87"/>
      <c r="D187" s="87"/>
      <c r="E187" s="88"/>
      <c r="F187" s="88"/>
      <c r="G187" s="88"/>
      <c r="H187" s="88"/>
      <c r="I187" s="89"/>
      <c r="J187" s="403" t="s">
        <v>0</v>
      </c>
      <c r="K187" s="403"/>
      <c r="M187" s="377" t="s">
        <v>1394</v>
      </c>
    </row>
    <row r="188" spans="2:13" x14ac:dyDescent="0.25">
      <c r="B188" s="90" t="s">
        <v>857</v>
      </c>
      <c r="C188" s="91" t="s">
        <v>895</v>
      </c>
      <c r="D188" s="91" t="s">
        <v>892</v>
      </c>
      <c r="E188" s="91" t="s">
        <v>893</v>
      </c>
      <c r="F188" s="91" t="s">
        <v>894</v>
      </c>
      <c r="G188" s="92" t="s">
        <v>901</v>
      </c>
      <c r="H188" s="92" t="s">
        <v>902</v>
      </c>
      <c r="I188" s="89"/>
      <c r="J188" s="93" t="s">
        <v>6</v>
      </c>
      <c r="K188" s="94">
        <f>SUM(Tabla11034534544554564794558687786951081171271362282373523824062403594364764792376366103171[Coste LÃ­nea])</f>
        <v>21639.47328682182</v>
      </c>
      <c r="M188" s="346"/>
    </row>
    <row r="189" spans="2:13" x14ac:dyDescent="0.25">
      <c r="B189" s="95" t="s">
        <v>1138</v>
      </c>
      <c r="C189" s="96" t="s">
        <v>605</v>
      </c>
      <c r="D189" s="101">
        <v>2</v>
      </c>
      <c r="E189" s="101">
        <v>0</v>
      </c>
      <c r="F189" s="101">
        <v>2</v>
      </c>
      <c r="G189" s="98">
        <f>+VLOOKUP(Tabla11034534544554564794558687786951081171271362282373523824062403594364764792376366103171[[#This Row],[ArtÃ­culo]],Tabla34[#All],3,0)</f>
        <v>9180.3909090909092</v>
      </c>
      <c r="H189" s="99">
        <f>+Tabla11034534544554564794558687786951081171271362282373523824062403594364764792376366103171[[#This Row],[Coste Componente]]*Tabla11034534544554564794558687786951081171271362282373523824062403594364764792376366103171[[#This Row],[Unidades]]</f>
        <v>18360.781818181818</v>
      </c>
      <c r="J189" s="93" t="s">
        <v>12</v>
      </c>
      <c r="K189" s="100">
        <f>+K188*10%</f>
        <v>2163.9473286821822</v>
      </c>
      <c r="M189" s="346"/>
    </row>
    <row r="190" spans="2:13" x14ac:dyDescent="0.25">
      <c r="B190" s="95" t="s">
        <v>168</v>
      </c>
      <c r="C190" s="96" t="s">
        <v>1143</v>
      </c>
      <c r="D190" s="101">
        <v>30</v>
      </c>
      <c r="E190" s="101">
        <v>0</v>
      </c>
      <c r="F190" s="101">
        <v>30</v>
      </c>
      <c r="G190" s="98">
        <f>+VLOOKUP(Tabla11034534544554564794558687786951081171271362282373523824062403594364764792376366103171[[#This Row],[ArtÃ­culo]],Tabla34[#All],3,0)</f>
        <v>10.86600002</v>
      </c>
      <c r="H190" s="99">
        <f>+Tabla11034534544554564794558687786951081171271362282373523824062403594364764792376366103171[[#This Row],[Coste Componente]]*Tabla11034534544554564794558687786951081171271362282373523824062403594364764792376366103171[[#This Row],[Unidades]]</f>
        <v>325.98000059999998</v>
      </c>
      <c r="J190" s="93" t="s">
        <v>13</v>
      </c>
      <c r="K190" s="100">
        <f>+K188+K189</f>
        <v>23803.420615504001</v>
      </c>
      <c r="M190" s="346"/>
    </row>
    <row r="191" spans="2:13" x14ac:dyDescent="0.25">
      <c r="B191" s="95" t="s">
        <v>134</v>
      </c>
      <c r="C191" s="96" t="s">
        <v>1143</v>
      </c>
      <c r="D191" s="108">
        <v>1</v>
      </c>
      <c r="E191" s="101">
        <v>0</v>
      </c>
      <c r="F191" s="101">
        <v>1</v>
      </c>
      <c r="G191" s="98">
        <f>+VLOOKUP(Tabla11034534544554564794558687786951081171271362282373523824062403594364764792376366103171[[#This Row],[ArtÃ­culo]],Tabla34[#All],3,0)</f>
        <v>5.7702915900000002</v>
      </c>
      <c r="H191" s="99">
        <f>+Tabla11034534544554564794558687786951081171271362282373523824062403594364764792376366103171[[#This Row],[Coste Componente]]*Tabla11034534544554564794558687786951081171271362282373523824062403594364764792376366103171[[#This Row],[Unidades]]</f>
        <v>5.7702915900000002</v>
      </c>
      <c r="J191" s="102" t="s">
        <v>14</v>
      </c>
      <c r="K191" s="103">
        <v>80000</v>
      </c>
      <c r="M191" s="346"/>
    </row>
    <row r="192" spans="2:13" ht="14.4" x14ac:dyDescent="0.3">
      <c r="B192" s="95" t="s">
        <v>801</v>
      </c>
      <c r="C192" s="96" t="s">
        <v>1143</v>
      </c>
      <c r="D192" s="101">
        <v>5</v>
      </c>
      <c r="E192" s="101">
        <v>0</v>
      </c>
      <c r="F192" s="101">
        <v>5</v>
      </c>
      <c r="G192" s="98">
        <f>+VLOOKUP(Tabla11034534544554564794558687786951081171271362282373523824062403594364764792376366103171[[#This Row],[ArtÃ­culo]],Tabla34[#All],3,0)</f>
        <v>87.08823529</v>
      </c>
      <c r="H192" s="99">
        <f>+Tabla11034534544554564794558687786951081171271362282373523824062403594364764792376366103171[[#This Row],[Coste Componente]]*Tabla11034534544554564794558687786951081171271362282373523824062403594364764792376366103171[[#This Row],[Unidades]]</f>
        <v>435.44117645</v>
      </c>
      <c r="J192" s="93" t="s">
        <v>15</v>
      </c>
      <c r="K192" s="100">
        <f>+K191/1.08*0.08</f>
        <v>5925.9259259259261</v>
      </c>
      <c r="M192"/>
    </row>
    <row r="193" spans="2:13" ht="14.4" x14ac:dyDescent="0.3">
      <c r="B193" s="95" t="s">
        <v>568</v>
      </c>
      <c r="C193" s="96" t="s">
        <v>847</v>
      </c>
      <c r="D193" s="101">
        <v>0.5</v>
      </c>
      <c r="E193" s="101">
        <v>0</v>
      </c>
      <c r="F193" s="101">
        <v>0.5</v>
      </c>
      <c r="G193" s="98">
        <f>+VLOOKUP(Tabla11034534544554564794558687786951081171271362282373523824062403594364764792376366103171[[#This Row],[ArtÃ­culo]],Tabla34[#All],3,0)</f>
        <v>5023</v>
      </c>
      <c r="H193" s="99">
        <f>+Tabla11034534544554564794558687786951081171271362282373523824062403594364764792376366103171[[#This Row],[Coste Componente]]*Tabla11034534544554564794558687786951081171271362282373523824062403594364764792376366103171[[#This Row],[Unidades]]</f>
        <v>2511.5</v>
      </c>
      <c r="J193" s="93" t="s">
        <v>16</v>
      </c>
      <c r="K193" s="100">
        <f>+K191-K192</f>
        <v>74074.074074074073</v>
      </c>
      <c r="M193" s="377" t="s">
        <v>1377</v>
      </c>
    </row>
    <row r="194" spans="2:13" x14ac:dyDescent="0.25">
      <c r="B194" s="104"/>
      <c r="C194" s="105"/>
      <c r="D194" s="105"/>
      <c r="E194" s="105"/>
      <c r="F194" s="105"/>
      <c r="G194" s="106"/>
      <c r="H194" s="106">
        <f>SUBTOTAL(109,Tabla11034534544554564794558687786951081171271362282373523824062403594364764792376366103171[Coste LÃ­nea])</f>
        <v>21639.47328682182</v>
      </c>
      <c r="J194" s="93" t="s">
        <v>17</v>
      </c>
      <c r="K194" s="22">
        <f>+K190/K193</f>
        <v>0.32134617830930401</v>
      </c>
      <c r="M194" s="346"/>
    </row>
    <row r="195" spans="2:13" x14ac:dyDescent="0.25">
      <c r="I195" s="89"/>
      <c r="J195" s="93" t="s">
        <v>18</v>
      </c>
      <c r="K195" s="23">
        <f>+K193-K190</f>
        <v>50270.653458570072</v>
      </c>
    </row>
    <row r="196" spans="2:13" x14ac:dyDescent="0.25">
      <c r="I196" s="89"/>
      <c r="J196" s="93" t="s">
        <v>19</v>
      </c>
      <c r="K196" s="25">
        <f>+K195/K190</f>
        <v>2.1119087996045005</v>
      </c>
    </row>
    <row r="197" spans="2:13" x14ac:dyDescent="0.25">
      <c r="I197" s="89"/>
    </row>
    <row r="199" spans="2:13" ht="15.6" x14ac:dyDescent="0.3">
      <c r="B199" s="86" t="s">
        <v>1429</v>
      </c>
      <c r="C199" s="87"/>
      <c r="D199" s="87"/>
      <c r="E199" s="88"/>
      <c r="F199" s="88"/>
      <c r="G199" s="88"/>
      <c r="H199" s="88"/>
      <c r="J199" s="403" t="s">
        <v>0</v>
      </c>
      <c r="K199" s="403"/>
      <c r="M199" s="377" t="s">
        <v>1394</v>
      </c>
    </row>
    <row r="200" spans="2:13" x14ac:dyDescent="0.25">
      <c r="B200" s="90" t="s">
        <v>857</v>
      </c>
      <c r="C200" s="91" t="s">
        <v>895</v>
      </c>
      <c r="D200" s="91" t="s">
        <v>892</v>
      </c>
      <c r="E200" s="91" t="s">
        <v>893</v>
      </c>
      <c r="F200" s="91" t="s">
        <v>894</v>
      </c>
      <c r="G200" s="92" t="s">
        <v>901</v>
      </c>
      <c r="H200" s="92" t="s">
        <v>902</v>
      </c>
      <c r="J200" s="93" t="s">
        <v>6</v>
      </c>
      <c r="K200" s="94">
        <f>SUM(Tabla11034534544554564794558687786951081171271362282373523824062403594364764792376366103171175[Coste LÃ­nea])</f>
        <v>5839.9264326400007</v>
      </c>
      <c r="M200" s="346"/>
    </row>
    <row r="201" spans="2:13" x14ac:dyDescent="0.25">
      <c r="B201" s="95" t="s">
        <v>965</v>
      </c>
      <c r="C201" s="96" t="s">
        <v>605</v>
      </c>
      <c r="D201" s="101">
        <v>2</v>
      </c>
      <c r="E201" s="101">
        <v>0</v>
      </c>
      <c r="F201" s="101">
        <v>2</v>
      </c>
      <c r="G201" s="98">
        <f>+VLOOKUP(Tabla11034534544554564794558687786951081171271362282373523824062403594364764792376366103171175[[#This Row],[ArtÃ­culo]],Tabla34[#All],3,0)</f>
        <v>1729.16666667</v>
      </c>
      <c r="H201" s="99">
        <f>+Tabla11034534544554564794558687786951081171271362282373523824062403594364764792376366103171175[[#This Row],[Coste Componente]]*Tabla11034534544554564794558687786951081171271362282373523824062403594364764792376366103171175[[#This Row],[Unidades]]</f>
        <v>3458.3333333400001</v>
      </c>
      <c r="J201" s="93" t="s">
        <v>12</v>
      </c>
      <c r="K201" s="100">
        <f>+K200*10%</f>
        <v>583.99264326400009</v>
      </c>
      <c r="M201" s="346"/>
    </row>
    <row r="202" spans="2:13" x14ac:dyDescent="0.25">
      <c r="B202" s="95" t="s">
        <v>900</v>
      </c>
      <c r="C202" s="96" t="s">
        <v>605</v>
      </c>
      <c r="D202" s="101">
        <v>1</v>
      </c>
      <c r="E202" s="101">
        <v>0</v>
      </c>
      <c r="F202" s="101">
        <v>1</v>
      </c>
      <c r="G202" s="98">
        <f>+VLOOKUP(Tabla11034534544554564794558687786951081171271362282373523824062403594364764792376366103171175[[#This Row],[ArtÃ­culo]],Tabla34[#All],3,0)</f>
        <v>1500</v>
      </c>
      <c r="H202" s="99">
        <f>+Tabla11034534544554564794558687786951081171271362282373523824062403594364764792376366103171175[[#This Row],[Coste Componente]]*Tabla11034534544554564794558687786951081171271362282373523824062403594364764792376366103171175[[#This Row],[Unidades]]</f>
        <v>1500</v>
      </c>
      <c r="J202" s="93" t="s">
        <v>13</v>
      </c>
      <c r="K202" s="100">
        <f>+K200+K201</f>
        <v>6423.9190759040011</v>
      </c>
      <c r="M202" s="346"/>
    </row>
    <row r="203" spans="2:13" x14ac:dyDescent="0.25">
      <c r="B203" s="95" t="s">
        <v>1317</v>
      </c>
      <c r="C203" s="96" t="s">
        <v>67</v>
      </c>
      <c r="D203" s="101">
        <v>30</v>
      </c>
      <c r="E203" s="101">
        <v>0</v>
      </c>
      <c r="F203" s="101">
        <v>30</v>
      </c>
      <c r="G203" s="98">
        <f>+VLOOKUP(Tabla11034534544554564794558687786951081171271362282373523824062403594364764792376366103171175[[#This Row],[ArtÃ­culo]],Tabla34[#All],3,0)</f>
        <v>4.1835440000000004</v>
      </c>
      <c r="H203" s="99">
        <f>+Tabla11034534544554564794558687786951081171271362282373523824062403594364764792376366103171175[[#This Row],[Coste Componente]]*Tabla11034534544554564794558687786951081171271362282373523824062403594364764792376366103171175[[#This Row],[Unidades]]</f>
        <v>125.50632000000002</v>
      </c>
      <c r="I203" s="89"/>
      <c r="J203" s="102" t="s">
        <v>14</v>
      </c>
      <c r="K203" s="103">
        <v>49000</v>
      </c>
      <c r="M203" s="346"/>
    </row>
    <row r="204" spans="2:13" ht="14.4" x14ac:dyDescent="0.3">
      <c r="B204" s="95" t="s">
        <v>1309</v>
      </c>
      <c r="C204" s="96" t="s">
        <v>67</v>
      </c>
      <c r="D204" s="101">
        <v>20</v>
      </c>
      <c r="E204" s="101">
        <v>0</v>
      </c>
      <c r="F204" s="101">
        <v>20</v>
      </c>
      <c r="G204" s="98">
        <f>+VLOOKUP(Tabla11034534544554564794558687786951081171271362282373523824062403594364764792376366103171175[[#This Row],[ArtÃ­culo]],Tabla34[#All],3,0)</f>
        <v>10</v>
      </c>
      <c r="H204" s="99">
        <f>+Tabla11034534544554564794558687786951081171271362282373523824062403594364764792376366103171175[[#This Row],[Coste Componente]]*Tabla11034534544554564794558687786951081171271362282373523824062403594364764792376366103171175[[#This Row],[Unidades]]</f>
        <v>200</v>
      </c>
      <c r="I204" s="89"/>
      <c r="J204" s="93" t="s">
        <v>15</v>
      </c>
      <c r="K204" s="100">
        <f>+K203/1.08*0.08</f>
        <v>3629.6296296296291</v>
      </c>
      <c r="M204"/>
    </row>
    <row r="205" spans="2:13" ht="14.4" x14ac:dyDescent="0.3">
      <c r="B205" s="95" t="s">
        <v>168</v>
      </c>
      <c r="C205" s="96" t="s">
        <v>67</v>
      </c>
      <c r="D205" s="101">
        <v>30</v>
      </c>
      <c r="E205" s="101">
        <v>0</v>
      </c>
      <c r="F205" s="101">
        <v>30</v>
      </c>
      <c r="G205" s="98">
        <f>+VLOOKUP(Tabla11034534544554564794558687786951081171271362282373523824062403594364764792376366103171175[[#This Row],[ArtÃ­culo]],Tabla34[#All],3,0)</f>
        <v>10.86600002</v>
      </c>
      <c r="H205" s="99">
        <f>+Tabla11034534544554564794558687786951081171271362282373523824062403594364764792376366103171175[[#This Row],[Coste Componente]]*Tabla11034534544554564794558687786951081171271362282373523824062403594364764792376366103171175[[#This Row],[Unidades]]</f>
        <v>325.98000059999998</v>
      </c>
      <c r="J205" s="93" t="s">
        <v>16</v>
      </c>
      <c r="K205" s="100">
        <f>+K203-K204</f>
        <v>45370.370370370372</v>
      </c>
      <c r="M205" s="377" t="s">
        <v>1377</v>
      </c>
    </row>
    <row r="206" spans="2:13" x14ac:dyDescent="0.25">
      <c r="B206" s="95" t="s">
        <v>590</v>
      </c>
      <c r="C206" s="96" t="s">
        <v>67</v>
      </c>
      <c r="D206" s="101">
        <v>2</v>
      </c>
      <c r="E206" s="101">
        <v>0</v>
      </c>
      <c r="F206" s="101">
        <v>2</v>
      </c>
      <c r="G206" s="98">
        <f>+VLOOKUP(Tabla11034534544554564794558687786951081171271362282373523824062403594364764792376366103171175[[#This Row],[ArtÃ­culo]],Tabla34[#All],3,0)</f>
        <v>85.053389350000003</v>
      </c>
      <c r="H206" s="99">
        <f>+Tabla11034534544554564794558687786951081171271362282373523824062403594364764792376366103171175[[#This Row],[Coste Componente]]*Tabla11034534544554564794558687786951081171271362282373523824062403594364764792376366103171175[[#This Row],[Unidades]]</f>
        <v>170.10677870000001</v>
      </c>
      <c r="J206" s="93" t="s">
        <v>17</v>
      </c>
      <c r="K206" s="22">
        <f>+K202/K205</f>
        <v>0.14158842044849634</v>
      </c>
      <c r="M206" s="346"/>
    </row>
    <row r="207" spans="2:13" x14ac:dyDescent="0.25">
      <c r="B207" s="95" t="s">
        <v>742</v>
      </c>
      <c r="C207" s="96" t="s">
        <v>67</v>
      </c>
      <c r="D207" s="101">
        <v>5</v>
      </c>
      <c r="E207" s="101">
        <v>0</v>
      </c>
      <c r="F207" s="101">
        <v>5</v>
      </c>
      <c r="G207" s="98">
        <f>+VLOOKUP(Tabla11034534544554564794558687786951081171271362282373523824062403594364764792376366103171175[[#This Row],[ArtÃ­culo]],Tabla34[#All],3,0)</f>
        <v>12</v>
      </c>
      <c r="H207" s="99">
        <f>+Tabla11034534544554564794558687786951081171271362282373523824062403594364764792376366103171175[[#This Row],[Coste Componente]]*Tabla11034534544554564794558687786951081171271362282373523824062403594364764792376366103171175[[#This Row],[Unidades]]</f>
        <v>60</v>
      </c>
      <c r="J207" s="93" t="s">
        <v>18</v>
      </c>
      <c r="K207" s="23">
        <f>+K205-K202</f>
        <v>38946.451294466373</v>
      </c>
    </row>
    <row r="208" spans="2:13" x14ac:dyDescent="0.25">
      <c r="B208" s="104"/>
      <c r="C208" s="105"/>
      <c r="D208" s="105"/>
      <c r="E208" s="105"/>
      <c r="F208" s="105"/>
      <c r="G208" s="106"/>
      <c r="H208" s="106">
        <f>SUBTOTAL(109,Tabla11034534544554564794558687786951081171271362282373523824062403594364764792376366103171175[Coste LÃ­nea])</f>
        <v>5839.9264326400007</v>
      </c>
      <c r="J208" s="93" t="s">
        <v>19</v>
      </c>
      <c r="K208" s="25">
        <f>+K207/K202</f>
        <v>6.0627244574972581</v>
      </c>
    </row>
    <row r="209" spans="2:13" x14ac:dyDescent="0.25">
      <c r="I209" s="89"/>
    </row>
    <row r="210" spans="2:13" x14ac:dyDescent="0.25">
      <c r="I210" s="89"/>
    </row>
    <row r="211" spans="2:13" x14ac:dyDescent="0.25">
      <c r="I211" s="89"/>
    </row>
    <row r="212" spans="2:13" ht="15.6" x14ac:dyDescent="0.3">
      <c r="B212" s="86" t="s">
        <v>1430</v>
      </c>
      <c r="C212" s="87"/>
      <c r="D212" s="87"/>
      <c r="E212" s="88"/>
      <c r="F212" s="88"/>
      <c r="G212" s="88"/>
      <c r="H212" s="88"/>
      <c r="J212" s="403" t="s">
        <v>0</v>
      </c>
      <c r="K212" s="403"/>
      <c r="M212" s="377" t="s">
        <v>1394</v>
      </c>
    </row>
    <row r="213" spans="2:13" x14ac:dyDescent="0.25">
      <c r="B213" s="90" t="s">
        <v>857</v>
      </c>
      <c r="C213" s="91" t="s">
        <v>895</v>
      </c>
      <c r="D213" s="91" t="s">
        <v>892</v>
      </c>
      <c r="E213" s="91" t="s">
        <v>893</v>
      </c>
      <c r="F213" s="91" t="s">
        <v>894</v>
      </c>
      <c r="G213" s="92" t="s">
        <v>901</v>
      </c>
      <c r="H213" s="92" t="s">
        <v>902</v>
      </c>
      <c r="J213" s="93" t="s">
        <v>6</v>
      </c>
      <c r="K213" s="94">
        <f>SUM(Tabla11034534544554564794558687786951081171271362282373523824062403594364764792376366103171175463[Coste LÃ­nea])</f>
        <v>7590.5774110999992</v>
      </c>
      <c r="M213" s="346"/>
    </row>
    <row r="214" spans="2:13" x14ac:dyDescent="0.25">
      <c r="B214" s="95" t="s">
        <v>660</v>
      </c>
      <c r="C214" s="96" t="s">
        <v>605</v>
      </c>
      <c r="D214" s="101">
        <v>2</v>
      </c>
      <c r="E214" s="101">
        <v>0</v>
      </c>
      <c r="F214" s="101">
        <v>2</v>
      </c>
      <c r="G214" s="98">
        <f>+VLOOKUP(Tabla11034534544554564794558687786951081171271362282373523824062403594364764792376366103171175463[[#This Row],[ArtÃ­culo]],Tabla34[#All],3,0)</f>
        <v>3359</v>
      </c>
      <c r="H214" s="99">
        <f>+Tabla11034534544554564794558687786951081171271362282373523824062403594364764792376366103171175463[[#This Row],[Coste Componente]]*Tabla11034534544554564794558687786951081171271362282373523824062403594364764792376366103171175463[[#This Row],[Unidades]]</f>
        <v>6718</v>
      </c>
      <c r="J214" s="93" t="s">
        <v>12</v>
      </c>
      <c r="K214" s="100">
        <f>+K213*10%</f>
        <v>759.05774110999994</v>
      </c>
      <c r="M214" s="346"/>
    </row>
    <row r="215" spans="2:13" x14ac:dyDescent="0.25">
      <c r="B215" s="95" t="s">
        <v>1130</v>
      </c>
      <c r="C215" s="96" t="s">
        <v>67</v>
      </c>
      <c r="D215" s="101">
        <v>20</v>
      </c>
      <c r="E215" s="101">
        <v>0</v>
      </c>
      <c r="F215" s="101">
        <v>20</v>
      </c>
      <c r="G215" s="98">
        <f>+VLOOKUP(Tabla11034534544554564794558687786951081171271362282373523824062403594364764792376366103171175463[[#This Row],[ArtÃ­culo]],Tabla34[#All],3,0)</f>
        <v>4.2533333300000002</v>
      </c>
      <c r="H215" s="99">
        <f>+Tabla11034534544554564794558687786951081171271362282373523824062403594364764792376366103171175463[[#This Row],[Coste Componente]]*Tabla11034534544554564794558687786951081171271362282373523824062403594364764792376366103171175463[[#This Row],[Unidades]]</f>
        <v>85.066666600000005</v>
      </c>
      <c r="J215" s="93" t="s">
        <v>13</v>
      </c>
      <c r="K215" s="100">
        <f>+K213+K214</f>
        <v>8349.6351522099994</v>
      </c>
      <c r="M215" s="346"/>
    </row>
    <row r="216" spans="2:13" x14ac:dyDescent="0.25">
      <c r="B216" s="95" t="s">
        <v>168</v>
      </c>
      <c r="C216" s="96" t="s">
        <v>67</v>
      </c>
      <c r="D216" s="101">
        <v>30</v>
      </c>
      <c r="E216" s="101">
        <v>0</v>
      </c>
      <c r="F216" s="101">
        <v>30</v>
      </c>
      <c r="G216" s="98">
        <f>+VLOOKUP(Tabla11034534544554564794558687786951081171271362282373523824062403594364764792376366103171175463[[#This Row],[ArtÃ­culo]],Tabla34[#All],3,0)</f>
        <v>10.86600002</v>
      </c>
      <c r="H216" s="99">
        <f>+Tabla11034534544554564794558687786951081171271362282373523824062403594364764792376366103171175463[[#This Row],[Coste Componente]]*Tabla11034534544554564794558687786951081171271362282373523824062403594364764792376366103171175463[[#This Row],[Unidades]]</f>
        <v>325.98000059999998</v>
      </c>
      <c r="I216" s="89"/>
      <c r="J216" s="102" t="s">
        <v>14</v>
      </c>
      <c r="K216" s="103">
        <v>35000</v>
      </c>
      <c r="M216" s="346"/>
    </row>
    <row r="217" spans="2:13" ht="14.4" x14ac:dyDescent="0.3">
      <c r="B217" s="95" t="s">
        <v>134</v>
      </c>
      <c r="C217" s="96" t="s">
        <v>67</v>
      </c>
      <c r="D217" s="101">
        <v>30</v>
      </c>
      <c r="E217" s="101">
        <v>0</v>
      </c>
      <c r="F217" s="101">
        <v>30</v>
      </c>
      <c r="G217" s="98">
        <f>+VLOOKUP(Tabla11034534544554564794558687786951081171271362282373523824062403594364764792376366103171175463[[#This Row],[ArtÃ­culo]],Tabla34[#All],3,0)</f>
        <v>5.7702915900000002</v>
      </c>
      <c r="H217" s="99">
        <f>+Tabla11034534544554564794558687786951081171271362282373523824062403594364764792376366103171175463[[#This Row],[Coste Componente]]*Tabla11034534544554564794558687786951081171271362282373523824062403594364764792376366103171175463[[#This Row],[Unidades]]</f>
        <v>173.10874770000001</v>
      </c>
      <c r="I217" s="89"/>
      <c r="J217" s="93" t="s">
        <v>15</v>
      </c>
      <c r="K217" s="100">
        <f>+K216/1.08*0.08</f>
        <v>2592.5925925925926</v>
      </c>
      <c r="M217"/>
    </row>
    <row r="218" spans="2:13" ht="14.4" x14ac:dyDescent="0.3">
      <c r="B218" s="95" t="s">
        <v>1308</v>
      </c>
      <c r="C218" s="96" t="s">
        <v>67</v>
      </c>
      <c r="D218" s="101">
        <v>60</v>
      </c>
      <c r="E218" s="101">
        <v>0</v>
      </c>
      <c r="F218" s="101">
        <v>60</v>
      </c>
      <c r="G218" s="98">
        <f>+VLOOKUP(Tabla11034534544554564794558687786951081171271362282373523824062403594364764792376366103171175463[[#This Row],[ArtÃ­culo]],Tabla34[#All],3,0)</f>
        <v>4.8070332699999998</v>
      </c>
      <c r="H218" s="99">
        <f>+Tabla11034534544554564794558687786951081171271362282373523824062403594364764792376366103171175463[[#This Row],[Coste Componente]]*Tabla11034534544554564794558687786951081171271362282373523824062403594364764792376366103171175463[[#This Row],[Unidades]]</f>
        <v>288.42199619999997</v>
      </c>
      <c r="J218" s="93" t="s">
        <v>16</v>
      </c>
      <c r="K218" s="100">
        <f>+K216-K217</f>
        <v>32407.407407407409</v>
      </c>
      <c r="M218" s="377" t="s">
        <v>1377</v>
      </c>
    </row>
    <row r="219" spans="2:13" x14ac:dyDescent="0.25">
      <c r="B219" s="104"/>
      <c r="C219" s="105"/>
      <c r="D219" s="105"/>
      <c r="E219" s="105"/>
      <c r="F219" s="105"/>
      <c r="G219" s="106"/>
      <c r="H219" s="106">
        <f>SUBTOTAL(109,Tabla11034534544554564794558687786951081171271362282373523824062403594364764792376366103171175463[Coste LÃ­nea])</f>
        <v>7590.5774110999992</v>
      </c>
      <c r="J219" s="93" t="s">
        <v>17</v>
      </c>
      <c r="K219" s="22">
        <f>+K215/K218</f>
        <v>0.25764588469676569</v>
      </c>
      <c r="M219" s="346"/>
    </row>
    <row r="220" spans="2:13" x14ac:dyDescent="0.25">
      <c r="J220" s="93" t="s">
        <v>18</v>
      </c>
      <c r="K220" s="23">
        <f>+K218-K215</f>
        <v>24057.772255197408</v>
      </c>
    </row>
    <row r="221" spans="2:13" x14ac:dyDescent="0.25">
      <c r="J221" s="93" t="s">
        <v>19</v>
      </c>
      <c r="K221" s="25">
        <f>+K220/K215</f>
        <v>2.8812962263183133</v>
      </c>
    </row>
    <row r="222" spans="2:13" x14ac:dyDescent="0.25">
      <c r="I222" s="89"/>
    </row>
    <row r="223" spans="2:13" x14ac:dyDescent="0.25">
      <c r="I223" s="89"/>
    </row>
  </sheetData>
  <mergeCells count="17">
    <mergeCell ref="J212:K212"/>
    <mergeCell ref="J199:K199"/>
    <mergeCell ref="J187:K187"/>
    <mergeCell ref="J160:K160"/>
    <mergeCell ref="J171:K171"/>
    <mergeCell ref="J109:K109"/>
    <mergeCell ref="J122:K122"/>
    <mergeCell ref="J135:K135"/>
    <mergeCell ref="J148:K148"/>
    <mergeCell ref="J6:K6"/>
    <mergeCell ref="J20:K20"/>
    <mergeCell ref="J31:K31"/>
    <mergeCell ref="J95:K95"/>
    <mergeCell ref="J79:K79"/>
    <mergeCell ref="J55:K55"/>
    <mergeCell ref="J68:K68"/>
    <mergeCell ref="J42:K42"/>
  </mergeCells>
  <phoneticPr fontId="16" type="noConversion"/>
  <conditionalFormatting sqref="K13">
    <cfRule type="cellIs" dxfId="2389" priority="57" operator="lessThan">
      <formula>0.3</formula>
    </cfRule>
    <cfRule type="cellIs" dxfId="2388" priority="58" operator="greaterThan">
      <formula>0.3</formula>
    </cfRule>
  </conditionalFormatting>
  <conditionalFormatting sqref="K27">
    <cfRule type="cellIs" dxfId="2387" priority="41" operator="lessThan">
      <formula>0.3</formula>
    </cfRule>
    <cfRule type="cellIs" dxfId="2386" priority="42" operator="greaterThan">
      <formula>0.3</formula>
    </cfRule>
  </conditionalFormatting>
  <conditionalFormatting sqref="K38">
    <cfRule type="cellIs" dxfId="2385" priority="39" operator="lessThan">
      <formula>0.3</formula>
    </cfRule>
    <cfRule type="cellIs" dxfId="2384" priority="40" operator="greaterThan">
      <formula>0.3</formula>
    </cfRule>
  </conditionalFormatting>
  <conditionalFormatting sqref="K49">
    <cfRule type="cellIs" dxfId="2383" priority="35" operator="lessThan">
      <formula>0.3</formula>
    </cfRule>
    <cfRule type="cellIs" dxfId="2382" priority="36" operator="greaterThan">
      <formula>0.3</formula>
    </cfRule>
  </conditionalFormatting>
  <conditionalFormatting sqref="K62">
    <cfRule type="cellIs" dxfId="2381" priority="33" operator="lessThan">
      <formula>0.3</formula>
    </cfRule>
    <cfRule type="cellIs" dxfId="2380" priority="34" operator="greaterThan">
      <formula>0.3</formula>
    </cfRule>
  </conditionalFormatting>
  <conditionalFormatting sqref="K75">
    <cfRule type="cellIs" dxfId="2379" priority="25" operator="lessThan">
      <formula>0.3</formula>
    </cfRule>
    <cfRule type="cellIs" dxfId="2378" priority="26" operator="greaterThan">
      <formula>0.3</formula>
    </cfRule>
  </conditionalFormatting>
  <conditionalFormatting sqref="K86">
    <cfRule type="cellIs" dxfId="2377" priority="23" operator="lessThan">
      <formula>0.3</formula>
    </cfRule>
    <cfRule type="cellIs" dxfId="2376" priority="24" operator="greaterThan">
      <formula>0.3</formula>
    </cfRule>
  </conditionalFormatting>
  <conditionalFormatting sqref="K102">
    <cfRule type="cellIs" dxfId="2375" priority="21" operator="lessThan">
      <formula>0.3</formula>
    </cfRule>
    <cfRule type="cellIs" dxfId="2374" priority="22" operator="greaterThan">
      <formula>0.3</formula>
    </cfRule>
  </conditionalFormatting>
  <conditionalFormatting sqref="K116">
    <cfRule type="cellIs" dxfId="2373" priority="19" operator="lessThan">
      <formula>0.3</formula>
    </cfRule>
    <cfRule type="cellIs" dxfId="2372" priority="20" operator="greaterThan">
      <formula>0.3</formula>
    </cfRule>
  </conditionalFormatting>
  <conditionalFormatting sqref="K129">
    <cfRule type="cellIs" dxfId="2371" priority="17" operator="lessThan">
      <formula>0.3</formula>
    </cfRule>
    <cfRule type="cellIs" dxfId="2370" priority="18" operator="greaterThan">
      <formula>0.3</formula>
    </cfRule>
  </conditionalFormatting>
  <conditionalFormatting sqref="K142">
    <cfRule type="cellIs" dxfId="2369" priority="15" operator="lessThan">
      <formula>0.3</formula>
    </cfRule>
    <cfRule type="cellIs" dxfId="2368" priority="16" operator="greaterThan">
      <formula>0.3</formula>
    </cfRule>
  </conditionalFormatting>
  <conditionalFormatting sqref="K155">
    <cfRule type="cellIs" dxfId="2367" priority="13" operator="lessThan">
      <formula>0.3</formula>
    </cfRule>
    <cfRule type="cellIs" dxfId="2366" priority="14" operator="greaterThan">
      <formula>0.3</formula>
    </cfRule>
  </conditionalFormatting>
  <conditionalFormatting sqref="K167">
    <cfRule type="cellIs" dxfId="2365" priority="11" operator="lessThan">
      <formula>0.3</formula>
    </cfRule>
    <cfRule type="cellIs" dxfId="2364" priority="12" operator="greaterThan">
      <formula>0.3</formula>
    </cfRule>
  </conditionalFormatting>
  <conditionalFormatting sqref="K178">
    <cfRule type="cellIs" dxfId="2363" priority="7" operator="lessThan">
      <formula>0.3</formula>
    </cfRule>
    <cfRule type="cellIs" dxfId="2362" priority="8" operator="greaterThan">
      <formula>0.3</formula>
    </cfRule>
  </conditionalFormatting>
  <conditionalFormatting sqref="K194">
    <cfRule type="cellIs" dxfId="2361" priority="5" operator="lessThan">
      <formula>0.3</formula>
    </cfRule>
    <cfRule type="cellIs" dxfId="2360" priority="6" operator="greaterThan">
      <formula>0.3</formula>
    </cfRule>
  </conditionalFormatting>
  <conditionalFormatting sqref="K206">
    <cfRule type="cellIs" dxfId="2359" priority="3" operator="lessThan">
      <formula>0.3</formula>
    </cfRule>
    <cfRule type="cellIs" dxfId="2358" priority="4" operator="greaterThan">
      <formula>0.3</formula>
    </cfRule>
  </conditionalFormatting>
  <conditionalFormatting sqref="K219">
    <cfRule type="cellIs" dxfId="2357" priority="1" operator="lessThan">
      <formula>0.3</formula>
    </cfRule>
    <cfRule type="cellIs" dxfId="2356" priority="2" operator="greaterThan">
      <formula>0.3</formula>
    </cfRule>
  </conditionalFormatting>
  <pageMargins left="0.7" right="0.7" top="0.75" bottom="0.75" header="0.3" footer="0.3"/>
  <pageSetup orientation="portrait" horizontalDpi="360" verticalDpi="360" r:id="rId1"/>
  <drawing r:id="rId2"/>
  <tableParts count="51">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0D59-5228-4777-923A-FAFD7A418714}">
  <dimension ref="A6:M63"/>
  <sheetViews>
    <sheetView showGridLines="0" topLeftCell="A52" zoomScale="90" zoomScaleNormal="90" workbookViewId="0">
      <selection activeCell="O35" sqref="O35"/>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44140625" bestFit="1" customWidth="1"/>
  </cols>
  <sheetData>
    <row r="6" spans="2:13" ht="15.6" x14ac:dyDescent="0.3">
      <c r="B6" s="1" t="s">
        <v>1350</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f>SUM(Tabla1103453454455456479455868778695108117127136228[Total costo])</f>
        <v>2892.7636461699999</v>
      </c>
      <c r="M7" s="346"/>
    </row>
    <row r="8" spans="2:13" x14ac:dyDescent="0.3">
      <c r="B8" s="10" t="s">
        <v>226</v>
      </c>
      <c r="C8" s="11" t="s">
        <v>847</v>
      </c>
      <c r="D8" s="12">
        <v>1</v>
      </c>
      <c r="E8" s="12">
        <v>0</v>
      </c>
      <c r="F8" s="12">
        <v>1</v>
      </c>
      <c r="G8" s="13">
        <f>+VLOOKUP(Tabla1103453454455456479455868778695108117127136228[[#This Row],[Ingrediente]],Tabla34[#All],3,0)</f>
        <v>1497.59166667</v>
      </c>
      <c r="H8" s="14">
        <f>+Tabla1103453454455456479455868778695108117127136228[[#This Row],[Costo]]*Tabla1103453454455456479455868778695108117127136228[[#This Row],[Columna2]]</f>
        <v>1497.59166667</v>
      </c>
      <c r="I8" s="4"/>
      <c r="J8" s="8" t="s">
        <v>12</v>
      </c>
      <c r="K8" s="15">
        <f>+K7*10%</f>
        <v>289.27636461700001</v>
      </c>
    </row>
    <row r="9" spans="2:13" x14ac:dyDescent="0.3">
      <c r="B9" s="10" t="s">
        <v>168</v>
      </c>
      <c r="C9" s="11" t="s">
        <v>67</v>
      </c>
      <c r="D9" s="12">
        <v>30</v>
      </c>
      <c r="E9" s="12">
        <v>0</v>
      </c>
      <c r="F9" s="12">
        <v>30</v>
      </c>
      <c r="G9" s="13">
        <f>+VLOOKUP(Tabla1103453454455456479455868778695108117127136228[[#This Row],[Ingrediente]],Tabla34[#All],3,0)</f>
        <v>10.86600002</v>
      </c>
      <c r="H9" s="14">
        <f>+Tabla1103453454455456479455868778695108117127136228[[#This Row],[Costo]]*Tabla1103453454455456479455868778695108117127136228[[#This Row],[Columna2]]</f>
        <v>325.98000059999998</v>
      </c>
      <c r="I9" s="4"/>
      <c r="J9" s="8" t="s">
        <v>13</v>
      </c>
      <c r="K9" s="15">
        <f>+K7+K8</f>
        <v>3182.040010787</v>
      </c>
    </row>
    <row r="10" spans="2:13" x14ac:dyDescent="0.3">
      <c r="B10" s="10" t="s">
        <v>134</v>
      </c>
      <c r="C10" s="11" t="s">
        <v>67</v>
      </c>
      <c r="D10" s="12">
        <v>15</v>
      </c>
      <c r="E10" s="12">
        <v>0</v>
      </c>
      <c r="F10" s="12">
        <v>15</v>
      </c>
      <c r="G10" s="13">
        <f>+VLOOKUP(Tabla1103453454455456479455868778695108117127136228[[#This Row],[Ingrediente]],Tabla34[#All],3,0)</f>
        <v>5.7702915900000002</v>
      </c>
      <c r="H10" s="14">
        <f>+Tabla1103453454455456479455868778695108117127136228[[#This Row],[Costo]]*Tabla1103453454455456479455868778695108117127136228[[#This Row],[Columna2]]</f>
        <v>86.554373850000005</v>
      </c>
      <c r="I10" s="4"/>
      <c r="J10" s="20" t="s">
        <v>14</v>
      </c>
      <c r="K10" s="21">
        <v>16000</v>
      </c>
    </row>
    <row r="11" spans="2:13" x14ac:dyDescent="0.3">
      <c r="B11" s="10" t="s">
        <v>722</v>
      </c>
      <c r="C11" s="11" t="s">
        <v>67</v>
      </c>
      <c r="D11" s="12">
        <v>5</v>
      </c>
      <c r="E11" s="12">
        <v>0</v>
      </c>
      <c r="F11" s="12">
        <v>5</v>
      </c>
      <c r="G11" s="13">
        <f>+VLOOKUP(Tabla1103453454455456479455868778695108117127136228[[#This Row],[Ingrediente]],Tabla34[#All],3,0)</f>
        <v>6.25</v>
      </c>
      <c r="H11" s="14">
        <f>+Tabla1103453454455456479455868778695108117127136228[[#This Row],[Costo]]*Tabla1103453454455456479455868778695108117127136228[[#This Row],[Columna2]]</f>
        <v>31.25</v>
      </c>
      <c r="I11" s="4"/>
      <c r="J11" s="8" t="s">
        <v>15</v>
      </c>
      <c r="K11" s="15">
        <f>+K10/1.08*0.08</f>
        <v>1185.1851851851852</v>
      </c>
    </row>
    <row r="12" spans="2:13" x14ac:dyDescent="0.3">
      <c r="B12" s="10" t="s">
        <v>1232</v>
      </c>
      <c r="C12" s="11" t="s">
        <v>67</v>
      </c>
      <c r="D12" s="12">
        <v>60</v>
      </c>
      <c r="E12" s="12">
        <v>0</v>
      </c>
      <c r="F12" s="12">
        <v>60</v>
      </c>
      <c r="G12" s="13">
        <f>+VLOOKUP(Tabla1103453454455456479455868778695108117127136228[[#This Row],[Ingrediente]],Tabla34[#All],3,0)</f>
        <v>13</v>
      </c>
      <c r="H12" s="14">
        <f>+Tabla1103453454455456479455868778695108117127136228[[#This Row],[Costo]]*Tabla1103453454455456479455868778695108117127136228[[#This Row],[Columna2]]</f>
        <v>780</v>
      </c>
      <c r="I12" s="4"/>
      <c r="J12" s="8" t="s">
        <v>16</v>
      </c>
      <c r="K12" s="15">
        <f>+K10-K11</f>
        <v>14814.814814814814</v>
      </c>
    </row>
    <row r="13" spans="2:13" x14ac:dyDescent="0.3">
      <c r="B13" s="10" t="s">
        <v>799</v>
      </c>
      <c r="C13" s="11" t="s">
        <v>67</v>
      </c>
      <c r="D13" s="12">
        <v>5</v>
      </c>
      <c r="E13" s="12">
        <v>0</v>
      </c>
      <c r="F13" s="12">
        <v>5</v>
      </c>
      <c r="G13" s="13">
        <f>+VLOOKUP(Tabla1103453454455456479455868778695108117127136228[[#This Row],[Ingrediente]],Tabla34[#All],3,0)</f>
        <v>12.5</v>
      </c>
      <c r="H13" s="14">
        <f>+Tabla1103453454455456479455868778695108117127136228[[#This Row],[Costo]]*Tabla1103453454455456479455868778695108117127136228[[#This Row],[Columna2]]</f>
        <v>62.5</v>
      </c>
      <c r="I13" s="4"/>
      <c r="J13" s="8" t="s">
        <v>17</v>
      </c>
      <c r="K13" s="22">
        <f>+K9/K12</f>
        <v>0.2147877007281225</v>
      </c>
    </row>
    <row r="14" spans="2:13" x14ac:dyDescent="0.3">
      <c r="B14" s="10" t="s">
        <v>188</v>
      </c>
      <c r="C14" s="11" t="s">
        <v>67</v>
      </c>
      <c r="D14" s="12">
        <v>5</v>
      </c>
      <c r="E14" s="12">
        <v>0</v>
      </c>
      <c r="F14" s="12">
        <v>5</v>
      </c>
      <c r="G14" s="13">
        <f>+VLOOKUP(Tabla1103453454455456479455868778695108117127136228[[#This Row],[Ingrediente]],Tabla34[#All],3,0)</f>
        <v>21.777521010000001</v>
      </c>
      <c r="H14" s="14">
        <f>+Tabla1103453454455456479455868778695108117127136228[[#This Row],[Costo]]*Tabla1103453454455456479455868778695108117127136228[[#This Row],[Columna2]]</f>
        <v>108.88760505</v>
      </c>
      <c r="I14" s="4"/>
      <c r="J14" s="8" t="s">
        <v>18</v>
      </c>
      <c r="K14" s="23">
        <f>+K12-K9</f>
        <v>11632.774804027813</v>
      </c>
    </row>
    <row r="15" spans="2:13" x14ac:dyDescent="0.3">
      <c r="B15" s="16"/>
      <c r="C15" s="17"/>
      <c r="D15" s="17"/>
      <c r="E15" s="17"/>
      <c r="F15" s="17"/>
      <c r="G15" s="18"/>
      <c r="H15" s="18">
        <f>SUBTOTAL(109,Tabla1103453454455456479455868778695108117127136228[Total costo])</f>
        <v>2892.7636461699999</v>
      </c>
      <c r="I15" s="4"/>
      <c r="J15" s="8" t="s">
        <v>19</v>
      </c>
      <c r="K15" s="25">
        <f>+K14/K9</f>
        <v>3.6557600673131478</v>
      </c>
    </row>
    <row r="16" spans="2:13" x14ac:dyDescent="0.3">
      <c r="G16" s="4"/>
      <c r="H16" s="4"/>
      <c r="I16" s="31"/>
    </row>
    <row r="17" spans="1:13" x14ac:dyDescent="0.3">
      <c r="G17" s="4"/>
      <c r="H17" s="4"/>
      <c r="I17" s="31"/>
    </row>
    <row r="18" spans="1:13" ht="15.6" x14ac:dyDescent="0.3">
      <c r="A18" s="285"/>
      <c r="B18" s="1" t="s">
        <v>1351</v>
      </c>
      <c r="C18" s="2"/>
      <c r="D18" s="2"/>
      <c r="E18" s="3"/>
      <c r="F18" s="3"/>
      <c r="G18" s="3"/>
      <c r="H18" s="3"/>
      <c r="I18" s="4"/>
      <c r="J18" s="399" t="s">
        <v>0</v>
      </c>
      <c r="K18" s="399"/>
      <c r="M18" s="377" t="s">
        <v>1394</v>
      </c>
    </row>
    <row r="19" spans="1:13" x14ac:dyDescent="0.3">
      <c r="B19" s="77" t="s">
        <v>857</v>
      </c>
      <c r="C19" s="77" t="s">
        <v>895</v>
      </c>
      <c r="D19" s="77" t="s">
        <v>892</v>
      </c>
      <c r="E19" s="77" t="s">
        <v>893</v>
      </c>
      <c r="F19" s="77" t="s">
        <v>894</v>
      </c>
      <c r="G19" s="77" t="s">
        <v>901</v>
      </c>
      <c r="H19" s="77" t="s">
        <v>902</v>
      </c>
      <c r="I19" s="4"/>
      <c r="J19" s="8" t="s">
        <v>6</v>
      </c>
      <c r="K19" s="9">
        <f>SUM(Tabla110345345445545647936465969788796109118128137229[Coste LÃ­nea])</f>
        <v>2772.13868112</v>
      </c>
      <c r="M19" s="346"/>
    </row>
    <row r="20" spans="1:13" x14ac:dyDescent="0.3">
      <c r="B20" s="10" t="s">
        <v>226</v>
      </c>
      <c r="C20" s="11" t="s">
        <v>847</v>
      </c>
      <c r="D20" s="12">
        <v>1</v>
      </c>
      <c r="E20" s="12">
        <v>0</v>
      </c>
      <c r="F20" s="12">
        <v>1</v>
      </c>
      <c r="G20" s="13">
        <f>+VLOOKUP(Tabla110345345445545647936465969788796109118128137229[[#This Row],[ArtÃ­culo]],Tabla34[#All],3,0)</f>
        <v>1497.59166667</v>
      </c>
      <c r="H20" s="14">
        <f>+Tabla110345345445545647936465969788796109118128137229[[#This Row],[Coste Componente]]*Tabla110345345445545647936465969788796109118128137229[[#This Row],[Unidades]]</f>
        <v>1497.59166667</v>
      </c>
      <c r="I20" s="4"/>
      <c r="J20" s="8" t="s">
        <v>12</v>
      </c>
      <c r="K20" s="15">
        <f>+K19*10%</f>
        <v>277.213868112</v>
      </c>
    </row>
    <row r="21" spans="1:13" x14ac:dyDescent="0.3">
      <c r="B21" s="10" t="s">
        <v>134</v>
      </c>
      <c r="C21" s="11" t="s">
        <v>67</v>
      </c>
      <c r="D21" s="12">
        <v>15</v>
      </c>
      <c r="E21" s="12">
        <v>0</v>
      </c>
      <c r="F21" s="12">
        <v>15</v>
      </c>
      <c r="G21" s="13">
        <f>+VLOOKUP(Tabla110345345445545647936465969788796109118128137229[[#This Row],[ArtÃ­culo]],Tabla34[#All],3,0)</f>
        <v>5.7702915900000002</v>
      </c>
      <c r="H21" s="14">
        <f>+Tabla110345345445545647936465969788796109118128137229[[#This Row],[Coste Componente]]*Tabla110345345445545647936465969788796109118128137229[[#This Row],[Unidades]]</f>
        <v>86.554373850000005</v>
      </c>
      <c r="I21" s="4"/>
      <c r="J21" s="8" t="s">
        <v>13</v>
      </c>
      <c r="K21" s="15">
        <f>+K19+K20</f>
        <v>3049.352549232</v>
      </c>
    </row>
    <row r="22" spans="1:13" x14ac:dyDescent="0.3">
      <c r="B22" s="10" t="s">
        <v>168</v>
      </c>
      <c r="C22" s="11" t="s">
        <v>67</v>
      </c>
      <c r="D22" s="12">
        <v>30</v>
      </c>
      <c r="E22" s="12">
        <v>0</v>
      </c>
      <c r="F22" s="12">
        <v>30</v>
      </c>
      <c r="G22" s="13">
        <f>+VLOOKUP(Tabla110345345445545647936465969788796109118128137229[[#This Row],[ArtÃ­culo]],Tabla34[#All],3,0)</f>
        <v>10.86600002</v>
      </c>
      <c r="H22" s="14">
        <f>+Tabla110345345445545647936465969788796109118128137229[[#This Row],[Coste Componente]]*Tabla110345345445545647936465969788796109118128137229[[#This Row],[Unidades]]</f>
        <v>325.98000059999998</v>
      </c>
      <c r="I22" s="27"/>
      <c r="J22" s="20" t="s">
        <v>14</v>
      </c>
      <c r="K22" s="21">
        <v>16000</v>
      </c>
    </row>
    <row r="23" spans="1:13" x14ac:dyDescent="0.3">
      <c r="B23" s="10" t="s">
        <v>1317</v>
      </c>
      <c r="C23" s="11" t="s">
        <v>67</v>
      </c>
      <c r="D23" s="12">
        <v>60</v>
      </c>
      <c r="E23" s="12">
        <v>0</v>
      </c>
      <c r="F23" s="12">
        <v>60</v>
      </c>
      <c r="G23" s="13">
        <f>+VLOOKUP(Tabla110345345445545647936465969788796109118128137229[[#This Row],[ArtÃ­culo]],Tabla34[#All],3,0)</f>
        <v>4.1835440000000004</v>
      </c>
      <c r="H23" s="14">
        <f>+Tabla110345345445545647936465969788796109118128137229[[#This Row],[Coste Componente]]*Tabla110345345445545647936465969788796109118128137229[[#This Row],[Unidades]]</f>
        <v>251.01264000000003</v>
      </c>
      <c r="J23" s="8" t="s">
        <v>15</v>
      </c>
      <c r="K23" s="15">
        <f>+K22/1.08*0.08</f>
        <v>1185.1851851851852</v>
      </c>
    </row>
    <row r="24" spans="1:13" x14ac:dyDescent="0.3">
      <c r="B24" s="10" t="s">
        <v>1188</v>
      </c>
      <c r="C24" s="11" t="s">
        <v>67</v>
      </c>
      <c r="D24" s="12">
        <v>54</v>
      </c>
      <c r="E24" s="12">
        <v>0</v>
      </c>
      <c r="F24" s="12">
        <v>54</v>
      </c>
      <c r="G24" s="13">
        <f>+VLOOKUP(Tabla110345345445545647936465969788796109118128137229[[#This Row],[ArtÃ­culo]],Tabla34[#All],3,0)</f>
        <v>9</v>
      </c>
      <c r="H24" s="14">
        <f>+Tabla110345345445545647936465969788796109118128137229[[#This Row],[Coste Componente]]*Tabla110345345445545647936465969788796109118128137229[[#This Row],[Unidades]]</f>
        <v>486</v>
      </c>
      <c r="J24" s="8" t="s">
        <v>16</v>
      </c>
      <c r="K24" s="15">
        <f>+K22-K23</f>
        <v>14814.814814814814</v>
      </c>
    </row>
    <row r="25" spans="1:13" x14ac:dyDescent="0.3">
      <c r="B25" s="10" t="s">
        <v>923</v>
      </c>
      <c r="C25" s="11" t="s">
        <v>67</v>
      </c>
      <c r="D25" s="12">
        <v>5</v>
      </c>
      <c r="E25" s="12">
        <v>0</v>
      </c>
      <c r="F25" s="12">
        <v>5</v>
      </c>
      <c r="G25" s="13">
        <f>+VLOOKUP(Tabla110345345445545647936465969788796109118128137229[[#This Row],[ArtÃ­culo]],Tabla34[#All],3,0)</f>
        <v>25</v>
      </c>
      <c r="H25" s="14">
        <f>+Tabla110345345445545647936465969788796109118128137229[[#This Row],[Coste Componente]]*Tabla110345345445545647936465969788796109118128137229[[#This Row],[Unidades]]</f>
        <v>125</v>
      </c>
      <c r="I25" s="4"/>
      <c r="J25" s="8" t="s">
        <v>17</v>
      </c>
      <c r="K25" s="22">
        <f>+K21/K24</f>
        <v>0.20583129707316</v>
      </c>
    </row>
    <row r="26" spans="1:13" x14ac:dyDescent="0.3">
      <c r="B26" s="16"/>
      <c r="C26" s="17"/>
      <c r="D26" s="17"/>
      <c r="E26" s="17"/>
      <c r="F26" s="17"/>
      <c r="G26" s="18"/>
      <c r="H26" s="18">
        <f>SUBTOTAL(109,Tabla110345345445545647936465969788796109118128137229[Coste LÃ­nea])</f>
        <v>2772.13868112</v>
      </c>
      <c r="I26" s="4"/>
      <c r="J26" s="8" t="s">
        <v>18</v>
      </c>
      <c r="K26" s="23">
        <f>+K24-K21</f>
        <v>11765.462265582813</v>
      </c>
    </row>
    <row r="27" spans="1:13" x14ac:dyDescent="0.3">
      <c r="I27" s="4"/>
      <c r="J27" s="8" t="s">
        <v>19</v>
      </c>
      <c r="K27" s="25">
        <f>+K26/K21</f>
        <v>3.8583476576186722</v>
      </c>
    </row>
    <row r="28" spans="1:13" x14ac:dyDescent="0.3">
      <c r="I28" s="26"/>
    </row>
    <row r="29" spans="1:13" ht="15.6" x14ac:dyDescent="0.3">
      <c r="B29" s="1" t="s">
        <v>250</v>
      </c>
      <c r="C29" s="2"/>
      <c r="D29" s="2"/>
      <c r="E29" s="3"/>
      <c r="F29" s="404"/>
      <c r="G29" s="404"/>
      <c r="H29" s="404"/>
      <c r="I29" s="4"/>
      <c r="J29" s="399" t="s">
        <v>0</v>
      </c>
      <c r="K29" s="399"/>
      <c r="M29" s="377" t="s">
        <v>1394</v>
      </c>
    </row>
    <row r="30" spans="1:13" x14ac:dyDescent="0.3">
      <c r="B30" s="77" t="s">
        <v>857</v>
      </c>
      <c r="C30" s="77" t="s">
        <v>895</v>
      </c>
      <c r="D30" s="77" t="s">
        <v>892</v>
      </c>
      <c r="E30" s="77" t="s">
        <v>893</v>
      </c>
      <c r="F30" s="77" t="s">
        <v>894</v>
      </c>
      <c r="G30" s="77" t="s">
        <v>901</v>
      </c>
      <c r="H30" s="77" t="s">
        <v>902</v>
      </c>
      <c r="I30" s="4"/>
      <c r="J30" s="8" t="s">
        <v>6</v>
      </c>
      <c r="K30" s="9">
        <f>SUM(Tabla11034534544554564793637476070798897110119129138230[Coste LÃ­nea])</f>
        <v>5819.1635411700008</v>
      </c>
      <c r="M30" s="346"/>
    </row>
    <row r="31" spans="1:13" x14ac:dyDescent="0.3">
      <c r="B31" s="10" t="s">
        <v>226</v>
      </c>
      <c r="C31" s="11" t="s">
        <v>847</v>
      </c>
      <c r="D31" s="12">
        <v>1</v>
      </c>
      <c r="E31" s="12">
        <v>0</v>
      </c>
      <c r="F31" s="12">
        <v>1</v>
      </c>
      <c r="G31" s="13">
        <f>+VLOOKUP(Tabla11034534544554564793637476070798897110119129138230[[#This Row],[ArtÃ­culo]],Tabla34[#All],3,0)</f>
        <v>1497.59166667</v>
      </c>
      <c r="H31" s="14">
        <f>+Tabla11034534544554564793637476070798897110119129138230[[#This Row],[Coste Componente]]*Tabla11034534544554564793637476070798897110119129138230[[#This Row],[Unidades]]</f>
        <v>1497.59166667</v>
      </c>
      <c r="I31" s="4"/>
      <c r="J31" s="8" t="s">
        <v>12</v>
      </c>
      <c r="K31" s="15">
        <f>+K30*10%</f>
        <v>581.91635411700008</v>
      </c>
    </row>
    <row r="32" spans="1:13" x14ac:dyDescent="0.3">
      <c r="B32" s="10" t="s">
        <v>449</v>
      </c>
      <c r="C32" s="11" t="s">
        <v>67</v>
      </c>
      <c r="D32" s="12">
        <v>15</v>
      </c>
      <c r="E32" s="12">
        <v>0</v>
      </c>
      <c r="F32" s="12">
        <v>15</v>
      </c>
      <c r="G32" s="13">
        <f>+VLOOKUP(Tabla11034534544554564793637476070798897110119129138230[[#This Row],[ArtÃ­culo]],Tabla34[#All],3,0)</f>
        <v>46.669166670000003</v>
      </c>
      <c r="H32" s="14">
        <f>+Tabla11034534544554564793637476070798897110119129138230[[#This Row],[Coste Componente]]*Tabla11034534544554564793637476070798897110119129138230[[#This Row],[Unidades]]</f>
        <v>700.03750005000006</v>
      </c>
      <c r="I32" s="4"/>
      <c r="J32" s="8" t="s">
        <v>13</v>
      </c>
      <c r="K32" s="15">
        <f>+K30+K31</f>
        <v>6401.0798952870009</v>
      </c>
    </row>
    <row r="33" spans="2:13" x14ac:dyDescent="0.3">
      <c r="B33" s="10" t="s">
        <v>168</v>
      </c>
      <c r="C33" s="11" t="s">
        <v>67</v>
      </c>
      <c r="D33" s="12">
        <v>30</v>
      </c>
      <c r="E33" s="12">
        <v>0</v>
      </c>
      <c r="F33" s="12">
        <v>30</v>
      </c>
      <c r="G33" s="13">
        <f>+VLOOKUP(Tabla11034534544554564793637476070798897110119129138230[[#This Row],[ArtÃ­culo]],Tabla34[#All],3,0)</f>
        <v>10.86600002</v>
      </c>
      <c r="H33" s="14">
        <f>+Tabla11034534544554564793637476070798897110119129138230[[#This Row],[Coste Componente]]*Tabla11034534544554564793637476070798897110119129138230[[#This Row],[Unidades]]</f>
        <v>325.98000059999998</v>
      </c>
      <c r="I33" s="4"/>
      <c r="J33" s="20" t="s">
        <v>14</v>
      </c>
      <c r="K33" s="21">
        <v>16000</v>
      </c>
    </row>
    <row r="34" spans="2:13" x14ac:dyDescent="0.3">
      <c r="B34" s="10" t="s">
        <v>800</v>
      </c>
      <c r="C34" s="11" t="s">
        <v>605</v>
      </c>
      <c r="D34" s="12">
        <v>2</v>
      </c>
      <c r="E34" s="12">
        <v>0</v>
      </c>
      <c r="F34" s="12">
        <v>2</v>
      </c>
      <c r="G34" s="13">
        <f>+VLOOKUP(Tabla11034534544554564793637476070798897110119129138230[[#This Row],[ArtÃ­culo]],Tabla34[#All],3,0)</f>
        <v>1594</v>
      </c>
      <c r="H34" s="14">
        <f>+Tabla11034534544554564793637476070798897110119129138230[[#This Row],[Coste Componente]]*Tabla11034534544554564793637476070798897110119129138230[[#This Row],[Unidades]]</f>
        <v>3188</v>
      </c>
      <c r="I34" s="4"/>
      <c r="J34" s="8" t="s">
        <v>15</v>
      </c>
      <c r="K34" s="15">
        <f>+K33/1.08*0.08</f>
        <v>1185.1851851851852</v>
      </c>
    </row>
    <row r="35" spans="2:13" x14ac:dyDescent="0.3">
      <c r="B35" s="10" t="s">
        <v>134</v>
      </c>
      <c r="C35" s="11" t="s">
        <v>67</v>
      </c>
      <c r="D35" s="12">
        <v>15</v>
      </c>
      <c r="E35" s="12">
        <v>0</v>
      </c>
      <c r="F35" s="12">
        <v>15</v>
      </c>
      <c r="G35" s="13">
        <f>+VLOOKUP(Tabla11034534544554564793637476070798897110119129138230[[#This Row],[ArtÃ­culo]],Tabla34[#All],3,0)</f>
        <v>5.7702915900000002</v>
      </c>
      <c r="H35" s="14">
        <f>+Tabla11034534544554564793637476070798897110119129138230[[#This Row],[Coste Componente]]*Tabla11034534544554564793637476070798897110119129138230[[#This Row],[Unidades]]</f>
        <v>86.554373850000005</v>
      </c>
      <c r="I35" s="4"/>
      <c r="J35" s="8" t="s">
        <v>16</v>
      </c>
      <c r="K35" s="15">
        <f>+K33-K34</f>
        <v>14814.814814814814</v>
      </c>
    </row>
    <row r="36" spans="2:13" x14ac:dyDescent="0.3">
      <c r="B36" s="10" t="s">
        <v>748</v>
      </c>
      <c r="C36" s="11" t="s">
        <v>67</v>
      </c>
      <c r="D36" s="12">
        <v>2</v>
      </c>
      <c r="E36" s="12">
        <v>0</v>
      </c>
      <c r="F36" s="12">
        <v>2</v>
      </c>
      <c r="G36" s="13">
        <f>+VLOOKUP(Tabla11034534544554564793637476070798897110119129138230[[#This Row],[ArtÃ­culo]],Tabla34[#All],3,0)</f>
        <v>10.5</v>
      </c>
      <c r="H36" s="14">
        <f>+Tabla11034534544554564793637476070798897110119129138230[[#This Row],[Coste Componente]]*Tabla11034534544554564793637476070798897110119129138230[[#This Row],[Unidades]]</f>
        <v>21</v>
      </c>
      <c r="I36" s="27"/>
      <c r="J36" s="8" t="s">
        <v>17</v>
      </c>
      <c r="K36" s="22">
        <f>+K32/K35</f>
        <v>0.43207289293187257</v>
      </c>
    </row>
    <row r="37" spans="2:13" x14ac:dyDescent="0.3">
      <c r="B37" s="16"/>
      <c r="C37" s="17"/>
      <c r="D37" s="17"/>
      <c r="E37" s="17"/>
      <c r="F37" s="17"/>
      <c r="G37" s="18"/>
      <c r="H37" s="18">
        <f>SUBTOTAL(109,Tabla11034534544554564793637476070798897110119129138230[Coste LÃ­nea])</f>
        <v>5819.1635411700008</v>
      </c>
      <c r="J37" s="8" t="s">
        <v>18</v>
      </c>
      <c r="K37" s="23">
        <f>+K35-K32</f>
        <v>8413.734919527813</v>
      </c>
    </row>
    <row r="38" spans="2:13" x14ac:dyDescent="0.3">
      <c r="J38" s="8" t="s">
        <v>19</v>
      </c>
      <c r="K38" s="25">
        <f>+K37/K32</f>
        <v>1.3144242935825083</v>
      </c>
    </row>
    <row r="39" spans="2:13" x14ac:dyDescent="0.3">
      <c r="I39" s="31"/>
    </row>
    <row r="40" spans="2:13" x14ac:dyDescent="0.3">
      <c r="G40" s="4"/>
      <c r="H40" s="4"/>
      <c r="I40" s="4"/>
      <c r="J40" s="4"/>
      <c r="K40" s="31"/>
    </row>
    <row r="41" spans="2:13" ht="15.6" x14ac:dyDescent="0.3">
      <c r="B41" s="1" t="s">
        <v>1096</v>
      </c>
      <c r="C41" s="2"/>
      <c r="D41" s="2"/>
      <c r="E41" s="3"/>
      <c r="F41" s="3"/>
      <c r="G41" s="75"/>
      <c r="H41" s="75"/>
      <c r="I41" s="4"/>
      <c r="J41" s="399" t="s">
        <v>0</v>
      </c>
      <c r="K41" s="399"/>
      <c r="M41" s="377" t="s">
        <v>1394</v>
      </c>
    </row>
    <row r="42" spans="2:13" x14ac:dyDescent="0.3">
      <c r="B42" s="5" t="s">
        <v>1</v>
      </c>
      <c r="C42" s="6" t="s">
        <v>2</v>
      </c>
      <c r="D42" s="6" t="s">
        <v>3</v>
      </c>
      <c r="E42" s="6" t="s">
        <v>920</v>
      </c>
      <c r="F42" s="6" t="s">
        <v>319</v>
      </c>
      <c r="G42" s="7" t="s">
        <v>4</v>
      </c>
      <c r="H42" s="7" t="s">
        <v>5</v>
      </c>
      <c r="I42" s="4"/>
      <c r="J42" s="8" t="s">
        <v>6</v>
      </c>
      <c r="K42" s="9">
        <f>SUM(Tabla11034534544554564793637476070798897110119129138230271[Total costo])</f>
        <v>3417.4454970699999</v>
      </c>
      <c r="M42" s="346"/>
    </row>
    <row r="43" spans="2:13" x14ac:dyDescent="0.3">
      <c r="B43" s="10" t="s">
        <v>606</v>
      </c>
      <c r="C43" s="11" t="s">
        <v>67</v>
      </c>
      <c r="D43" s="12">
        <v>29.999998600000001</v>
      </c>
      <c r="E43" s="12">
        <v>78</v>
      </c>
      <c r="F43" s="12">
        <v>136.36363</v>
      </c>
      <c r="G43" s="13">
        <f>+VLOOKUP(Tabla11034534544554564793637476070798897110119129138230271[[#This Row],[Ingrediente]],Tabla34[#All],3,0)</f>
        <v>4.5</v>
      </c>
      <c r="H43" s="14">
        <f>+Tabla11034534544554564793637476070798897110119129138230271[[#This Row],[Costo]]*Tabla11034534544554564793637476070798897110119129138230271[[#This Row],[Columna2]]</f>
        <v>613.63633500000003</v>
      </c>
      <c r="I43" s="4"/>
      <c r="J43" s="8" t="s">
        <v>12</v>
      </c>
      <c r="K43" s="15">
        <f>+K42*10%</f>
        <v>341.74454970700003</v>
      </c>
    </row>
    <row r="44" spans="2:13" x14ac:dyDescent="0.3">
      <c r="B44" s="10" t="s">
        <v>134</v>
      </c>
      <c r="C44" s="11" t="s">
        <v>67</v>
      </c>
      <c r="D44" s="12">
        <v>60</v>
      </c>
      <c r="E44" s="12">
        <v>0</v>
      </c>
      <c r="F44" s="12">
        <v>60</v>
      </c>
      <c r="G44" s="13">
        <f>+VLOOKUP(Tabla11034534544554564793637476070798897110119129138230271[[#This Row],[Ingrediente]],Tabla34[#All],3,0)</f>
        <v>5.7702915900000002</v>
      </c>
      <c r="H44" s="14">
        <f>+Tabla11034534544554564793637476070798897110119129138230271[[#This Row],[Costo]]*Tabla11034534544554564793637476070798897110119129138230271[[#This Row],[Columna2]]</f>
        <v>346.21749540000002</v>
      </c>
      <c r="I44" s="4"/>
      <c r="J44" s="8" t="s">
        <v>13</v>
      </c>
      <c r="K44" s="15">
        <f>+K42+K43</f>
        <v>3759.1900467770001</v>
      </c>
    </row>
    <row r="45" spans="2:13" x14ac:dyDescent="0.3">
      <c r="B45" s="10" t="s">
        <v>226</v>
      </c>
      <c r="C45" s="11" t="s">
        <v>847</v>
      </c>
      <c r="D45" s="12">
        <v>1</v>
      </c>
      <c r="E45" s="12">
        <v>0</v>
      </c>
      <c r="F45" s="12">
        <v>1</v>
      </c>
      <c r="G45" s="13">
        <f>+VLOOKUP(Tabla11034534544554564793637476070798897110119129138230271[[#This Row],[Ingrediente]],Tabla34[#All],3,0)</f>
        <v>1497.59166667</v>
      </c>
      <c r="H45" s="14">
        <f>+Tabla11034534544554564793637476070798897110119129138230271[[#This Row],[Costo]]*Tabla11034534544554564793637476070798897110119129138230271[[#This Row],[Columna2]]</f>
        <v>1497.59166667</v>
      </c>
      <c r="I45" s="4"/>
      <c r="J45" s="20" t="s">
        <v>14</v>
      </c>
      <c r="K45" s="21">
        <v>16000</v>
      </c>
    </row>
    <row r="46" spans="2:13" x14ac:dyDescent="0.3">
      <c r="B46" s="10" t="s">
        <v>751</v>
      </c>
      <c r="C46" s="11" t="s">
        <v>67</v>
      </c>
      <c r="D46" s="12">
        <v>60</v>
      </c>
      <c r="E46" s="12">
        <v>0</v>
      </c>
      <c r="F46" s="12">
        <v>60</v>
      </c>
      <c r="G46" s="13">
        <f>+VLOOKUP(Tabla11034534544554564793637476070798897110119129138230271[[#This Row],[Ingrediente]],Tabla34[#All],3,0)</f>
        <v>16</v>
      </c>
      <c r="H46" s="14">
        <f>+Tabla11034534544554564793637476070798897110119129138230271[[#This Row],[Costo]]*Tabla11034534544554564793637476070798897110119129138230271[[#This Row],[Columna2]]</f>
        <v>960</v>
      </c>
      <c r="I46" s="4"/>
      <c r="J46" s="8" t="s">
        <v>15</v>
      </c>
      <c r="K46" s="15">
        <f>+K45/1.08*0.08</f>
        <v>1185.1851851851852</v>
      </c>
    </row>
    <row r="47" spans="2:13" x14ac:dyDescent="0.3">
      <c r="B47" s="16"/>
      <c r="C47" s="17"/>
      <c r="D47" s="17"/>
      <c r="E47" s="17"/>
      <c r="F47" s="17"/>
      <c r="G47" s="18"/>
      <c r="H47" s="18">
        <f>SUBTOTAL(109,Tabla11034534544554564793637476070798897110119129138230271[Total costo])</f>
        <v>3417.4454970699999</v>
      </c>
      <c r="I47" s="4"/>
      <c r="J47" s="8" t="s">
        <v>16</v>
      </c>
      <c r="K47" s="15">
        <f>+K45-K46</f>
        <v>14814.814814814814</v>
      </c>
    </row>
    <row r="48" spans="2:13" x14ac:dyDescent="0.3">
      <c r="I48" s="27"/>
      <c r="J48" s="8" t="s">
        <v>17</v>
      </c>
      <c r="K48" s="22">
        <f>+K44/K47</f>
        <v>0.25374532815744755</v>
      </c>
    </row>
    <row r="49" spans="2:13" x14ac:dyDescent="0.3">
      <c r="J49" s="8" t="s">
        <v>18</v>
      </c>
      <c r="K49" s="23">
        <f>+K47-K44</f>
        <v>11055.624768037815</v>
      </c>
    </row>
    <row r="50" spans="2:13" x14ac:dyDescent="0.3">
      <c r="J50" s="8" t="s">
        <v>19</v>
      </c>
      <c r="K50" s="25">
        <f>+K49/K44</f>
        <v>2.9409592573050478</v>
      </c>
    </row>
    <row r="54" spans="2:13" ht="15.6" x14ac:dyDescent="0.3">
      <c r="B54" s="1" t="s">
        <v>1352</v>
      </c>
      <c r="C54" s="2"/>
      <c r="D54" s="2"/>
      <c r="E54" s="3"/>
      <c r="F54" s="3"/>
      <c r="G54" s="75"/>
      <c r="H54" s="75"/>
      <c r="I54" s="4"/>
      <c r="J54" s="399" t="s">
        <v>0</v>
      </c>
      <c r="K54" s="399"/>
      <c r="M54" s="377" t="s">
        <v>1394</v>
      </c>
    </row>
    <row r="55" spans="2:13" x14ac:dyDescent="0.3">
      <c r="B55" s="5" t="s">
        <v>1</v>
      </c>
      <c r="C55" s="6" t="s">
        <v>2</v>
      </c>
      <c r="D55" s="6" t="s">
        <v>3</v>
      </c>
      <c r="E55" s="6" t="s">
        <v>920</v>
      </c>
      <c r="F55" s="6" t="s">
        <v>319</v>
      </c>
      <c r="G55" s="7" t="s">
        <v>4</v>
      </c>
      <c r="H55" s="7" t="s">
        <v>5</v>
      </c>
      <c r="I55" s="4"/>
      <c r="J55" s="8" t="s">
        <v>6</v>
      </c>
      <c r="K55" s="9">
        <f>SUM(Tabla11034534544554564793637476070798897110119129138230271161[Total costo])</f>
        <v>3536.2719850200001</v>
      </c>
      <c r="M55" s="346"/>
    </row>
    <row r="56" spans="2:13" x14ac:dyDescent="0.3">
      <c r="B56" s="10" t="s">
        <v>1275</v>
      </c>
      <c r="C56" s="11" t="s">
        <v>67</v>
      </c>
      <c r="D56" s="12">
        <v>60</v>
      </c>
      <c r="E56" s="12">
        <v>0</v>
      </c>
      <c r="F56" s="12">
        <v>60</v>
      </c>
      <c r="G56" s="13">
        <f>+VLOOKUP(Tabla11034534544554564793637476070798897110119129138230271161[[#This Row],[Ingrediente]],Tabla34[#All],3,0)</f>
        <v>21.91635934</v>
      </c>
      <c r="H56" s="14">
        <f>+Tabla11034534544554564793637476070798897110119129138230271161[[#This Row],[Costo]]*Tabla11034534544554564793637476070798897110119129138230271161[[#This Row],[Columna2]]</f>
        <v>1314.9815604</v>
      </c>
      <c r="I56" s="4"/>
      <c r="J56" s="8" t="s">
        <v>12</v>
      </c>
      <c r="K56" s="15">
        <f>+K55*10%</f>
        <v>353.62719850200006</v>
      </c>
    </row>
    <row r="57" spans="2:13" x14ac:dyDescent="0.3">
      <c r="B57" s="10" t="s">
        <v>168</v>
      </c>
      <c r="C57" s="11" t="s">
        <v>67</v>
      </c>
      <c r="D57" s="12">
        <v>30</v>
      </c>
      <c r="E57" s="12">
        <v>0</v>
      </c>
      <c r="F57" s="12">
        <v>30</v>
      </c>
      <c r="G57" s="13">
        <f>+VLOOKUP(Tabla11034534544554564793637476070798897110119129138230271161[[#This Row],[Ingrediente]],Tabla34[#All],3,0)</f>
        <v>10.86600002</v>
      </c>
      <c r="H57" s="14">
        <f>+Tabla11034534544554564793637476070798897110119129138230271161[[#This Row],[Costo]]*Tabla11034534544554564793637476070798897110119129138230271161[[#This Row],[Columna2]]</f>
        <v>325.98000059999998</v>
      </c>
      <c r="I57" s="4"/>
      <c r="J57" s="8" t="s">
        <v>13</v>
      </c>
      <c r="K57" s="15">
        <f>+K55+K56</f>
        <v>3889.8991835220004</v>
      </c>
    </row>
    <row r="58" spans="2:13" x14ac:dyDescent="0.3">
      <c r="B58" s="10" t="s">
        <v>134</v>
      </c>
      <c r="C58" s="11" t="s">
        <v>67</v>
      </c>
      <c r="D58" s="12">
        <v>15</v>
      </c>
      <c r="E58" s="12">
        <v>0</v>
      </c>
      <c r="F58" s="12">
        <v>15</v>
      </c>
      <c r="G58" s="13">
        <f>+VLOOKUP(Tabla11034534544554564793637476070798897110119129138230271161[[#This Row],[Ingrediente]],Tabla34[#All],3,0)</f>
        <v>5.7702915900000002</v>
      </c>
      <c r="H58" s="14">
        <f>+Tabla11034534544554564793637476070798897110119129138230271161[[#This Row],[Costo]]*Tabla11034534544554564793637476070798897110119129138230271161[[#This Row],[Columna2]]</f>
        <v>86.554373850000005</v>
      </c>
      <c r="I58" s="4"/>
      <c r="J58" s="20" t="s">
        <v>14</v>
      </c>
      <c r="K58" s="21">
        <v>16000</v>
      </c>
    </row>
    <row r="59" spans="2:13" x14ac:dyDescent="0.3">
      <c r="B59" s="10" t="s">
        <v>751</v>
      </c>
      <c r="C59" s="11" t="s">
        <v>67</v>
      </c>
      <c r="D59" s="12">
        <v>5</v>
      </c>
      <c r="E59" s="12">
        <v>0</v>
      </c>
      <c r="F59" s="12">
        <v>5</v>
      </c>
      <c r="G59" s="13">
        <f>+VLOOKUP(Tabla11034534544554564793637476070798897110119129138230271161[[#This Row],[Ingrediente]],Tabla34[#All],3,0)</f>
        <v>16</v>
      </c>
      <c r="H59" s="14">
        <f>+Tabla11034534544554564793637476070798897110119129138230271161[[#This Row],[Costo]]*Tabla11034534544554564793637476070798897110119129138230271161[[#This Row],[Columna2]]</f>
        <v>80</v>
      </c>
      <c r="I59" s="4"/>
      <c r="J59" s="8" t="s">
        <v>15</v>
      </c>
      <c r="K59" s="15">
        <f>+K58/1.08*0.08</f>
        <v>1185.1851851851852</v>
      </c>
    </row>
    <row r="60" spans="2:13" x14ac:dyDescent="0.3">
      <c r="B60" s="10" t="s">
        <v>226</v>
      </c>
      <c r="C60" s="11" t="s">
        <v>847</v>
      </c>
      <c r="D60" s="12">
        <v>1</v>
      </c>
      <c r="E60" s="12">
        <v>0</v>
      </c>
      <c r="F60" s="12">
        <v>1</v>
      </c>
      <c r="G60" s="13">
        <f>+VLOOKUP(Tabla11034534544554564793637476070798897110119129138230271161[[#This Row],[Ingrediente]],Tabla34[#All],3,0)</f>
        <v>1497.59166667</v>
      </c>
      <c r="H60" s="14">
        <f>+Tabla11034534544554564793637476070798897110119129138230271161[[#This Row],[Costo]]*Tabla11034534544554564793637476070798897110119129138230271161[[#This Row],[Columna2]]</f>
        <v>1497.59166667</v>
      </c>
      <c r="I60" s="4"/>
      <c r="J60" s="8" t="s">
        <v>16</v>
      </c>
      <c r="K60" s="15">
        <f>+K58-K59</f>
        <v>14814.814814814814</v>
      </c>
    </row>
    <row r="61" spans="2:13" x14ac:dyDescent="0.3">
      <c r="B61" s="10" t="s">
        <v>887</v>
      </c>
      <c r="C61" s="11" t="s">
        <v>67</v>
      </c>
      <c r="D61" s="12">
        <v>5</v>
      </c>
      <c r="E61" s="12">
        <v>0</v>
      </c>
      <c r="F61" s="12">
        <v>5</v>
      </c>
      <c r="G61" s="13">
        <f>+VLOOKUP(Tabla11034534544554564793637476070798897110119129138230271161[[#This Row],[Ingrediente]],Tabla34[#All],3,0)</f>
        <v>46.232876699999998</v>
      </c>
      <c r="H61" s="14">
        <f>+Tabla11034534544554564793637476070798897110119129138230271161[[#This Row],[Costo]]*Tabla11034534544554564793637476070798897110119129138230271161[[#This Row],[Columna2]]</f>
        <v>231.16438349999999</v>
      </c>
      <c r="I61" s="27"/>
      <c r="J61" s="8" t="s">
        <v>17</v>
      </c>
      <c r="K61" s="22">
        <f>+K57/K60</f>
        <v>0.26256819488773503</v>
      </c>
    </row>
    <row r="62" spans="2:13" x14ac:dyDescent="0.3">
      <c r="B62" s="16"/>
      <c r="C62" s="17"/>
      <c r="D62" s="17"/>
      <c r="E62" s="17"/>
      <c r="F62" s="17"/>
      <c r="G62" s="18"/>
      <c r="H62" s="18">
        <f>SUBTOTAL(109,Tabla11034534544554564793637476070798897110119129138230271161[Total costo])</f>
        <v>3536.2719850200001</v>
      </c>
      <c r="J62" s="8" t="s">
        <v>18</v>
      </c>
      <c r="K62" s="23">
        <f>+K60-K57</f>
        <v>10924.915631292813</v>
      </c>
    </row>
    <row r="63" spans="2:13" x14ac:dyDescent="0.3">
      <c r="J63" s="8" t="s">
        <v>19</v>
      </c>
      <c r="K63" s="25">
        <f>+K62/K57</f>
        <v>2.8085343901898132</v>
      </c>
    </row>
  </sheetData>
  <mergeCells count="6">
    <mergeCell ref="F29:H29"/>
    <mergeCell ref="J54:K54"/>
    <mergeCell ref="J6:K6"/>
    <mergeCell ref="J18:K18"/>
    <mergeCell ref="J29:K29"/>
    <mergeCell ref="J41:K41"/>
  </mergeCells>
  <phoneticPr fontId="16" type="noConversion"/>
  <conditionalFormatting sqref="K13">
    <cfRule type="cellIs" dxfId="2355" priority="21" operator="lessThan">
      <formula>0.3</formula>
    </cfRule>
    <cfRule type="cellIs" dxfId="2354" priority="22" operator="greaterThan">
      <formula>0.3</formula>
    </cfRule>
  </conditionalFormatting>
  <conditionalFormatting sqref="K25">
    <cfRule type="cellIs" dxfId="2353" priority="19" operator="lessThan">
      <formula>0.3</formula>
    </cfRule>
    <cfRule type="cellIs" dxfId="2352" priority="20" operator="greaterThan">
      <formula>0.3</formula>
    </cfRule>
  </conditionalFormatting>
  <conditionalFormatting sqref="K36">
    <cfRule type="cellIs" dxfId="2351" priority="17" operator="lessThan">
      <formula>0.3</formula>
    </cfRule>
    <cfRule type="cellIs" dxfId="2350" priority="18" operator="greaterThan">
      <formula>0.3</formula>
    </cfRule>
  </conditionalFormatting>
  <conditionalFormatting sqref="K48">
    <cfRule type="cellIs" dxfId="2349" priority="3" operator="lessThan">
      <formula>0.3</formula>
    </cfRule>
    <cfRule type="cellIs" dxfId="2348" priority="4" operator="greaterThan">
      <formula>0.3</formula>
    </cfRule>
  </conditionalFormatting>
  <conditionalFormatting sqref="K61">
    <cfRule type="cellIs" dxfId="2347" priority="1" operator="lessThan">
      <formula>0.3</formula>
    </cfRule>
    <cfRule type="cellIs" dxfId="2346" priority="2" operator="greaterThan">
      <formula>0.3</formula>
    </cfRule>
  </conditionalFormatting>
  <pageMargins left="0.7" right="0.7" top="0.75" bottom="0.75" header="0.3" footer="0.3"/>
  <pageSetup orientation="portrait" horizontalDpi="360" verticalDpi="360" r:id="rId1"/>
  <drawing r:id="rId2"/>
  <tableParts count="10">
    <tablePart r:id="rId3"/>
    <tablePart r:id="rId4"/>
    <tablePart r:id="rId5"/>
    <tablePart r:id="rId6"/>
    <tablePart r:id="rId7"/>
    <tablePart r:id="rId8"/>
    <tablePart r:id="rId9"/>
    <tablePart r:id="rId10"/>
    <tablePart r:id="rId11"/>
    <tablePart r:id="rId1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D360-6691-4E91-9E0A-B601D7BF0C6E}">
  <dimension ref="B6:M16"/>
  <sheetViews>
    <sheetView showGridLines="0" topLeftCell="A3" zoomScale="96" zoomScaleNormal="96" workbookViewId="0">
      <selection activeCell="M6" sqref="M6:M7"/>
    </sheetView>
  </sheetViews>
  <sheetFormatPr baseColWidth="10" defaultColWidth="10.88671875" defaultRowHeight="13.2" x14ac:dyDescent="0.25"/>
  <cols>
    <col min="1" max="1" width="4" style="40" customWidth="1"/>
    <col min="2" max="2" width="41.44140625" style="40" bestFit="1" customWidth="1"/>
    <col min="3" max="3" width="10.33203125" style="40" bestFit="1" customWidth="1"/>
    <col min="4" max="4" width="8.5546875" style="40" customWidth="1"/>
    <col min="5" max="5" width="9.44140625" style="40" customWidth="1"/>
    <col min="6" max="6" width="17.44140625" style="40" bestFit="1" customWidth="1"/>
    <col min="7" max="7" width="16.21875" style="40" customWidth="1"/>
    <col min="8" max="8" width="16.6640625" style="40" customWidth="1"/>
    <col min="9" max="9" width="4.44140625" style="40" customWidth="1"/>
    <col min="10" max="10" width="27.6640625" style="40" bestFit="1" customWidth="1"/>
    <col min="11" max="16384" width="10.88671875" style="40"/>
  </cols>
  <sheetData>
    <row r="6" spans="2:13" ht="15.6" x14ac:dyDescent="0.3">
      <c r="B6" s="1" t="s">
        <v>439</v>
      </c>
      <c r="C6" s="2"/>
      <c r="D6" s="2"/>
      <c r="E6" s="3"/>
      <c r="F6" s="3"/>
      <c r="G6" s="3"/>
      <c r="H6" s="3"/>
      <c r="I6" s="4"/>
      <c r="J6" s="399" t="s">
        <v>0</v>
      </c>
      <c r="K6" s="399"/>
      <c r="M6" s="377" t="s">
        <v>1394</v>
      </c>
    </row>
    <row r="7" spans="2:13" ht="26.4" x14ac:dyDescent="0.25">
      <c r="B7" s="71" t="s">
        <v>857</v>
      </c>
      <c r="C7" s="17" t="s">
        <v>895</v>
      </c>
      <c r="D7" s="17" t="s">
        <v>892</v>
      </c>
      <c r="E7" s="17" t="s">
        <v>893</v>
      </c>
      <c r="F7" s="17" t="s">
        <v>894</v>
      </c>
      <c r="G7" s="79" t="s">
        <v>901</v>
      </c>
      <c r="H7" s="79" t="s">
        <v>902</v>
      </c>
      <c r="I7" s="4"/>
      <c r="J7" s="8" t="s">
        <v>6</v>
      </c>
      <c r="K7" s="9">
        <f>+Tabla110345345445545647945586877869510811712713622823724627233260269297315316384392394396416418302[[#Totals],[Coste LÃ­nea]]</f>
        <v>17438.076552230003</v>
      </c>
      <c r="M7" s="346"/>
    </row>
    <row r="8" spans="2:13" x14ac:dyDescent="0.25">
      <c r="B8" s="51" t="s">
        <v>112</v>
      </c>
      <c r="C8" s="11" t="s">
        <v>847</v>
      </c>
      <c r="D8" s="12">
        <v>2</v>
      </c>
      <c r="E8" s="12">
        <v>0</v>
      </c>
      <c r="F8" s="12">
        <v>2</v>
      </c>
      <c r="G8" s="13">
        <f>+VLOOKUP(Tabla110345345445545647945586877869510811712713622823724627233260269297315316384392394396416418302[[#This Row],[ArtÃ­culo]],Tabla34[#All],3,0)</f>
        <v>2183.46666667</v>
      </c>
      <c r="H8" s="14">
        <f>+Tabla110345345445545647945586877869510811712713622823724627233260269297315316384392394396416418302[[#This Row],[Coste Componente]]*Tabla110345345445545647945586877869510811712713622823724627233260269297315316384392394396416418302[[#This Row],[Unidades]]</f>
        <v>4366.93333334</v>
      </c>
      <c r="I8" s="4"/>
      <c r="J8" s="8" t="s">
        <v>372</v>
      </c>
      <c r="K8" s="15">
        <f>+K7*5%</f>
        <v>871.90382761150022</v>
      </c>
    </row>
    <row r="9" spans="2:13" x14ac:dyDescent="0.25">
      <c r="B9" s="51" t="s">
        <v>197</v>
      </c>
      <c r="C9" s="11" t="s">
        <v>847</v>
      </c>
      <c r="D9" s="12">
        <v>0.26</v>
      </c>
      <c r="E9" s="12">
        <v>0</v>
      </c>
      <c r="F9" s="12">
        <v>0.26</v>
      </c>
      <c r="G9" s="13">
        <f>+VLOOKUP(Tabla110345345445545647945586877869510811712713622823724627233260269297315316384392394396416418302[[#This Row],[ArtÃ­culo]],Tabla34[#All],3,0)</f>
        <v>3750</v>
      </c>
      <c r="H9" s="14">
        <f>+Tabla110345345445545647945586877869510811712713622823724627233260269297315316384392394396416418302[[#This Row],[Coste Componente]]*Tabla110345345445545647945586877869510811712713622823724627233260269297315316384392394396416418302[[#This Row],[Unidades]]</f>
        <v>975</v>
      </c>
      <c r="I9" s="4"/>
      <c r="J9" s="8" t="s">
        <v>13</v>
      </c>
      <c r="K9" s="15">
        <f>+K7+K8</f>
        <v>18309.980379841501</v>
      </c>
    </row>
    <row r="10" spans="2:13" x14ac:dyDescent="0.25">
      <c r="B10" s="51" t="s">
        <v>721</v>
      </c>
      <c r="C10" s="11" t="s">
        <v>67</v>
      </c>
      <c r="D10" s="12">
        <v>3</v>
      </c>
      <c r="E10" s="12">
        <v>0</v>
      </c>
      <c r="F10" s="12">
        <v>3</v>
      </c>
      <c r="G10" s="13">
        <f>+VLOOKUP(Tabla110345345445545647945586877869510811712713622823724627233260269297315316384392394396416418302[[#This Row],[ArtÃ­culo]],Tabla34[#All],3,0)</f>
        <v>90</v>
      </c>
      <c r="H10" s="14">
        <f>+Tabla110345345445545647945586877869510811712713622823724627233260269297315316384392394396416418302[[#This Row],[Coste Componente]]*Tabla110345345445545647945586877869510811712713622823724627233260269297315316384392394396416418302[[#This Row],[Unidades]]</f>
        <v>270</v>
      </c>
      <c r="I10" s="4"/>
      <c r="J10" s="20" t="s">
        <v>14</v>
      </c>
      <c r="K10" s="21">
        <v>75000</v>
      </c>
    </row>
    <row r="11" spans="2:13" x14ac:dyDescent="0.25">
      <c r="B11" s="51" t="s">
        <v>95</v>
      </c>
      <c r="C11" s="11" t="s">
        <v>847</v>
      </c>
      <c r="D11" s="12">
        <v>1</v>
      </c>
      <c r="E11" s="12">
        <v>0</v>
      </c>
      <c r="F11" s="12">
        <v>1</v>
      </c>
      <c r="G11" s="13">
        <f>+VLOOKUP(Tabla110345345445545647945586877869510811712713622823724627233260269297315316384392394396416418302[[#This Row],[ArtÃ­culo]],Tabla34[#All],3,0)</f>
        <v>5133.6666666700003</v>
      </c>
      <c r="H11" s="14">
        <f>+Tabla110345345445545647945586877869510811712713622823724627233260269297315316384392394396416418302[[#This Row],[Coste Componente]]*Tabla110345345445545647945586877869510811712713622823724627233260269297315316384392394396416418302[[#This Row],[Unidades]]</f>
        <v>5133.6666666700003</v>
      </c>
      <c r="I11" s="4"/>
      <c r="J11" s="8" t="s">
        <v>15</v>
      </c>
      <c r="K11" s="15">
        <f>+K10/1.08*0.08</f>
        <v>5555.5555555555547</v>
      </c>
    </row>
    <row r="12" spans="2:13" x14ac:dyDescent="0.25">
      <c r="B12" s="51" t="s">
        <v>709</v>
      </c>
      <c r="C12" s="11" t="s">
        <v>67</v>
      </c>
      <c r="D12" s="12">
        <v>3</v>
      </c>
      <c r="E12" s="12">
        <v>70</v>
      </c>
      <c r="F12" s="12">
        <v>10</v>
      </c>
      <c r="G12" s="13">
        <f>+VLOOKUP(Tabla110345345445545647945586877869510811712713622823724627233260269297315316384392394396416418302[[#This Row],[ArtÃ­culo]],Tabla34[#All],3,0)</f>
        <v>3.2</v>
      </c>
      <c r="H12" s="14">
        <f>+Tabla110345345445545647945586877869510811712713622823724627233260269297315316384392394396416418302[[#This Row],[Coste Componente]]*Tabla110345345445545647945586877869510811712713622823724627233260269297315316384392394396416418302[[#This Row],[Unidades]]</f>
        <v>32</v>
      </c>
      <c r="J12" s="8" t="s">
        <v>16</v>
      </c>
      <c r="K12" s="15">
        <f>+K10-K11</f>
        <v>69444.444444444438</v>
      </c>
    </row>
    <row r="13" spans="2:13" x14ac:dyDescent="0.25">
      <c r="B13" s="51" t="s">
        <v>651</v>
      </c>
      <c r="C13" s="11" t="s">
        <v>605</v>
      </c>
      <c r="D13" s="12">
        <v>2</v>
      </c>
      <c r="E13" s="12">
        <v>0</v>
      </c>
      <c r="F13" s="12">
        <v>2</v>
      </c>
      <c r="G13" s="13">
        <f>+VLOOKUP(Tabla110345345445545647945586877869510811712713622823724627233260269297315316384392394396416418302[[#This Row],[ArtÃ­culo]],Tabla34[#All],3,0)</f>
        <v>3103.4482758600002</v>
      </c>
      <c r="H13" s="14">
        <f>+Tabla110345345445545647945586877869510811712713622823724627233260269297315316384392394396416418302[[#This Row],[Coste Componente]]*Tabla110345345445545647945586877869510811712713622823724627233260269297315316384392394396416418302[[#This Row],[Unidades]]</f>
        <v>6206.8965517200004</v>
      </c>
      <c r="J13" s="8" t="s">
        <v>17</v>
      </c>
      <c r="K13" s="41">
        <f>+K9/K12</f>
        <v>0.26366371746971762</v>
      </c>
    </row>
    <row r="14" spans="2:13" x14ac:dyDescent="0.25">
      <c r="B14" s="51" t="s">
        <v>168</v>
      </c>
      <c r="C14" s="11" t="s">
        <v>67</v>
      </c>
      <c r="D14" s="12">
        <v>30</v>
      </c>
      <c r="E14" s="12">
        <v>0</v>
      </c>
      <c r="F14" s="12">
        <v>30</v>
      </c>
      <c r="G14" s="13">
        <f>+VLOOKUP(Tabla110345345445545647945586877869510811712713622823724627233260269297315316384392394396416418302[[#This Row],[ArtÃ­culo]],Tabla34[#All],3,0)</f>
        <v>10.86600002</v>
      </c>
      <c r="H14" s="14">
        <f>+Tabla110345345445545647945586877869510811712713622823724627233260269297315316384392394396416418302[[#This Row],[Coste Componente]]*Tabla110345345445545647945586877869510811712713622823724627233260269297315316384392394396416418302[[#This Row],[Unidades]]</f>
        <v>325.98000059999998</v>
      </c>
      <c r="J14" s="8" t="s">
        <v>18</v>
      </c>
      <c r="K14" s="42">
        <f>+K12-K9</f>
        <v>51134.464064602937</v>
      </c>
    </row>
    <row r="15" spans="2:13" x14ac:dyDescent="0.25">
      <c r="B15" s="51" t="s">
        <v>1130</v>
      </c>
      <c r="C15" s="11" t="s">
        <v>67</v>
      </c>
      <c r="D15" s="12">
        <v>30</v>
      </c>
      <c r="E15" s="12">
        <v>0</v>
      </c>
      <c r="F15" s="12">
        <v>30</v>
      </c>
      <c r="G15" s="13">
        <f>+VLOOKUP(Tabla110345345445545647945586877869510811712713622823724627233260269297315316384392394396416418302[[#This Row],[ArtÃ­culo]],Tabla34[#All],3,0)</f>
        <v>4.2533333300000002</v>
      </c>
      <c r="H15" s="14">
        <f>+Tabla110345345445545647945586877869510811712713622823724627233260269297315316384392394396416418302[[#This Row],[Coste Componente]]*Tabla110345345445545647945586877869510811712713622823724627233260269297315316384392394396416418302[[#This Row],[Unidades]]</f>
        <v>127.5999999</v>
      </c>
      <c r="J15" s="8" t="s">
        <v>19</v>
      </c>
      <c r="K15" s="43">
        <f>+K14/K9</f>
        <v>2.7927099321690032</v>
      </c>
    </row>
    <row r="16" spans="2:13" x14ac:dyDescent="0.25">
      <c r="B16" s="16"/>
      <c r="C16" s="17"/>
      <c r="D16" s="17"/>
      <c r="E16" s="17"/>
      <c r="F16" s="17"/>
      <c r="G16" s="18"/>
      <c r="H16" s="18">
        <f>SUBTOTAL(109,Tabla110345345445545647945586877869510811712713622823724627233260269297315316384392394396416418302[Coste LÃ­nea])</f>
        <v>17438.076552230003</v>
      </c>
    </row>
  </sheetData>
  <mergeCells count="1">
    <mergeCell ref="J6:K6"/>
  </mergeCells>
  <phoneticPr fontId="16" type="noConversion"/>
  <conditionalFormatting sqref="K13">
    <cfRule type="cellIs" dxfId="2345" priority="1" operator="lessThan">
      <formula>0.3</formula>
    </cfRule>
    <cfRule type="cellIs" dxfId="2344" priority="2" operator="greaterThan">
      <formula>0.3</formula>
    </cfRule>
  </conditionalFormatting>
  <pageMargins left="0.7" right="0.7" top="0.75" bottom="0.75" header="0.3" footer="0.3"/>
  <pageSetup orientation="portrait" horizontalDpi="360" verticalDpi="360" r:id="rId1"/>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E27F-C402-4DF2-89B1-246DCE236EF0}">
  <dimension ref="B6:M248"/>
  <sheetViews>
    <sheetView showGridLines="0" topLeftCell="A239" zoomScale="85" zoomScaleNormal="85" workbookViewId="0">
      <selection activeCell="M243" sqref="M243:M244"/>
    </sheetView>
  </sheetViews>
  <sheetFormatPr baseColWidth="10" defaultRowHeight="14.4" x14ac:dyDescent="0.3"/>
  <cols>
    <col min="1" max="1" width="8.44140625" customWidth="1"/>
    <col min="2" max="2" width="33.33203125" customWidth="1"/>
    <col min="3" max="3" width="7.109375" customWidth="1"/>
    <col min="9" max="9" width="3.21875" customWidth="1"/>
    <col min="10" max="10" width="27.21875" bestFit="1" customWidth="1"/>
    <col min="12" max="12" width="3" customWidth="1"/>
  </cols>
  <sheetData>
    <row r="6" spans="2:13" ht="15.6" x14ac:dyDescent="0.3">
      <c r="B6" s="19" t="s">
        <v>1311</v>
      </c>
      <c r="C6" s="2"/>
      <c r="D6" s="2"/>
      <c r="E6" s="3"/>
      <c r="F6" s="3"/>
      <c r="G6" s="3"/>
      <c r="H6" s="3"/>
      <c r="J6" s="399" t="s">
        <v>0</v>
      </c>
      <c r="K6" s="399"/>
      <c r="M6" s="377" t="s">
        <v>1394</v>
      </c>
    </row>
    <row r="7" spans="2:13" x14ac:dyDescent="0.3">
      <c r="B7" s="16" t="s">
        <v>857</v>
      </c>
      <c r="C7" s="17" t="s">
        <v>895</v>
      </c>
      <c r="D7" s="17" t="s">
        <v>892</v>
      </c>
      <c r="E7" s="17" t="s">
        <v>893</v>
      </c>
      <c r="F7" s="17" t="s">
        <v>894</v>
      </c>
      <c r="G7" s="76" t="s">
        <v>901</v>
      </c>
      <c r="H7" s="76" t="s">
        <v>902</v>
      </c>
      <c r="J7" s="8" t="s">
        <v>6</v>
      </c>
      <c r="K7" s="9">
        <f>SUM(Tabla1103453454455456479116117118120740126148156[Coste LÃ­nea])</f>
        <v>34767.234334389999</v>
      </c>
      <c r="M7" s="346"/>
    </row>
    <row r="8" spans="2:13" x14ac:dyDescent="0.3">
      <c r="B8" s="10" t="s">
        <v>965</v>
      </c>
      <c r="C8" s="11" t="s">
        <v>605</v>
      </c>
      <c r="D8" s="12">
        <v>17</v>
      </c>
      <c r="E8" s="12">
        <v>0</v>
      </c>
      <c r="F8" s="12">
        <v>17</v>
      </c>
      <c r="G8" s="13">
        <f>+VLOOKUP(Tabla1103453454455456479116117118120740126148156[[#This Row],[ArtÃ­culo]],Tabla34[#All],3,0)</f>
        <v>1729.16666667</v>
      </c>
      <c r="H8" s="14">
        <f>+Tabla1103453454455456479116117118120740126148156[[#This Row],[Coste Componente]]*Tabla1103453454455456479116117118120740126148156[[#This Row],[Unidades]]</f>
        <v>29395.833333390001</v>
      </c>
      <c r="J8" s="8" t="s">
        <v>12</v>
      </c>
      <c r="K8" s="15">
        <f>+K7*5%</f>
        <v>1738.3617167195</v>
      </c>
    </row>
    <row r="9" spans="2:13" x14ac:dyDescent="0.3">
      <c r="B9" s="10" t="s">
        <v>680</v>
      </c>
      <c r="C9" s="11" t="s">
        <v>67</v>
      </c>
      <c r="D9" s="12">
        <v>500</v>
      </c>
      <c r="E9" s="12">
        <v>0</v>
      </c>
      <c r="F9" s="12">
        <v>500</v>
      </c>
      <c r="G9" s="13">
        <f>+VLOOKUP(Tabla1103453454455456479116117118120740126148156[[#This Row],[ArtÃ­culo]],Tabla34[#All],3,0)</f>
        <v>7.8</v>
      </c>
      <c r="H9" s="14">
        <f>+Tabla1103453454455456479116117118120740126148156[[#This Row],[Coste Componente]]*Tabla1103453454455456479116117118120740126148156[[#This Row],[Unidades]]</f>
        <v>3900</v>
      </c>
      <c r="I9" s="4"/>
      <c r="J9" s="8" t="s">
        <v>13</v>
      </c>
      <c r="K9" s="15">
        <f>+K7+K8</f>
        <v>36505.596051109496</v>
      </c>
    </row>
    <row r="10" spans="2:13" x14ac:dyDescent="0.3">
      <c r="B10" s="10" t="s">
        <v>38</v>
      </c>
      <c r="C10" s="11" t="s">
        <v>67</v>
      </c>
      <c r="D10" s="12">
        <v>200</v>
      </c>
      <c r="E10" s="12">
        <v>0</v>
      </c>
      <c r="F10" s="12">
        <v>200</v>
      </c>
      <c r="G10" s="13">
        <f>+VLOOKUP(Tabla1103453454455456479116117118120740126148156[[#This Row],[ArtÃ­culo]],Tabla34[#All],3,0)</f>
        <v>0</v>
      </c>
      <c r="H10" s="14">
        <f>+Tabla1103453454455456479116117118120740126148156[[#This Row],[Coste Componente]]*Tabla1103453454455456479116117118120740126148156[[#This Row],[Unidades]]</f>
        <v>0</v>
      </c>
      <c r="I10" s="4"/>
      <c r="J10" s="20" t="s">
        <v>1313</v>
      </c>
      <c r="K10" s="328">
        <v>1000</v>
      </c>
    </row>
    <row r="11" spans="2:13" x14ac:dyDescent="0.3">
      <c r="B11" s="10" t="s">
        <v>85</v>
      </c>
      <c r="C11" s="11" t="s">
        <v>67</v>
      </c>
      <c r="D11" s="12">
        <v>300</v>
      </c>
      <c r="E11" s="12">
        <v>0</v>
      </c>
      <c r="F11" s="12">
        <v>300</v>
      </c>
      <c r="G11" s="13">
        <f>+VLOOKUP(Tabla1103453454455456479116117118120740126148156[[#This Row],[ArtÃ­culo]],Tabla34[#All],3,0)</f>
        <v>4.8816666700000004</v>
      </c>
      <c r="H11" s="14">
        <f>+Tabla1103453454455456479116117118120740126148156[[#This Row],[Coste Componente]]*Tabla1103453454455456479116117118120740126148156[[#This Row],[Unidades]]</f>
        <v>1464.5000010000001</v>
      </c>
      <c r="I11" s="4"/>
      <c r="J11" s="8" t="s">
        <v>15</v>
      </c>
      <c r="K11" s="15">
        <f>+K10/K9</f>
        <v>2.7393060466673506E-2</v>
      </c>
    </row>
    <row r="12" spans="2:13" x14ac:dyDescent="0.3">
      <c r="B12" s="10" t="s">
        <v>606</v>
      </c>
      <c r="C12" s="11" t="s">
        <v>67</v>
      </c>
      <c r="D12" s="12">
        <v>1</v>
      </c>
      <c r="E12" s="12">
        <v>0</v>
      </c>
      <c r="F12" s="12">
        <v>1</v>
      </c>
      <c r="G12" s="13">
        <f>+VLOOKUP(Tabla1103453454455456479116117118120740126148156[[#This Row],[ArtÃ­culo]],Tabla34[#All],3,0)</f>
        <v>4.5</v>
      </c>
      <c r="H12" s="14">
        <f>+Tabla1103453454455456479116117118120740126148156[[#This Row],[Coste Componente]]*Tabla1103453454455456479116117118120740126148156[[#This Row],[Unidades]]</f>
        <v>4.5</v>
      </c>
    </row>
    <row r="13" spans="2:13" x14ac:dyDescent="0.3">
      <c r="B13" s="10" t="s">
        <v>89</v>
      </c>
      <c r="C13" s="11" t="s">
        <v>67</v>
      </c>
      <c r="D13" s="12">
        <v>1</v>
      </c>
      <c r="E13" s="12">
        <v>0</v>
      </c>
      <c r="F13" s="12">
        <v>1</v>
      </c>
      <c r="G13" s="13">
        <f>+VLOOKUP(Tabla1103453454455456479116117118120740126148156[[#This Row],[ArtÃ­culo]],Tabla34[#All],3,0)</f>
        <v>2.4009999999999998</v>
      </c>
      <c r="H13" s="14">
        <f>+Tabla1103453454455456479116117118120740126148156[[#This Row],[Coste Componente]]*Tabla1103453454455456479116117118120740126148156[[#This Row],[Unidades]]</f>
        <v>2.4009999999999998</v>
      </c>
    </row>
    <row r="14" spans="2:13" x14ac:dyDescent="0.3">
      <c r="B14" s="16"/>
      <c r="C14" s="17"/>
      <c r="D14" s="17"/>
      <c r="E14" s="17"/>
      <c r="F14" s="17"/>
      <c r="G14" s="18"/>
      <c r="H14" s="18">
        <f>SUBTOTAL(109,Tabla1103453454455456479116117118120740126148156[Coste LÃ­nea])</f>
        <v>34767.234334389999</v>
      </c>
    </row>
    <row r="17" spans="2:13" ht="15.6" x14ac:dyDescent="0.3">
      <c r="B17" s="19" t="s">
        <v>1275</v>
      </c>
      <c r="C17" s="2"/>
      <c r="D17" s="2"/>
      <c r="E17" s="3"/>
      <c r="F17" s="3"/>
      <c r="G17" s="3"/>
      <c r="H17" s="3"/>
      <c r="J17" s="399" t="s">
        <v>0</v>
      </c>
      <c r="K17" s="399"/>
      <c r="M17" s="377" t="s">
        <v>1394</v>
      </c>
    </row>
    <row r="18" spans="2:13" s="332" customFormat="1" x14ac:dyDescent="0.3">
      <c r="B18" s="329" t="s">
        <v>857</v>
      </c>
      <c r="C18" s="330" t="s">
        <v>895</v>
      </c>
      <c r="D18" s="330" t="s">
        <v>892</v>
      </c>
      <c r="E18" s="330" t="s">
        <v>893</v>
      </c>
      <c r="F18" s="330" t="s">
        <v>894</v>
      </c>
      <c r="G18" s="331" t="s">
        <v>901</v>
      </c>
      <c r="H18" s="331" t="s">
        <v>902</v>
      </c>
      <c r="J18" s="333" t="s">
        <v>6</v>
      </c>
      <c r="K18" s="334" t="e">
        <f>SUM(Tabla11034534544554564791161171181207401261481564[Coste LÃ­nea])</f>
        <v>#N/A</v>
      </c>
      <c r="M18" s="346"/>
    </row>
    <row r="19" spans="2:13" x14ac:dyDescent="0.3">
      <c r="B19" s="10" t="s">
        <v>38</v>
      </c>
      <c r="C19" s="335" t="s">
        <v>67</v>
      </c>
      <c r="D19" s="336">
        <v>150</v>
      </c>
      <c r="E19" s="336">
        <v>0</v>
      </c>
      <c r="F19" s="336">
        <v>150</v>
      </c>
      <c r="G19" s="337">
        <f>+VLOOKUP(Tabla11034534544554564791161171181207401261481564[[#This Row],[ArtÃ­culo]],Tabla34[#All],3,0)</f>
        <v>0</v>
      </c>
      <c r="H19" s="338">
        <f>+Tabla11034534544554564791161171181207401261481564[[#This Row],[Coste Componente]]*Tabla11034534544554564791161171181207401261481564[[#This Row],[Unidades]]</f>
        <v>0</v>
      </c>
      <c r="J19" s="8" t="s">
        <v>12</v>
      </c>
      <c r="K19" s="9" t="e">
        <f>+K18*5%</f>
        <v>#N/A</v>
      </c>
    </row>
    <row r="20" spans="2:13" x14ac:dyDescent="0.3">
      <c r="B20" s="10" t="s">
        <v>1014</v>
      </c>
      <c r="C20" s="335" t="s">
        <v>67</v>
      </c>
      <c r="D20" s="336">
        <v>1000</v>
      </c>
      <c r="E20" s="336">
        <v>0</v>
      </c>
      <c r="F20" s="336">
        <v>1000</v>
      </c>
      <c r="G20" s="337">
        <f>+VLOOKUP(Tabla11034534544554564791161171181207401261481564[[#This Row],[ArtÃ­culo]],Tabla34[#All],3,0)</f>
        <v>10.199999999999999</v>
      </c>
      <c r="H20" s="338">
        <f>+Tabla11034534544554564791161171181207401261481564[[#This Row],[Coste Componente]]*Tabla11034534544554564791161171181207401261481564[[#This Row],[Unidades]]</f>
        <v>10200</v>
      </c>
      <c r="I20" s="4"/>
      <c r="J20" s="8" t="s">
        <v>13</v>
      </c>
      <c r="K20" s="9" t="e">
        <f>+K18+K19</f>
        <v>#N/A</v>
      </c>
    </row>
    <row r="21" spans="2:13" x14ac:dyDescent="0.3">
      <c r="B21" s="10" t="s">
        <v>89</v>
      </c>
      <c r="C21" s="335" t="s">
        <v>67</v>
      </c>
      <c r="D21" s="336">
        <v>1</v>
      </c>
      <c r="E21" s="336">
        <v>0</v>
      </c>
      <c r="F21" s="336">
        <v>1</v>
      </c>
      <c r="G21" s="337">
        <f>+VLOOKUP(Tabla11034534544554564791161171181207401261481564[[#This Row],[ArtÃ­culo]],Tabla34[#All],3,0)</f>
        <v>2.4009999999999998</v>
      </c>
      <c r="H21" s="338">
        <f>+Tabla11034534544554564791161171181207401261481564[[#This Row],[Coste Componente]]*Tabla11034534544554564791161171181207401261481564[[#This Row],[Unidades]]</f>
        <v>2.4009999999999998</v>
      </c>
      <c r="I21" s="4"/>
      <c r="J21" s="20" t="s">
        <v>1313</v>
      </c>
      <c r="K21" s="339">
        <v>1200</v>
      </c>
    </row>
    <row r="22" spans="2:13" x14ac:dyDescent="0.3">
      <c r="B22" s="10" t="s">
        <v>1336</v>
      </c>
      <c r="C22" s="335" t="s">
        <v>67</v>
      </c>
      <c r="D22" s="336">
        <v>1000</v>
      </c>
      <c r="E22" s="336">
        <v>0</v>
      </c>
      <c r="F22" s="336">
        <v>1000</v>
      </c>
      <c r="G22" s="337" t="e">
        <f>+VLOOKUP(Tabla11034534544554564791161171181207401261481564[[#This Row],[ArtÃ­culo]],Tabla34[#All],3,0)</f>
        <v>#N/A</v>
      </c>
      <c r="H22" s="338" t="e">
        <f>+Tabla11034534544554564791161171181207401261481564[[#This Row],[Coste Componente]]*Tabla11034534544554564791161171181207401261481564[[#This Row],[Unidades]]</f>
        <v>#N/A</v>
      </c>
      <c r="I22" s="4"/>
      <c r="J22" s="8" t="s">
        <v>15</v>
      </c>
      <c r="K22" s="9" t="e">
        <f>+K21/K20</f>
        <v>#N/A</v>
      </c>
    </row>
    <row r="23" spans="2:13" x14ac:dyDescent="0.3">
      <c r="B23" s="10" t="s">
        <v>709</v>
      </c>
      <c r="C23" s="335" t="s">
        <v>67</v>
      </c>
      <c r="D23" s="336">
        <v>10</v>
      </c>
      <c r="E23" s="336">
        <v>0</v>
      </c>
      <c r="F23" s="336">
        <v>10</v>
      </c>
      <c r="G23" s="337">
        <f>+VLOOKUP(Tabla11034534544554564791161171181207401261481564[[#This Row],[ArtÃ­culo]],Tabla34[#All],3,0)</f>
        <v>3.2</v>
      </c>
      <c r="H23" s="338">
        <f>+Tabla11034534544554564791161171181207401261481564[[#This Row],[Coste Componente]]*Tabla11034534544554564791161171181207401261481564[[#This Row],[Unidades]]</f>
        <v>32</v>
      </c>
    </row>
    <row r="24" spans="2:13" x14ac:dyDescent="0.3">
      <c r="B24" s="16"/>
      <c r="C24" s="17"/>
      <c r="D24" s="17"/>
      <c r="E24" s="17"/>
      <c r="F24" s="17"/>
      <c r="G24" s="18"/>
      <c r="H24" s="18" t="e">
        <f>SUBTOTAL(109,Tabla11034534544554564791161171181207401261481564[Coste LÃ­nea])</f>
        <v>#N/A</v>
      </c>
    </row>
    <row r="26" spans="2:13" ht="14.4" customHeight="1" x14ac:dyDescent="0.3">
      <c r="B26" s="19" t="s">
        <v>1359</v>
      </c>
      <c r="C26" s="2"/>
      <c r="D26" s="2"/>
      <c r="E26" s="3"/>
      <c r="F26" s="3"/>
      <c r="G26" s="3"/>
      <c r="H26" s="3"/>
      <c r="J26" s="399" t="s">
        <v>0</v>
      </c>
      <c r="K26" s="399"/>
      <c r="M26" s="377" t="s">
        <v>1394</v>
      </c>
    </row>
    <row r="27" spans="2:13" ht="14.4" customHeight="1" x14ac:dyDescent="0.3">
      <c r="B27" s="329" t="s">
        <v>857</v>
      </c>
      <c r="C27" s="330" t="s">
        <v>895</v>
      </c>
      <c r="D27" s="330" t="s">
        <v>892</v>
      </c>
      <c r="E27" s="330" t="s">
        <v>893</v>
      </c>
      <c r="F27" s="330" t="s">
        <v>894</v>
      </c>
      <c r="G27" s="331" t="s">
        <v>901</v>
      </c>
      <c r="H27" s="331" t="s">
        <v>902</v>
      </c>
      <c r="I27" s="332"/>
      <c r="J27" s="333" t="s">
        <v>6</v>
      </c>
      <c r="K27" s="334" t="e">
        <f>SUM(Tabla110345345445545647911611711812074012614815645[Coste LÃ­nea])</f>
        <v>#N/A</v>
      </c>
      <c r="M27" s="346"/>
    </row>
    <row r="28" spans="2:13" ht="14.4" customHeight="1" x14ac:dyDescent="0.3">
      <c r="B28" s="10" t="s">
        <v>1188</v>
      </c>
      <c r="C28" s="335" t="s">
        <v>67</v>
      </c>
      <c r="D28" s="336">
        <v>250</v>
      </c>
      <c r="E28" s="336">
        <v>0</v>
      </c>
      <c r="F28" s="336">
        <v>250</v>
      </c>
      <c r="G28" s="337">
        <f>+VLOOKUP(Tabla110345345445545647911611711812074012614815645[[#This Row],[ArtÃ­culo]],Tabla34[#All],3,0)</f>
        <v>9</v>
      </c>
      <c r="H28" s="338">
        <f>+Tabla110345345445545647911611711812074012614815645[[#This Row],[Coste Componente]]*Tabla110345345445545647911611711812074012614815645[[#This Row],[Unidades]]</f>
        <v>2250</v>
      </c>
      <c r="J28" s="8" t="s">
        <v>12</v>
      </c>
      <c r="K28" s="9" t="e">
        <f>+K27*5%</f>
        <v>#N/A</v>
      </c>
    </row>
    <row r="29" spans="2:13" ht="14.4" customHeight="1" x14ac:dyDescent="0.3">
      <c r="B29" s="10" t="s">
        <v>673</v>
      </c>
      <c r="C29" s="335" t="s">
        <v>67</v>
      </c>
      <c r="D29" s="336">
        <v>250</v>
      </c>
      <c r="E29" s="336">
        <v>0</v>
      </c>
      <c r="F29" s="336">
        <v>250</v>
      </c>
      <c r="G29" s="337">
        <f>+VLOOKUP(Tabla110345345445545647911611711812074012614815645[[#This Row],[ArtÃ­culo]],Tabla34[#All],3,0)</f>
        <v>5.5</v>
      </c>
      <c r="H29" s="338">
        <f>+Tabla110345345445545647911611711812074012614815645[[#This Row],[Coste Componente]]*Tabla110345345445545647911611711812074012614815645[[#This Row],[Unidades]]</f>
        <v>1375</v>
      </c>
      <c r="I29" s="4"/>
      <c r="J29" s="8" t="s">
        <v>13</v>
      </c>
      <c r="K29" s="9" t="e">
        <f>+K27+K28</f>
        <v>#N/A</v>
      </c>
    </row>
    <row r="30" spans="2:13" ht="14.4" customHeight="1" x14ac:dyDescent="0.3">
      <c r="B30" s="10" t="s">
        <v>38</v>
      </c>
      <c r="C30" s="335" t="s">
        <v>67</v>
      </c>
      <c r="D30" s="336">
        <v>150</v>
      </c>
      <c r="E30" s="336">
        <v>0</v>
      </c>
      <c r="F30" s="336">
        <v>150</v>
      </c>
      <c r="G30" s="337">
        <f>+VLOOKUP(Tabla110345345445545647911611711812074012614815645[[#This Row],[ArtÃ­culo]],Tabla34[#All],3,0)</f>
        <v>0</v>
      </c>
      <c r="H30" s="338">
        <f>+Tabla110345345445545647911611711812074012614815645[[#This Row],[Coste Componente]]*Tabla110345345445545647911611711812074012614815645[[#This Row],[Unidades]]</f>
        <v>0</v>
      </c>
      <c r="I30" s="4"/>
      <c r="J30" s="20" t="s">
        <v>1313</v>
      </c>
      <c r="K30" s="339">
        <v>1000</v>
      </c>
    </row>
    <row r="31" spans="2:13" ht="14.4" customHeight="1" x14ac:dyDescent="0.3">
      <c r="B31" s="10" t="s">
        <v>85</v>
      </c>
      <c r="C31" s="335" t="s">
        <v>67</v>
      </c>
      <c r="D31" s="336">
        <v>600</v>
      </c>
      <c r="E31" s="336">
        <v>0</v>
      </c>
      <c r="F31" s="336">
        <v>600</v>
      </c>
      <c r="G31" s="337">
        <f>+VLOOKUP(Tabla110345345445545647911611711812074012614815645[[#This Row],[ArtÃ­culo]],Tabla34[#All],3,0)</f>
        <v>4.8816666700000004</v>
      </c>
      <c r="H31" s="338">
        <f>+Tabla110345345445545647911611711812074012614815645[[#This Row],[Coste Componente]]*Tabla110345345445545647911611711812074012614815645[[#This Row],[Unidades]]</f>
        <v>2929.0000020000002</v>
      </c>
      <c r="I31" s="4"/>
      <c r="J31" s="8" t="s">
        <v>15</v>
      </c>
      <c r="K31" s="9" t="e">
        <f>+K30/K29</f>
        <v>#N/A</v>
      </c>
    </row>
    <row r="32" spans="2:13" ht="14.4" customHeight="1" x14ac:dyDescent="0.3">
      <c r="B32" s="10" t="s">
        <v>1356</v>
      </c>
      <c r="C32" s="335" t="s">
        <v>67</v>
      </c>
      <c r="D32" s="336">
        <v>3</v>
      </c>
      <c r="E32" s="336">
        <v>0</v>
      </c>
      <c r="F32" s="336">
        <v>3</v>
      </c>
      <c r="G32" s="337" t="e">
        <f>+VLOOKUP(Tabla110345345445545647911611711812074012614815645[[#This Row],[ArtÃ­culo]],Tabla34[#All],3,0)</f>
        <v>#N/A</v>
      </c>
      <c r="H32" s="338" t="e">
        <f>+Tabla110345345445545647911611711812074012614815645[[#This Row],[Coste Componente]]*Tabla110345345445545647911611711812074012614815645[[#This Row],[Unidades]]</f>
        <v>#N/A</v>
      </c>
    </row>
    <row r="33" spans="2:13" x14ac:dyDescent="0.3">
      <c r="B33" s="10" t="s">
        <v>1357</v>
      </c>
      <c r="C33" s="335" t="s">
        <v>67</v>
      </c>
      <c r="D33" s="336">
        <v>1</v>
      </c>
      <c r="E33" s="336">
        <v>0</v>
      </c>
      <c r="F33" s="336">
        <v>1</v>
      </c>
      <c r="G33" s="337" t="e">
        <f>+VLOOKUP(Tabla110345345445545647911611711812074012614815645[[#This Row],[ArtÃ­culo]],Tabla34[#All],3,0)</f>
        <v>#N/A</v>
      </c>
      <c r="H33" s="338" t="e">
        <f>+Tabla110345345445545647911611711812074012614815645[[#This Row],[Coste Componente]]*Tabla110345345445545647911611711812074012614815645[[#This Row],[Unidades]]</f>
        <v>#N/A</v>
      </c>
    </row>
    <row r="34" spans="2:13" x14ac:dyDescent="0.3">
      <c r="B34" s="10" t="s">
        <v>1358</v>
      </c>
      <c r="C34" s="335" t="s">
        <v>67</v>
      </c>
      <c r="D34" s="336">
        <v>1</v>
      </c>
      <c r="E34" s="336">
        <v>0</v>
      </c>
      <c r="F34" s="336">
        <v>1</v>
      </c>
      <c r="G34" s="337" t="e">
        <f>+VLOOKUP(Tabla110345345445545647911611711812074012614815645[[#This Row],[ArtÃ­culo]],Tabla34[#All],3,0)</f>
        <v>#N/A</v>
      </c>
      <c r="H34" s="338" t="e">
        <f>+Tabla110345345445545647911611711812074012614815645[[#This Row],[Coste Componente]]*Tabla110345345445545647911611711812074012614815645[[#This Row],[Unidades]]</f>
        <v>#N/A</v>
      </c>
    </row>
    <row r="35" spans="2:13" ht="14.4" customHeight="1" x14ac:dyDescent="0.3">
      <c r="B35" s="10" t="s">
        <v>995</v>
      </c>
      <c r="C35" s="335" t="s">
        <v>67</v>
      </c>
      <c r="D35" s="336">
        <v>3</v>
      </c>
      <c r="E35" s="336">
        <v>0</v>
      </c>
      <c r="F35" s="336">
        <v>3</v>
      </c>
      <c r="G35" s="337">
        <f>+VLOOKUP(Tabla110345345445545647911611711812074012614815645[[#This Row],[ArtÃ­culo]],Tabla34[#All],3,0)</f>
        <v>0</v>
      </c>
      <c r="H35" s="338">
        <f>+Tabla110345345445545647911611711812074012614815645[[#This Row],[Coste Componente]]*Tabla110345345445545647911611711812074012614815645[[#This Row],[Unidades]]</f>
        <v>0</v>
      </c>
    </row>
    <row r="36" spans="2:13" x14ac:dyDescent="0.3">
      <c r="B36" s="10" t="s">
        <v>89</v>
      </c>
      <c r="C36" s="335" t="s">
        <v>67</v>
      </c>
      <c r="D36" s="336">
        <v>1</v>
      </c>
      <c r="E36" s="336">
        <v>0</v>
      </c>
      <c r="F36" s="336">
        <v>1</v>
      </c>
      <c r="G36" s="337">
        <f>+VLOOKUP(Tabla110345345445545647911611711812074012614815645[[#This Row],[ArtÃ­culo]],Tabla34[#All],3,0)</f>
        <v>2.4009999999999998</v>
      </c>
      <c r="H36" s="338">
        <f>+Tabla110345345445545647911611711812074012614815645[[#This Row],[Coste Componente]]*Tabla110345345445545647911611711812074012614815645[[#This Row],[Unidades]]</f>
        <v>2.4009999999999998</v>
      </c>
    </row>
    <row r="37" spans="2:13" x14ac:dyDescent="0.3">
      <c r="B37" s="10" t="s">
        <v>186</v>
      </c>
      <c r="C37" s="335" t="s">
        <v>67</v>
      </c>
      <c r="D37" s="336">
        <v>10</v>
      </c>
      <c r="E37" s="336">
        <v>0</v>
      </c>
      <c r="F37" s="336">
        <v>10</v>
      </c>
      <c r="G37" s="337">
        <f>+VLOOKUP(Tabla110345345445545647911611711812074012614815645[[#This Row],[ArtÃ­culo]],Tabla34[#All],3,0)</f>
        <v>233.07427392</v>
      </c>
      <c r="H37" s="338">
        <f>+Tabla110345345445545647911611711812074012614815645[[#This Row],[Coste Componente]]*Tabla110345345445545647911611711812074012614815645[[#This Row],[Unidades]]</f>
        <v>2330.7427392</v>
      </c>
    </row>
    <row r="38" spans="2:13" x14ac:dyDescent="0.3">
      <c r="B38" s="10" t="s">
        <v>995</v>
      </c>
      <c r="C38" s="335" t="s">
        <v>67</v>
      </c>
      <c r="D38" s="336">
        <v>10</v>
      </c>
      <c r="E38" s="336">
        <v>0</v>
      </c>
      <c r="F38" s="336">
        <v>10</v>
      </c>
      <c r="G38" s="337">
        <f>+VLOOKUP(Tabla110345345445545647911611711812074012614815645[[#This Row],[ArtÃ­culo]],Tabla34[#All],3,0)</f>
        <v>0</v>
      </c>
      <c r="H38" s="338">
        <f>+Tabla110345345445545647911611711812074012614815645[[#This Row],[Coste Componente]]*Tabla110345345445545647911611711812074012614815645[[#This Row],[Unidades]]</f>
        <v>0</v>
      </c>
    </row>
    <row r="39" spans="2:13" x14ac:dyDescent="0.3">
      <c r="B39" s="16"/>
      <c r="C39" s="17"/>
      <c r="D39" s="17"/>
      <c r="E39" s="17"/>
      <c r="F39" s="17"/>
      <c r="G39" s="18"/>
      <c r="H39" s="18" t="e">
        <f>SUBTOTAL(109,Tabla110345345445545647911611711812074012614815645[Coste LÃ­nea])</f>
        <v>#N/A</v>
      </c>
    </row>
    <row r="40" spans="2:13" ht="14.4" customHeight="1" x14ac:dyDescent="0.3"/>
    <row r="42" spans="2:13" ht="15.6" x14ac:dyDescent="0.3">
      <c r="B42" s="19" t="s">
        <v>1134</v>
      </c>
      <c r="C42" s="2"/>
      <c r="D42" s="2"/>
      <c r="E42" s="3"/>
      <c r="F42" s="3"/>
      <c r="G42" s="3"/>
      <c r="H42" s="3"/>
      <c r="J42" s="399" t="s">
        <v>0</v>
      </c>
      <c r="K42" s="399"/>
      <c r="M42" s="377" t="s">
        <v>1394</v>
      </c>
    </row>
    <row r="43" spans="2:13" x14ac:dyDescent="0.3">
      <c r="B43" s="329" t="s">
        <v>857</v>
      </c>
      <c r="C43" s="330" t="s">
        <v>895</v>
      </c>
      <c r="D43" s="330" t="s">
        <v>892</v>
      </c>
      <c r="E43" s="330" t="s">
        <v>893</v>
      </c>
      <c r="F43" s="330" t="s">
        <v>894</v>
      </c>
      <c r="G43" s="331" t="s">
        <v>901</v>
      </c>
      <c r="H43" s="331" t="s">
        <v>902</v>
      </c>
      <c r="I43" s="332"/>
      <c r="J43" s="333" t="s">
        <v>6</v>
      </c>
      <c r="K43" s="334" t="e">
        <f>SUM(Tabla11034534544554564791161171181207401261481564511[Coste LÃ­nea])</f>
        <v>#N/A</v>
      </c>
      <c r="M43" s="346"/>
    </row>
    <row r="44" spans="2:13" x14ac:dyDescent="0.3">
      <c r="B44" s="10" t="s">
        <v>1360</v>
      </c>
      <c r="C44" s="335" t="s">
        <v>67</v>
      </c>
      <c r="D44" s="336">
        <v>1000</v>
      </c>
      <c r="E44" s="336">
        <v>0</v>
      </c>
      <c r="F44" s="336">
        <v>1000</v>
      </c>
      <c r="G44" s="337" t="e">
        <f>+VLOOKUP(Tabla11034534544554564791161171181207401261481564511[[#This Row],[ArtÃ­culo]],Tabla34[#All],3,0)</f>
        <v>#N/A</v>
      </c>
      <c r="H44" s="338" t="e">
        <f>+Tabla11034534544554564791161171181207401261481564511[[#This Row],[Coste Componente]]*Tabla11034534544554564791161171181207401261481564511[[#This Row],[Unidades]]</f>
        <v>#N/A</v>
      </c>
      <c r="J44" s="8" t="s">
        <v>12</v>
      </c>
      <c r="K44" s="9" t="e">
        <f>+K43*5%</f>
        <v>#N/A</v>
      </c>
    </row>
    <row r="45" spans="2:13" x14ac:dyDescent="0.3">
      <c r="B45" s="10" t="s">
        <v>726</v>
      </c>
      <c r="C45" s="335" t="s">
        <v>67</v>
      </c>
      <c r="D45" s="336">
        <v>150</v>
      </c>
      <c r="E45" s="336">
        <v>0</v>
      </c>
      <c r="F45" s="336">
        <v>150</v>
      </c>
      <c r="G45" s="337">
        <f>+VLOOKUP(Tabla11034534544554564791161171181207401261481564511[[#This Row],[ArtÃ­culo]],Tabla34[#All],3,0)</f>
        <v>18</v>
      </c>
      <c r="H45" s="338">
        <f>+Tabla11034534544554564791161171181207401261481564511[[#This Row],[Coste Componente]]*Tabla11034534544554564791161171181207401261481564511[[#This Row],[Unidades]]</f>
        <v>2700</v>
      </c>
      <c r="I45" s="4"/>
      <c r="J45" s="8" t="s">
        <v>13</v>
      </c>
      <c r="K45" s="9" t="e">
        <f>+K43+K44</f>
        <v>#N/A</v>
      </c>
    </row>
    <row r="46" spans="2:13" x14ac:dyDescent="0.3">
      <c r="B46" s="10" t="s">
        <v>38</v>
      </c>
      <c r="C46" s="335" t="s">
        <v>67</v>
      </c>
      <c r="D46" s="336">
        <v>300</v>
      </c>
      <c r="E46" s="336">
        <v>0</v>
      </c>
      <c r="F46" s="336">
        <v>300</v>
      </c>
      <c r="G46" s="337">
        <f>+VLOOKUP(Tabla11034534544554564791161171181207401261481564511[[#This Row],[ArtÃ­culo]],Tabla34[#All],3,0)</f>
        <v>0</v>
      </c>
      <c r="H46" s="338">
        <f>+Tabla11034534544554564791161171181207401261481564511[[#This Row],[Coste Componente]]*Tabla11034534544554564791161171181207401261481564511[[#This Row],[Unidades]]</f>
        <v>0</v>
      </c>
      <c r="I46" s="4"/>
      <c r="J46" s="20" t="s">
        <v>1313</v>
      </c>
      <c r="K46" s="339">
        <v>1000</v>
      </c>
    </row>
    <row r="47" spans="2:13" x14ac:dyDescent="0.3">
      <c r="B47" s="10" t="s">
        <v>89</v>
      </c>
      <c r="C47" s="335" t="s">
        <v>67</v>
      </c>
      <c r="D47" s="336">
        <v>1</v>
      </c>
      <c r="E47" s="336">
        <v>0</v>
      </c>
      <c r="F47" s="336">
        <v>1</v>
      </c>
      <c r="G47" s="337">
        <f>+VLOOKUP(Tabla11034534544554564791161171181207401261481564511[[#This Row],[ArtÃ­culo]],Tabla34[#All],3,0)</f>
        <v>2.4009999999999998</v>
      </c>
      <c r="H47" s="338">
        <f>+Tabla11034534544554564791161171181207401261481564511[[#This Row],[Coste Componente]]*Tabla11034534544554564791161171181207401261481564511[[#This Row],[Unidades]]</f>
        <v>2.4009999999999998</v>
      </c>
      <c r="I47" s="4"/>
      <c r="J47" s="8" t="s">
        <v>15</v>
      </c>
      <c r="K47" s="9" t="e">
        <f>+K46/K45</f>
        <v>#N/A</v>
      </c>
    </row>
    <row r="48" spans="2:13" x14ac:dyDescent="0.3">
      <c r="B48" s="10" t="s">
        <v>1170</v>
      </c>
      <c r="C48" s="335" t="s">
        <v>67</v>
      </c>
      <c r="D48" s="336">
        <v>1</v>
      </c>
      <c r="E48" s="336">
        <v>0</v>
      </c>
      <c r="F48" s="336">
        <v>1</v>
      </c>
      <c r="G48" s="337">
        <f>+VLOOKUP(Tabla11034534544554564791161171181207401261481564511[[#This Row],[ArtÃ­culo]],Tabla34[#All],3,0)</f>
        <v>178.06399999999999</v>
      </c>
      <c r="H48" s="338">
        <f>+Tabla11034534544554564791161171181207401261481564511[[#This Row],[Coste Componente]]*Tabla11034534544554564791161171181207401261481564511[[#This Row],[Unidades]]</f>
        <v>178.06399999999999</v>
      </c>
    </row>
    <row r="49" spans="2:13" x14ac:dyDescent="0.3">
      <c r="B49" s="16"/>
      <c r="C49" s="17"/>
      <c r="D49" s="17"/>
      <c r="E49" s="17"/>
      <c r="F49" s="17"/>
      <c r="G49" s="18"/>
      <c r="H49" s="18" t="e">
        <f>SUBTOTAL(109,Tabla11034534544554564791161171181207401261481564511[Coste LÃ­nea])</f>
        <v>#N/A</v>
      </c>
    </row>
    <row r="52" spans="2:13" ht="15.6" x14ac:dyDescent="0.3">
      <c r="B52" s="19" t="s">
        <v>1361</v>
      </c>
      <c r="C52" s="2"/>
      <c r="D52" s="2"/>
      <c r="E52" s="3"/>
      <c r="F52" s="3"/>
      <c r="G52" s="3"/>
      <c r="H52" s="3"/>
      <c r="J52" s="399" t="s">
        <v>0</v>
      </c>
      <c r="K52" s="399"/>
      <c r="M52" s="377" t="s">
        <v>1394</v>
      </c>
    </row>
    <row r="53" spans="2:13" x14ac:dyDescent="0.3">
      <c r="B53" s="329" t="s">
        <v>857</v>
      </c>
      <c r="C53" s="330" t="s">
        <v>895</v>
      </c>
      <c r="D53" s="330" t="s">
        <v>892</v>
      </c>
      <c r="E53" s="330" t="s">
        <v>893</v>
      </c>
      <c r="F53" s="330" t="s">
        <v>894</v>
      </c>
      <c r="G53" s="331" t="s">
        <v>901</v>
      </c>
      <c r="H53" s="331" t="s">
        <v>902</v>
      </c>
      <c r="I53" s="332"/>
      <c r="J53" s="333" t="s">
        <v>6</v>
      </c>
      <c r="K53" s="334" t="e">
        <f>SUM(Tabla1103453454455456479116117118120740126148156451112[Coste LÃ­nea])</f>
        <v>#N/A</v>
      </c>
      <c r="M53" s="346"/>
    </row>
    <row r="54" spans="2:13" x14ac:dyDescent="0.3">
      <c r="B54" s="10" t="s">
        <v>832</v>
      </c>
      <c r="C54" s="335" t="s">
        <v>67</v>
      </c>
      <c r="D54" s="336">
        <v>1500</v>
      </c>
      <c r="E54" s="336">
        <v>0</v>
      </c>
      <c r="F54" s="336">
        <v>1500</v>
      </c>
      <c r="G54" s="337">
        <f>+VLOOKUP(Tabla1103453454455456479116117118120740126148156451112[[#This Row],[ArtÃ­culo]],Tabla34[#All],3,0)</f>
        <v>4.8</v>
      </c>
      <c r="H54" s="338">
        <f>+Tabla1103453454455456479116117118120740126148156451112[[#This Row],[Coste Componente]]*Tabla1103453454455456479116117118120740126148156451112[[#This Row],[Unidades]]</f>
        <v>7200</v>
      </c>
      <c r="J54" s="8" t="s">
        <v>12</v>
      </c>
      <c r="K54" s="9" t="e">
        <f>+K53*5%</f>
        <v>#N/A</v>
      </c>
    </row>
    <row r="55" spans="2:13" x14ac:dyDescent="0.3">
      <c r="B55" s="10" t="s">
        <v>38</v>
      </c>
      <c r="C55" s="335" t="s">
        <v>67</v>
      </c>
      <c r="D55" s="336">
        <v>240</v>
      </c>
      <c r="E55" s="336">
        <v>0</v>
      </c>
      <c r="F55" s="336">
        <v>240</v>
      </c>
      <c r="G55" s="337">
        <f>+VLOOKUP(Tabla1103453454455456479116117118120740126148156451112[[#This Row],[ArtÃ­culo]],Tabla34[#All],3,0)</f>
        <v>0</v>
      </c>
      <c r="H55" s="338">
        <f>+Tabla1103453454455456479116117118120740126148156451112[[#This Row],[Coste Componente]]*Tabla1103453454455456479116117118120740126148156451112[[#This Row],[Unidades]]</f>
        <v>0</v>
      </c>
      <c r="I55" s="4"/>
      <c r="J55" s="8" t="s">
        <v>13</v>
      </c>
      <c r="K55" s="9" t="e">
        <f>+K53+K54</f>
        <v>#N/A</v>
      </c>
    </row>
    <row r="56" spans="2:13" x14ac:dyDescent="0.3">
      <c r="B56" s="10" t="s">
        <v>168</v>
      </c>
      <c r="C56" s="335" t="s">
        <v>67</v>
      </c>
      <c r="D56" s="336">
        <v>15</v>
      </c>
      <c r="E56" s="336">
        <v>0</v>
      </c>
      <c r="F56" s="336">
        <v>15</v>
      </c>
      <c r="G56" s="337">
        <f>+VLOOKUP(Tabla1103453454455456479116117118120740126148156451112[[#This Row],[ArtÃ­culo]],Tabla34[#All],3,0)</f>
        <v>10.86600002</v>
      </c>
      <c r="H56" s="338">
        <f>+Tabla1103453454455456479116117118120740126148156451112[[#This Row],[Coste Componente]]*Tabla1103453454455456479116117118120740126148156451112[[#This Row],[Unidades]]</f>
        <v>162.99000029999999</v>
      </c>
      <c r="I56" s="4"/>
      <c r="J56" s="20" t="s">
        <v>1313</v>
      </c>
      <c r="K56" s="339">
        <v>1000</v>
      </c>
    </row>
    <row r="57" spans="2:13" x14ac:dyDescent="0.3">
      <c r="B57" s="10" t="s">
        <v>1358</v>
      </c>
      <c r="C57" s="335" t="s">
        <v>67</v>
      </c>
      <c r="D57" s="336">
        <v>5</v>
      </c>
      <c r="E57" s="336">
        <v>0</v>
      </c>
      <c r="F57" s="336">
        <v>5</v>
      </c>
      <c r="G57" s="337" t="e">
        <f>+VLOOKUP(Tabla1103453454455456479116117118120740126148156451112[[#This Row],[ArtÃ­culo]],Tabla34[#All],3,0)</f>
        <v>#N/A</v>
      </c>
      <c r="H57" s="338" t="e">
        <f>+Tabla1103453454455456479116117118120740126148156451112[[#This Row],[Coste Componente]]*Tabla1103453454455456479116117118120740126148156451112[[#This Row],[Unidades]]</f>
        <v>#N/A</v>
      </c>
      <c r="I57" s="4"/>
      <c r="J57" s="8" t="s">
        <v>15</v>
      </c>
      <c r="K57" s="9" t="e">
        <f>+K56/K55</f>
        <v>#N/A</v>
      </c>
    </row>
    <row r="58" spans="2:13" x14ac:dyDescent="0.3">
      <c r="B58" s="10" t="s">
        <v>38</v>
      </c>
      <c r="C58" s="335" t="s">
        <v>67</v>
      </c>
      <c r="D58" s="336">
        <v>100</v>
      </c>
      <c r="E58" s="336">
        <v>0</v>
      </c>
      <c r="F58" s="336">
        <v>100</v>
      </c>
      <c r="G58" s="337">
        <f>+VLOOKUP(Tabla1103453454455456479116117118120740126148156451112[[#This Row],[ArtÃ­culo]],Tabla34[#All],3,0)</f>
        <v>0</v>
      </c>
      <c r="H58" s="338">
        <f>+Tabla1103453454455456479116117118120740126148156451112[[#This Row],[Coste Componente]]*Tabla1103453454455456479116117118120740126148156451112[[#This Row],[Unidades]]</f>
        <v>0</v>
      </c>
    </row>
    <row r="59" spans="2:13" x14ac:dyDescent="0.3">
      <c r="B59" s="10" t="s">
        <v>183</v>
      </c>
      <c r="C59" s="335" t="s">
        <v>67</v>
      </c>
      <c r="D59" s="336">
        <v>150</v>
      </c>
      <c r="E59" s="336">
        <v>0</v>
      </c>
      <c r="F59" s="336">
        <v>150</v>
      </c>
      <c r="G59" s="337">
        <f>+VLOOKUP(Tabla1103453454455456479116117118120740126148156451112[[#This Row],[ArtÃ­culo]],Tabla34[#All],3,0)</f>
        <v>1</v>
      </c>
      <c r="H59" s="338">
        <f>+Tabla1103453454455456479116117118120740126148156451112[[#This Row],[Coste Componente]]*Tabla1103453454455456479116117118120740126148156451112[[#This Row],[Unidades]]</f>
        <v>150</v>
      </c>
    </row>
    <row r="60" spans="2:13" x14ac:dyDescent="0.3">
      <c r="B60" s="16"/>
      <c r="C60" s="17"/>
      <c r="D60" s="17"/>
      <c r="E60" s="17"/>
      <c r="F60" s="17"/>
      <c r="G60" s="18"/>
      <c r="H60" s="18" t="e">
        <f>SUBTOTAL(109,Tabla1103453454455456479116117118120740126148156451112[Coste LÃ­nea])</f>
        <v>#N/A</v>
      </c>
    </row>
    <row r="63" spans="2:13" ht="15.6" x14ac:dyDescent="0.3">
      <c r="B63" s="19" t="s">
        <v>1132</v>
      </c>
      <c r="C63" s="2"/>
      <c r="D63" s="2"/>
      <c r="E63" s="3"/>
      <c r="F63" s="3"/>
      <c r="G63" s="3"/>
      <c r="H63" s="3"/>
      <c r="J63" s="399" t="s">
        <v>0</v>
      </c>
      <c r="K63" s="399"/>
      <c r="M63" s="377" t="s">
        <v>1394</v>
      </c>
    </row>
    <row r="64" spans="2:13" x14ac:dyDescent="0.3">
      <c r="B64" s="329" t="s">
        <v>857</v>
      </c>
      <c r="C64" s="330" t="s">
        <v>895</v>
      </c>
      <c r="D64" s="330" t="s">
        <v>892</v>
      </c>
      <c r="E64" s="330" t="s">
        <v>893</v>
      </c>
      <c r="F64" s="330" t="s">
        <v>894</v>
      </c>
      <c r="G64" s="331" t="s">
        <v>901</v>
      </c>
      <c r="H64" s="331" t="s">
        <v>902</v>
      </c>
      <c r="I64" s="332"/>
      <c r="J64" s="333" t="s">
        <v>6</v>
      </c>
      <c r="K64" s="334" t="e">
        <f>SUM(Tabla110345345445545647911611711812074012614815645111213[Coste LÃ­nea])</f>
        <v>#N/A</v>
      </c>
      <c r="M64" s="346"/>
    </row>
    <row r="65" spans="2:13" x14ac:dyDescent="0.3">
      <c r="B65" s="10" t="s">
        <v>1362</v>
      </c>
      <c r="C65" s="335" t="s">
        <v>67</v>
      </c>
      <c r="D65" s="336">
        <v>600</v>
      </c>
      <c r="E65" s="336">
        <v>0</v>
      </c>
      <c r="F65" s="336">
        <v>600</v>
      </c>
      <c r="G65" s="337" t="e">
        <f>+VLOOKUP(Tabla110345345445545647911611711812074012614815645111213[[#This Row],[ArtÃ­culo]],Tabla34[#All],3,0)</f>
        <v>#N/A</v>
      </c>
      <c r="H65" s="338" t="e">
        <f>+Tabla110345345445545647911611711812074012614815645111213[[#This Row],[Coste Componente]]*Tabla110345345445545647911611711812074012614815645111213[[#This Row],[Unidades]]</f>
        <v>#N/A</v>
      </c>
      <c r="J65" s="8" t="s">
        <v>12</v>
      </c>
      <c r="K65" s="9" t="e">
        <f>+K64*5%</f>
        <v>#N/A</v>
      </c>
    </row>
    <row r="66" spans="2:13" x14ac:dyDescent="0.3">
      <c r="B66" s="10" t="s">
        <v>38</v>
      </c>
      <c r="C66" s="335" t="s">
        <v>67</v>
      </c>
      <c r="D66" s="336">
        <v>1000</v>
      </c>
      <c r="E66" s="336">
        <v>0</v>
      </c>
      <c r="F66" s="336">
        <v>1000</v>
      </c>
      <c r="G66" s="337">
        <f>+VLOOKUP(Tabla110345345445545647911611711812074012614815645111213[[#This Row],[ArtÃ­culo]],Tabla34[#All],3,0)</f>
        <v>0</v>
      </c>
      <c r="H66" s="338">
        <f>+Tabla110345345445545647911611711812074012614815645111213[[#This Row],[Coste Componente]]*Tabla110345345445545647911611711812074012614815645111213[[#This Row],[Unidades]]</f>
        <v>0</v>
      </c>
      <c r="I66" s="4"/>
      <c r="J66" s="8" t="s">
        <v>13</v>
      </c>
      <c r="K66" s="9" t="e">
        <f>+K64+K65</f>
        <v>#N/A</v>
      </c>
    </row>
    <row r="67" spans="2:13" x14ac:dyDescent="0.3">
      <c r="B67" s="10" t="s">
        <v>85</v>
      </c>
      <c r="C67" s="335" t="s">
        <v>67</v>
      </c>
      <c r="D67" s="336">
        <v>900</v>
      </c>
      <c r="E67" s="336">
        <v>0</v>
      </c>
      <c r="F67" s="336">
        <v>900</v>
      </c>
      <c r="G67" s="337">
        <f>+VLOOKUP(Tabla110345345445545647911611711812074012614815645111213[[#This Row],[ArtÃ­culo]],Tabla34[#All],3,0)</f>
        <v>4.8816666700000004</v>
      </c>
      <c r="H67" s="338">
        <f>+Tabla110345345445545647911611711812074012614815645111213[[#This Row],[Coste Componente]]*Tabla110345345445545647911611711812074012614815645111213[[#This Row],[Unidades]]</f>
        <v>4393.5000030000001</v>
      </c>
      <c r="I67" s="4"/>
      <c r="J67" s="20" t="s">
        <v>1313</v>
      </c>
      <c r="K67" s="339">
        <v>1000</v>
      </c>
    </row>
    <row r="68" spans="2:13" x14ac:dyDescent="0.3">
      <c r="B68" s="10" t="s">
        <v>89</v>
      </c>
      <c r="C68" s="335" t="s">
        <v>67</v>
      </c>
      <c r="D68" s="336">
        <v>1</v>
      </c>
      <c r="E68" s="336">
        <v>0</v>
      </c>
      <c r="F68" s="336">
        <v>1</v>
      </c>
      <c r="G68" s="337">
        <f>+VLOOKUP(Tabla110345345445545647911611711812074012614815645111213[[#This Row],[ArtÃ­culo]],Tabla34[#All],3,0)</f>
        <v>2.4009999999999998</v>
      </c>
      <c r="H68" s="338">
        <f>+Tabla110345345445545647911611711812074012614815645111213[[#This Row],[Coste Componente]]*Tabla110345345445545647911611711812074012614815645111213[[#This Row],[Unidades]]</f>
        <v>2.4009999999999998</v>
      </c>
      <c r="I68" s="4"/>
      <c r="J68" s="8" t="s">
        <v>15</v>
      </c>
      <c r="K68" s="9" t="e">
        <f>+K67/K66</f>
        <v>#N/A</v>
      </c>
    </row>
    <row r="69" spans="2:13" x14ac:dyDescent="0.3">
      <c r="B69" s="10" t="s">
        <v>1170</v>
      </c>
      <c r="C69" s="335" t="s">
        <v>67</v>
      </c>
      <c r="D69" s="336">
        <v>1</v>
      </c>
      <c r="E69" s="336">
        <v>0</v>
      </c>
      <c r="F69" s="336">
        <v>1</v>
      </c>
      <c r="G69" s="337">
        <f>+VLOOKUP(Tabla110345345445545647911611711812074012614815645111213[[#This Row],[ArtÃ­culo]],Tabla34[#All],3,0)</f>
        <v>178.06399999999999</v>
      </c>
      <c r="H69" s="338">
        <f>+Tabla110345345445545647911611711812074012614815645111213[[#This Row],[Coste Componente]]*Tabla110345345445545647911611711812074012614815645111213[[#This Row],[Unidades]]</f>
        <v>178.06399999999999</v>
      </c>
    </row>
    <row r="70" spans="2:13" x14ac:dyDescent="0.3">
      <c r="B70" s="10" t="s">
        <v>186</v>
      </c>
      <c r="C70" s="335" t="s">
        <v>67</v>
      </c>
      <c r="D70" s="336">
        <v>1</v>
      </c>
      <c r="E70" s="336">
        <v>0</v>
      </c>
      <c r="F70" s="336">
        <v>1</v>
      </c>
      <c r="G70" s="337">
        <f>+VLOOKUP(Tabla110345345445545647911611711812074012614815645111213[[#This Row],[ArtÃ­culo]],Tabla34[#All],3,0)</f>
        <v>233.07427392</v>
      </c>
      <c r="H70" s="338">
        <f>+Tabla110345345445545647911611711812074012614815645111213[[#This Row],[Coste Componente]]*Tabla110345345445545647911611711812074012614815645111213[[#This Row],[Unidades]]</f>
        <v>233.07427392</v>
      </c>
    </row>
    <row r="71" spans="2:13" x14ac:dyDescent="0.3">
      <c r="B71" s="16"/>
      <c r="C71" s="17"/>
      <c r="D71" s="17"/>
      <c r="E71" s="17"/>
      <c r="F71" s="17"/>
      <c r="G71" s="18"/>
      <c r="H71" s="18" t="e">
        <f>SUBTOTAL(109,Tabla110345345445545647911611711812074012614815645111213[Coste LÃ­nea])</f>
        <v>#N/A</v>
      </c>
    </row>
    <row r="74" spans="2:13" ht="15.6" x14ac:dyDescent="0.3">
      <c r="B74" s="19" t="s">
        <v>1142</v>
      </c>
      <c r="C74" s="2"/>
      <c r="D74" s="2"/>
      <c r="E74" s="3"/>
      <c r="F74" s="3"/>
      <c r="G74" s="3"/>
      <c r="H74" s="3"/>
      <c r="J74" s="399" t="s">
        <v>0</v>
      </c>
      <c r="K74" s="399"/>
      <c r="M74" s="377" t="s">
        <v>1394</v>
      </c>
    </row>
    <row r="75" spans="2:13" x14ac:dyDescent="0.3">
      <c r="B75" s="329" t="s">
        <v>857</v>
      </c>
      <c r="C75" s="330" t="s">
        <v>895</v>
      </c>
      <c r="D75" s="330" t="s">
        <v>892</v>
      </c>
      <c r="E75" s="330" t="s">
        <v>893</v>
      </c>
      <c r="F75" s="330" t="s">
        <v>894</v>
      </c>
      <c r="G75" s="331" t="s">
        <v>901</v>
      </c>
      <c r="H75" s="331" t="s">
        <v>902</v>
      </c>
      <c r="I75" s="332"/>
      <c r="J75" s="333" t="s">
        <v>6</v>
      </c>
      <c r="K75" s="334" t="e">
        <f>SUM(Tabla11034534544554564791161171181207401261481564511121316[Coste LÃ­nea])</f>
        <v>#N/A</v>
      </c>
      <c r="M75" s="346"/>
    </row>
    <row r="76" spans="2:13" x14ac:dyDescent="0.3">
      <c r="B76" s="10" t="s">
        <v>1363</v>
      </c>
      <c r="C76" s="335" t="s">
        <v>605</v>
      </c>
      <c r="D76" s="336">
        <v>24</v>
      </c>
      <c r="E76" s="336">
        <v>0</v>
      </c>
      <c r="F76" s="336">
        <v>24</v>
      </c>
      <c r="G76" s="337" t="e">
        <f>+VLOOKUP(Tabla11034534544554564791161171181207401261481564511121316[[#This Row],[ArtÃ­culo]],Tabla34[#All],3,0)</f>
        <v>#N/A</v>
      </c>
      <c r="H76" s="338" t="e">
        <f>+Tabla11034534544554564791161171181207401261481564511121316[[#This Row],[Coste Componente]]*Tabla11034534544554564791161171181207401261481564511121316[[#This Row],[Unidades]]</f>
        <v>#N/A</v>
      </c>
      <c r="J76" s="8" t="s">
        <v>12</v>
      </c>
      <c r="K76" s="9" t="e">
        <f>+K75*5%</f>
        <v>#N/A</v>
      </c>
    </row>
    <row r="77" spans="2:13" x14ac:dyDescent="0.3">
      <c r="B77" s="10" t="s">
        <v>709</v>
      </c>
      <c r="C77" s="335" t="s">
        <v>67</v>
      </c>
      <c r="D77" s="336">
        <v>1890</v>
      </c>
      <c r="E77" s="336">
        <v>0</v>
      </c>
      <c r="F77" s="336">
        <v>1890</v>
      </c>
      <c r="G77" s="337">
        <f>+VLOOKUP(Tabla11034534544554564791161171181207401261481564511121316[[#This Row],[ArtÃ­culo]],Tabla34[#All],3,0)</f>
        <v>3.2</v>
      </c>
      <c r="H77" s="338">
        <f>+Tabla11034534544554564791161171181207401261481564511121316[[#This Row],[Coste Componente]]*Tabla11034534544554564791161171181207401261481564511121316[[#This Row],[Unidades]]</f>
        <v>6048</v>
      </c>
      <c r="I77" s="4"/>
      <c r="J77" s="8" t="s">
        <v>13</v>
      </c>
      <c r="K77" s="9" t="e">
        <f>+K75+K76</f>
        <v>#N/A</v>
      </c>
    </row>
    <row r="78" spans="2:13" x14ac:dyDescent="0.3">
      <c r="B78" s="10" t="s">
        <v>741</v>
      </c>
      <c r="C78" s="335" t="s">
        <v>67</v>
      </c>
      <c r="D78" s="336">
        <v>300</v>
      </c>
      <c r="E78" s="336">
        <v>0</v>
      </c>
      <c r="F78" s="336">
        <v>300</v>
      </c>
      <c r="G78" s="337">
        <f>+VLOOKUP(Tabla11034534544554564791161171181207401261481564511121316[[#This Row],[ArtÃ­culo]],Tabla34[#All],3,0)</f>
        <v>5</v>
      </c>
      <c r="H78" s="338">
        <f>+Tabla11034534544554564791161171181207401261481564511121316[[#This Row],[Coste Componente]]*Tabla11034534544554564791161171181207401261481564511121316[[#This Row],[Unidades]]</f>
        <v>1500</v>
      </c>
      <c r="I78" s="4"/>
      <c r="J78" s="20" t="s">
        <v>1313</v>
      </c>
      <c r="K78" s="339">
        <v>1000</v>
      </c>
    </row>
    <row r="79" spans="2:13" x14ac:dyDescent="0.3">
      <c r="B79" s="10" t="s">
        <v>606</v>
      </c>
      <c r="C79" s="335" t="s">
        <v>67</v>
      </c>
      <c r="D79" s="336">
        <v>320</v>
      </c>
      <c r="E79" s="336">
        <v>0</v>
      </c>
      <c r="F79" s="336">
        <v>320</v>
      </c>
      <c r="G79" s="337">
        <f>+VLOOKUP(Tabla11034534544554564791161171181207401261481564511121316[[#This Row],[ArtÃ­culo]],Tabla34[#All],3,0)</f>
        <v>4.5</v>
      </c>
      <c r="H79" s="338">
        <f>+Tabla11034534544554564791161171181207401261481564511121316[[#This Row],[Coste Componente]]*Tabla11034534544554564791161171181207401261481564511121316[[#This Row],[Unidades]]</f>
        <v>1440</v>
      </c>
      <c r="I79" s="4"/>
      <c r="J79" s="8" t="s">
        <v>15</v>
      </c>
      <c r="K79" s="9" t="e">
        <f>+K78/K77</f>
        <v>#N/A</v>
      </c>
    </row>
    <row r="80" spans="2:13" x14ac:dyDescent="0.3">
      <c r="B80" s="10" t="s">
        <v>38</v>
      </c>
      <c r="C80" s="335" t="s">
        <v>67</v>
      </c>
      <c r="D80" s="336">
        <v>300</v>
      </c>
      <c r="E80" s="336">
        <v>0</v>
      </c>
      <c r="F80" s="336">
        <v>300</v>
      </c>
      <c r="G80" s="337">
        <f>+VLOOKUP(Tabla11034534544554564791161171181207401261481564511121316[[#This Row],[ArtÃ­culo]],Tabla34[#All],3,0)</f>
        <v>0</v>
      </c>
      <c r="H80" s="338">
        <f>+Tabla11034534544554564791161171181207401261481564511121316[[#This Row],[Coste Componente]]*Tabla11034534544554564791161171181207401261481564511121316[[#This Row],[Unidades]]</f>
        <v>0</v>
      </c>
    </row>
    <row r="81" spans="2:13" x14ac:dyDescent="0.3">
      <c r="B81" s="10" t="s">
        <v>85</v>
      </c>
      <c r="C81" s="335" t="s">
        <v>67</v>
      </c>
      <c r="D81" s="336">
        <v>300</v>
      </c>
      <c r="E81" s="336">
        <v>0</v>
      </c>
      <c r="F81" s="336">
        <v>300</v>
      </c>
      <c r="G81" s="337">
        <f>+VLOOKUP(Tabla11034534544554564791161171181207401261481564511121316[[#This Row],[ArtÃ­culo]],Tabla34[#All],3,0)</f>
        <v>4.8816666700000004</v>
      </c>
      <c r="H81" s="338">
        <f>+Tabla11034534544554564791161171181207401261481564511121316[[#This Row],[Coste Componente]]*Tabla11034534544554564791161171181207401261481564511121316[[#This Row],[Unidades]]</f>
        <v>1464.5000010000001</v>
      </c>
    </row>
    <row r="82" spans="2:13" x14ac:dyDescent="0.3">
      <c r="B82" s="10" t="s">
        <v>89</v>
      </c>
      <c r="C82" s="335" t="s">
        <v>67</v>
      </c>
      <c r="D82" s="340">
        <v>1</v>
      </c>
      <c r="E82" s="336">
        <v>0</v>
      </c>
      <c r="F82" s="336">
        <v>1</v>
      </c>
      <c r="G82" s="337">
        <f>+VLOOKUP(Tabla11034534544554564791161171181207401261481564511121316[[#This Row],[ArtÃ­culo]],Tabla34[#All],3,0)</f>
        <v>2.4009999999999998</v>
      </c>
      <c r="H82" s="338">
        <f>+Tabla11034534544554564791161171181207401261481564511121316[[#This Row],[Coste Componente]]*Tabla11034534544554564791161171181207401261481564511121316[[#This Row],[Unidades]]</f>
        <v>2.4009999999999998</v>
      </c>
    </row>
    <row r="83" spans="2:13" x14ac:dyDescent="0.3">
      <c r="B83" s="16"/>
      <c r="C83" s="17"/>
      <c r="D83" s="17"/>
      <c r="E83" s="17"/>
      <c r="F83" s="17"/>
      <c r="G83" s="18"/>
      <c r="H83" s="18" t="e">
        <f>SUBTOTAL(109,Tabla11034534544554564791161171181207401261481564511121316[Coste LÃ­nea])</f>
        <v>#N/A</v>
      </c>
    </row>
    <row r="86" spans="2:13" ht="15.6" x14ac:dyDescent="0.3">
      <c r="B86" s="19" t="s">
        <v>1232</v>
      </c>
      <c r="C86" s="2"/>
      <c r="D86" s="2"/>
      <c r="E86" s="3"/>
      <c r="F86" s="3"/>
      <c r="G86" s="3"/>
      <c r="H86" s="3"/>
      <c r="J86" s="399" t="s">
        <v>0</v>
      </c>
      <c r="K86" s="399"/>
      <c r="M86" s="377" t="s">
        <v>1394</v>
      </c>
    </row>
    <row r="87" spans="2:13" x14ac:dyDescent="0.3">
      <c r="B87" s="329" t="s">
        <v>857</v>
      </c>
      <c r="C87" s="330" t="s">
        <v>895</v>
      </c>
      <c r="D87" s="330" t="s">
        <v>892</v>
      </c>
      <c r="E87" s="330" t="s">
        <v>893</v>
      </c>
      <c r="F87" s="330" t="s">
        <v>894</v>
      </c>
      <c r="G87" s="331" t="s">
        <v>901</v>
      </c>
      <c r="H87" s="331" t="s">
        <v>902</v>
      </c>
      <c r="I87" s="332"/>
      <c r="J87" s="333" t="s">
        <v>6</v>
      </c>
      <c r="K87" s="334">
        <f>SUM(Tabla11034534544554564791161171181207401261481564511121316115[Coste LÃ­nea])</f>
        <v>13816.118276520001</v>
      </c>
      <c r="M87" s="346"/>
    </row>
    <row r="88" spans="2:13" x14ac:dyDescent="0.3">
      <c r="B88" s="10" t="s">
        <v>799</v>
      </c>
      <c r="C88" s="335" t="s">
        <v>67</v>
      </c>
      <c r="D88" s="336">
        <v>500</v>
      </c>
      <c r="E88" s="336">
        <v>0</v>
      </c>
      <c r="F88" s="336">
        <v>500</v>
      </c>
      <c r="G88" s="337">
        <f>+VLOOKUP(Tabla11034534544554564791161171181207401261481564511121316115[[#This Row],[ArtÃ­culo]],Tabla34[#All],3,0)</f>
        <v>12.5</v>
      </c>
      <c r="H88" s="338">
        <f>+Tabla11034534544554564791161171181207401261481564511121316115[[#This Row],[Coste Componente]]*Tabla11034534544554564791161171181207401261481564511121316115[[#This Row],[Unidades]]</f>
        <v>6250</v>
      </c>
      <c r="J88" s="8" t="s">
        <v>12</v>
      </c>
      <c r="K88" s="9">
        <f>+K87*5%</f>
        <v>690.80591382600005</v>
      </c>
    </row>
    <row r="89" spans="2:13" x14ac:dyDescent="0.3">
      <c r="B89" s="10" t="s">
        <v>680</v>
      </c>
      <c r="C89" s="335" t="s">
        <v>67</v>
      </c>
      <c r="D89" s="336">
        <v>500</v>
      </c>
      <c r="E89" s="336">
        <v>0</v>
      </c>
      <c r="F89" s="336">
        <v>500</v>
      </c>
      <c r="G89" s="337">
        <f>+VLOOKUP(Tabla11034534544554564791161171181207401261481564511121316115[[#This Row],[ArtÃ­culo]],Tabla34[#All],3,0)</f>
        <v>7.8</v>
      </c>
      <c r="H89" s="338">
        <f>+Tabla11034534544554564791161171181207401261481564511121316115[[#This Row],[Coste Componente]]*Tabla11034534544554564791161171181207401261481564511121316115[[#This Row],[Unidades]]</f>
        <v>3900</v>
      </c>
      <c r="I89" s="4"/>
      <c r="J89" s="8" t="s">
        <v>13</v>
      </c>
      <c r="K89" s="9">
        <f>+K87+K88</f>
        <v>14506.924190346001</v>
      </c>
    </row>
    <row r="90" spans="2:13" x14ac:dyDescent="0.3">
      <c r="B90" s="10" t="s">
        <v>38</v>
      </c>
      <c r="C90" s="335" t="s">
        <v>67</v>
      </c>
      <c r="D90" s="336">
        <v>600</v>
      </c>
      <c r="E90" s="336">
        <v>0</v>
      </c>
      <c r="F90" s="336">
        <v>600</v>
      </c>
      <c r="G90" s="337">
        <f>+VLOOKUP(Tabla11034534544554564791161171181207401261481564511121316115[[#This Row],[ArtÃ­culo]],Tabla34[#All],3,0)</f>
        <v>0</v>
      </c>
      <c r="H90" s="338">
        <f>+Tabla11034534544554564791161171181207401261481564511121316115[[#This Row],[Coste Componente]]*Tabla11034534544554564791161171181207401261481564511121316115[[#This Row],[Unidades]]</f>
        <v>0</v>
      </c>
      <c r="I90" s="4"/>
      <c r="J90" s="20" t="s">
        <v>1313</v>
      </c>
      <c r="K90" s="339">
        <v>1000</v>
      </c>
    </row>
    <row r="91" spans="2:13" x14ac:dyDescent="0.3">
      <c r="B91" s="10" t="s">
        <v>85</v>
      </c>
      <c r="C91" s="335" t="s">
        <v>67</v>
      </c>
      <c r="D91" s="336">
        <v>600</v>
      </c>
      <c r="E91" s="336">
        <v>0</v>
      </c>
      <c r="F91" s="336">
        <v>600</v>
      </c>
      <c r="G91" s="337">
        <f>+VLOOKUP(Tabla11034534544554564791161171181207401261481564511121316115[[#This Row],[ArtÃ­culo]],Tabla34[#All],3,0)</f>
        <v>4.8816666700000004</v>
      </c>
      <c r="H91" s="338">
        <f>+Tabla11034534544554564791161171181207401261481564511121316115[[#This Row],[Coste Componente]]*Tabla11034534544554564791161171181207401261481564511121316115[[#This Row],[Unidades]]</f>
        <v>2929.0000020000002</v>
      </c>
      <c r="I91" s="4"/>
      <c r="J91" s="8" t="s">
        <v>15</v>
      </c>
      <c r="K91" s="9">
        <f>+K90/K89</f>
        <v>6.8932599831567007E-2</v>
      </c>
    </row>
    <row r="92" spans="2:13" x14ac:dyDescent="0.3">
      <c r="B92" s="10" t="s">
        <v>168</v>
      </c>
      <c r="C92" s="335" t="s">
        <v>67</v>
      </c>
      <c r="D92" s="336">
        <v>30</v>
      </c>
      <c r="E92" s="336">
        <v>0</v>
      </c>
      <c r="F92" s="336">
        <v>30</v>
      </c>
      <c r="G92" s="337">
        <f>+VLOOKUP(Tabla11034534544554564791161171181207401261481564511121316115[[#This Row],[ArtÃ­culo]],Tabla34[#All],3,0)</f>
        <v>10.86600002</v>
      </c>
      <c r="H92" s="338">
        <f>+Tabla11034534544554564791161171181207401261481564511121316115[[#This Row],[Coste Componente]]*Tabla11034534544554564791161171181207401261481564511121316115[[#This Row],[Unidades]]</f>
        <v>325.98000059999998</v>
      </c>
    </row>
    <row r="93" spans="2:13" x14ac:dyDescent="0.3">
      <c r="B93" s="10" t="s">
        <v>186</v>
      </c>
      <c r="C93" s="335" t="s">
        <v>67</v>
      </c>
      <c r="D93" s="336">
        <v>1</v>
      </c>
      <c r="E93" s="336">
        <v>0</v>
      </c>
      <c r="F93" s="336">
        <v>1</v>
      </c>
      <c r="G93" s="337">
        <f>+VLOOKUP(Tabla11034534544554564791161171181207401261481564511121316115[[#This Row],[ArtÃ­culo]],Tabla34[#All],3,0)</f>
        <v>233.07427392</v>
      </c>
      <c r="H93" s="338">
        <f>+Tabla11034534544554564791161171181207401261481564511121316115[[#This Row],[Coste Componente]]*Tabla11034534544554564791161171181207401261481564511121316115[[#This Row],[Unidades]]</f>
        <v>233.07427392</v>
      </c>
    </row>
    <row r="94" spans="2:13" x14ac:dyDescent="0.3">
      <c r="B94" s="10" t="s">
        <v>1170</v>
      </c>
      <c r="C94" s="335" t="s">
        <v>67</v>
      </c>
      <c r="D94" s="336">
        <v>1</v>
      </c>
      <c r="E94" s="336">
        <v>0</v>
      </c>
      <c r="F94" s="336">
        <v>1</v>
      </c>
      <c r="G94" s="337">
        <f>+VLOOKUP(Tabla11034534544554564791161171181207401261481564511121316115[[#This Row],[ArtÃ­culo]],Tabla34[#All],3,0)</f>
        <v>178.06399999999999</v>
      </c>
      <c r="H94" s="338">
        <f>+Tabla11034534544554564791161171181207401261481564511121316115[[#This Row],[Coste Componente]]*Tabla11034534544554564791161171181207401261481564511121316115[[#This Row],[Unidades]]</f>
        <v>178.06399999999999</v>
      </c>
    </row>
    <row r="95" spans="2:13" x14ac:dyDescent="0.3">
      <c r="B95" s="16"/>
      <c r="C95" s="17"/>
      <c r="D95" s="17"/>
      <c r="E95" s="17"/>
      <c r="F95" s="17"/>
      <c r="G95" s="18"/>
      <c r="H95" s="18">
        <f>SUBTOTAL(109,Tabla11034534544554564791161171181207401261481564511121316115[Coste LÃ­nea])</f>
        <v>13816.118276520001</v>
      </c>
    </row>
    <row r="98" spans="2:13" ht="15.6" x14ac:dyDescent="0.3">
      <c r="B98" s="19" t="s">
        <v>1365</v>
      </c>
      <c r="C98" s="2"/>
      <c r="D98" s="2"/>
      <c r="E98" s="3"/>
      <c r="F98" s="3"/>
      <c r="G98" s="3"/>
      <c r="H98" s="3"/>
      <c r="J98" s="399" t="s">
        <v>0</v>
      </c>
      <c r="K98" s="399"/>
      <c r="M98" s="377" t="s">
        <v>1394</v>
      </c>
    </row>
    <row r="99" spans="2:13" x14ac:dyDescent="0.3">
      <c r="B99" s="329" t="s">
        <v>857</v>
      </c>
      <c r="C99" s="330" t="s">
        <v>895</v>
      </c>
      <c r="D99" s="330" t="s">
        <v>892</v>
      </c>
      <c r="E99" s="330" t="s">
        <v>893</v>
      </c>
      <c r="F99" s="330" t="s">
        <v>894</v>
      </c>
      <c r="G99" s="331" t="s">
        <v>901</v>
      </c>
      <c r="H99" s="331" t="s">
        <v>902</v>
      </c>
      <c r="I99" s="332"/>
      <c r="J99" s="333" t="s">
        <v>6</v>
      </c>
      <c r="K99" s="334" t="e">
        <f>SUM(Tabla11034534544554564791161171181207401261481564511121316115126[Coste LÃ­nea])</f>
        <v>#N/A</v>
      </c>
      <c r="M99" s="346"/>
    </row>
    <row r="100" spans="2:13" x14ac:dyDescent="0.3">
      <c r="B100" s="10" t="s">
        <v>832</v>
      </c>
      <c r="C100" s="335" t="s">
        <v>67</v>
      </c>
      <c r="D100" s="336">
        <v>1500</v>
      </c>
      <c r="E100" s="336">
        <v>0</v>
      </c>
      <c r="F100" s="336">
        <v>1500</v>
      </c>
      <c r="G100" s="337">
        <f>+VLOOKUP(Tabla11034534544554564791161171181207401261481564511121316115126[[#This Row],[ArtÃ­culo]],Tabla34[#All],3,0)</f>
        <v>4.8</v>
      </c>
      <c r="H100" s="338">
        <f>+Tabla11034534544554564791161171181207401261481564511121316115126[[#This Row],[Coste Componente]]*Tabla11034534544554564791161171181207401261481564511121316115126[[#This Row],[Unidades]]</f>
        <v>7200</v>
      </c>
      <c r="J100" s="8" t="s">
        <v>12</v>
      </c>
      <c r="K100" s="9" t="e">
        <f>+K99*5%</f>
        <v>#N/A</v>
      </c>
    </row>
    <row r="101" spans="2:13" x14ac:dyDescent="0.3">
      <c r="B101" s="10" t="s">
        <v>38</v>
      </c>
      <c r="C101" s="335" t="s">
        <v>67</v>
      </c>
      <c r="D101" s="336">
        <v>800</v>
      </c>
      <c r="E101" s="336">
        <v>0</v>
      </c>
      <c r="F101" s="336">
        <v>800</v>
      </c>
      <c r="G101" s="337">
        <f>+VLOOKUP(Tabla11034534544554564791161171181207401261481564511121316115126[[#This Row],[ArtÃ­culo]],Tabla34[#All],3,0)</f>
        <v>0</v>
      </c>
      <c r="H101" s="338">
        <f>+Tabla11034534544554564791161171181207401261481564511121316115126[[#This Row],[Coste Componente]]*Tabla11034534544554564791161171181207401261481564511121316115126[[#This Row],[Unidades]]</f>
        <v>0</v>
      </c>
      <c r="I101" s="4"/>
      <c r="J101" s="8" t="s">
        <v>13</v>
      </c>
      <c r="K101" s="9" t="e">
        <f>+K99+K100</f>
        <v>#N/A</v>
      </c>
    </row>
    <row r="102" spans="2:13" x14ac:dyDescent="0.3">
      <c r="B102" s="10" t="s">
        <v>85</v>
      </c>
      <c r="C102" s="335" t="s">
        <v>67</v>
      </c>
      <c r="D102" s="336">
        <v>600</v>
      </c>
      <c r="E102" s="336">
        <v>0</v>
      </c>
      <c r="F102" s="336">
        <v>600</v>
      </c>
      <c r="G102" s="337">
        <f>+VLOOKUP(Tabla11034534544554564791161171181207401261481564511121316115126[[#This Row],[ArtÃ­culo]],Tabla34[#All],3,0)</f>
        <v>4.8816666700000004</v>
      </c>
      <c r="H102" s="338">
        <f>+Tabla11034534544554564791161171181207401261481564511121316115126[[#This Row],[Coste Componente]]*Tabla11034534544554564791161171181207401261481564511121316115126[[#This Row],[Unidades]]</f>
        <v>2929.0000020000002</v>
      </c>
      <c r="I102" s="4"/>
      <c r="J102" s="20" t="s">
        <v>1313</v>
      </c>
      <c r="K102" s="339">
        <v>1000</v>
      </c>
    </row>
    <row r="103" spans="2:13" x14ac:dyDescent="0.3">
      <c r="B103" s="10" t="s">
        <v>168</v>
      </c>
      <c r="C103" s="335" t="s">
        <v>67</v>
      </c>
      <c r="D103" s="336">
        <v>30</v>
      </c>
      <c r="E103" s="336">
        <v>0</v>
      </c>
      <c r="F103" s="336">
        <v>30</v>
      </c>
      <c r="G103" s="337">
        <f>+VLOOKUP(Tabla11034534544554564791161171181207401261481564511121316115126[[#This Row],[ArtÃ­culo]],Tabla34[#All],3,0)</f>
        <v>10.86600002</v>
      </c>
      <c r="H103" s="338">
        <f>+Tabla11034534544554564791161171181207401261481564511121316115126[[#This Row],[Coste Componente]]*Tabla11034534544554564791161171181207401261481564511121316115126[[#This Row],[Unidades]]</f>
        <v>325.98000059999998</v>
      </c>
      <c r="I103" s="4"/>
      <c r="J103" s="8" t="s">
        <v>15</v>
      </c>
      <c r="K103" s="9" t="e">
        <f>+K102/K101</f>
        <v>#N/A</v>
      </c>
    </row>
    <row r="104" spans="2:13" x14ac:dyDescent="0.3">
      <c r="B104" s="10" t="s">
        <v>89</v>
      </c>
      <c r="C104" s="335" t="s">
        <v>67</v>
      </c>
      <c r="D104" s="336">
        <v>1</v>
      </c>
      <c r="E104" s="336">
        <v>0</v>
      </c>
      <c r="F104" s="336">
        <v>1</v>
      </c>
      <c r="G104" s="337">
        <f>+VLOOKUP(Tabla11034534544554564791161171181207401261481564511121316115126[[#This Row],[ArtÃ­culo]],Tabla34[#All],3,0)</f>
        <v>2.4009999999999998</v>
      </c>
      <c r="H104" s="338">
        <f>+Tabla11034534544554564791161171181207401261481564511121316115126[[#This Row],[Coste Componente]]*Tabla11034534544554564791161171181207401261481564511121316115126[[#This Row],[Unidades]]</f>
        <v>2.4009999999999998</v>
      </c>
    </row>
    <row r="105" spans="2:13" x14ac:dyDescent="0.3">
      <c r="B105" s="10" t="s">
        <v>186</v>
      </c>
      <c r="C105" s="335" t="s">
        <v>67</v>
      </c>
      <c r="D105" s="336">
        <v>5</v>
      </c>
      <c r="E105" s="336">
        <v>0</v>
      </c>
      <c r="F105" s="336">
        <v>5</v>
      </c>
      <c r="G105" s="337">
        <f>+VLOOKUP(Tabla11034534544554564791161171181207401261481564511121316115126[[#This Row],[ArtÃ­culo]],Tabla34[#All],3,0)</f>
        <v>233.07427392</v>
      </c>
      <c r="H105" s="338">
        <f>+Tabla11034534544554564791161171181207401261481564511121316115126[[#This Row],[Coste Componente]]*Tabla11034534544554564791161171181207401261481564511121316115126[[#This Row],[Unidades]]</f>
        <v>1165.3713696</v>
      </c>
    </row>
    <row r="106" spans="2:13" x14ac:dyDescent="0.3">
      <c r="B106" s="10" t="s">
        <v>1364</v>
      </c>
      <c r="C106" s="335" t="s">
        <v>67</v>
      </c>
      <c r="D106" s="336">
        <v>3</v>
      </c>
      <c r="E106" s="336">
        <v>0</v>
      </c>
      <c r="F106" s="336">
        <v>3</v>
      </c>
      <c r="G106" s="337" t="e">
        <f>+VLOOKUP(Tabla11034534544554564791161171181207401261481564511121316115126[[#This Row],[ArtÃ­culo]],Tabla34[#All],3,0)</f>
        <v>#N/A</v>
      </c>
      <c r="H106" s="338" t="e">
        <f>+Tabla11034534544554564791161171181207401261481564511121316115126[[#This Row],[Coste Componente]]*Tabla11034534544554564791161171181207401261481564511121316115126[[#This Row],[Unidades]]</f>
        <v>#N/A</v>
      </c>
    </row>
    <row r="107" spans="2:13" x14ac:dyDescent="0.3">
      <c r="B107" s="16"/>
      <c r="C107" s="17"/>
      <c r="D107" s="17"/>
      <c r="E107" s="17"/>
      <c r="F107" s="17"/>
      <c r="G107" s="18"/>
      <c r="H107" s="18" t="e">
        <f>SUBTOTAL(109,Tabla11034534544554564791161171181207401261481564511121316115126[Coste LÃ­nea])</f>
        <v>#N/A</v>
      </c>
    </row>
    <row r="109" spans="2:13" ht="15.6" x14ac:dyDescent="0.3">
      <c r="B109" s="19" t="s">
        <v>1366</v>
      </c>
      <c r="C109" s="2"/>
      <c r="D109" s="2"/>
      <c r="E109" s="3"/>
      <c r="F109" s="3"/>
      <c r="G109" s="3"/>
      <c r="H109" s="3"/>
      <c r="J109" s="399" t="s">
        <v>0</v>
      </c>
      <c r="K109" s="399"/>
      <c r="M109" s="377" t="s">
        <v>1394</v>
      </c>
    </row>
    <row r="110" spans="2:13" x14ac:dyDescent="0.3">
      <c r="B110" s="329" t="s">
        <v>857</v>
      </c>
      <c r="C110" s="330" t="s">
        <v>895</v>
      </c>
      <c r="D110" s="330" t="s">
        <v>892</v>
      </c>
      <c r="E110" s="330" t="s">
        <v>893</v>
      </c>
      <c r="F110" s="330" t="s">
        <v>894</v>
      </c>
      <c r="G110" s="331" t="s">
        <v>901</v>
      </c>
      <c r="H110" s="331" t="s">
        <v>902</v>
      </c>
      <c r="I110" s="332"/>
      <c r="J110" s="333" t="s">
        <v>6</v>
      </c>
      <c r="K110" s="334" t="e">
        <f>SUM(Tabla11034534544554564791161171181207401261481564511121316115126143[Coste LÃ­nea])</f>
        <v>#N/A</v>
      </c>
      <c r="M110" s="346"/>
    </row>
    <row r="111" spans="2:13" x14ac:dyDescent="0.3">
      <c r="B111" s="10" t="s">
        <v>717</v>
      </c>
      <c r="C111" s="335" t="s">
        <v>67</v>
      </c>
      <c r="D111" s="336">
        <v>700</v>
      </c>
      <c r="E111" s="336">
        <v>0</v>
      </c>
      <c r="F111" s="336">
        <v>700</v>
      </c>
      <c r="G111" s="337">
        <f>+VLOOKUP(Tabla11034534544554564791161171181207401261481564511121316115126143[[#This Row],[ArtÃ­culo]],Tabla34[#All],3,0)</f>
        <v>6.5</v>
      </c>
      <c r="H111" s="338">
        <f>+Tabla11034534544554564791161171181207401261481564511121316115126143[[#This Row],[Coste Componente]]*Tabla11034534544554564791161171181207401261481564511121316115126143[[#This Row],[Unidades]]</f>
        <v>4550</v>
      </c>
      <c r="J111" s="8" t="s">
        <v>12</v>
      </c>
      <c r="K111" s="9" t="e">
        <f>+K110*5%</f>
        <v>#N/A</v>
      </c>
    </row>
    <row r="112" spans="2:13" x14ac:dyDescent="0.3">
      <c r="B112" s="10" t="s">
        <v>85</v>
      </c>
      <c r="C112" s="335" t="s">
        <v>67</v>
      </c>
      <c r="D112" s="336">
        <v>500</v>
      </c>
      <c r="E112" s="336">
        <v>0</v>
      </c>
      <c r="F112" s="336">
        <v>500</v>
      </c>
      <c r="G112" s="337">
        <f>+VLOOKUP(Tabla11034534544554564791161171181207401261481564511121316115126143[[#This Row],[ArtÃ­culo]],Tabla34[#All],3,0)</f>
        <v>4.8816666700000004</v>
      </c>
      <c r="H112" s="338">
        <f>+Tabla11034534544554564791161171181207401261481564511121316115126143[[#This Row],[Coste Componente]]*Tabla11034534544554564791161171181207401261481564511121316115126143[[#This Row],[Unidades]]</f>
        <v>2440.8333350000003</v>
      </c>
      <c r="I112" s="4"/>
      <c r="J112" s="8" t="s">
        <v>13</v>
      </c>
      <c r="K112" s="9" t="e">
        <f>+K110+K111</f>
        <v>#N/A</v>
      </c>
    </row>
    <row r="113" spans="2:13" x14ac:dyDescent="0.3">
      <c r="B113" s="10" t="s">
        <v>38</v>
      </c>
      <c r="C113" s="335" t="s">
        <v>67</v>
      </c>
      <c r="D113" s="336">
        <v>300</v>
      </c>
      <c r="E113" s="336">
        <v>0</v>
      </c>
      <c r="F113" s="336">
        <v>300</v>
      </c>
      <c r="G113" s="337">
        <f>+VLOOKUP(Tabla11034534544554564791161171181207401261481564511121316115126143[[#This Row],[ArtÃ­culo]],Tabla34[#All],3,0)</f>
        <v>0</v>
      </c>
      <c r="H113" s="338">
        <f>+Tabla11034534544554564791161171181207401261481564511121316115126143[[#This Row],[Coste Componente]]*Tabla11034534544554564791161171181207401261481564511121316115126143[[#This Row],[Unidades]]</f>
        <v>0</v>
      </c>
      <c r="I113" s="4"/>
      <c r="J113" s="20" t="s">
        <v>1313</v>
      </c>
      <c r="K113" s="339">
        <v>1000</v>
      </c>
    </row>
    <row r="114" spans="2:13" x14ac:dyDescent="0.3">
      <c r="B114" s="10" t="s">
        <v>186</v>
      </c>
      <c r="C114" s="335" t="s">
        <v>67</v>
      </c>
      <c r="D114" s="336">
        <v>3</v>
      </c>
      <c r="E114" s="336">
        <v>0</v>
      </c>
      <c r="F114" s="336">
        <v>3</v>
      </c>
      <c r="G114" s="337">
        <f>+VLOOKUP(Tabla11034534544554564791161171181207401261481564511121316115126143[[#This Row],[ArtÃ­culo]],Tabla34[#All],3,0)</f>
        <v>233.07427392</v>
      </c>
      <c r="H114" s="338">
        <f>+Tabla11034534544554564791161171181207401261481564511121316115126143[[#This Row],[Coste Componente]]*Tabla11034534544554564791161171181207401261481564511121316115126143[[#This Row],[Unidades]]</f>
        <v>699.22282175999999</v>
      </c>
      <c r="I114" s="4"/>
      <c r="J114" s="8" t="s">
        <v>15</v>
      </c>
      <c r="K114" s="9" t="e">
        <f>+K113/K112</f>
        <v>#N/A</v>
      </c>
    </row>
    <row r="115" spans="2:13" x14ac:dyDescent="0.3">
      <c r="B115" s="10" t="s">
        <v>1170</v>
      </c>
      <c r="C115" s="335" t="s">
        <v>67</v>
      </c>
      <c r="D115" s="336">
        <v>2</v>
      </c>
      <c r="E115" s="336">
        <v>0</v>
      </c>
      <c r="F115" s="336">
        <v>2</v>
      </c>
      <c r="G115" s="337">
        <f>+VLOOKUP(Tabla11034534544554564791161171181207401261481564511121316115126143[[#This Row],[ArtÃ­culo]],Tabla34[#All],3,0)</f>
        <v>178.06399999999999</v>
      </c>
      <c r="H115" s="338">
        <f>+Tabla11034534544554564791161171181207401261481564511121316115126143[[#This Row],[Coste Componente]]*Tabla11034534544554564791161171181207401261481564511121316115126143[[#This Row],[Unidades]]</f>
        <v>356.12799999999999</v>
      </c>
    </row>
    <row r="116" spans="2:13" x14ac:dyDescent="0.3">
      <c r="B116" s="10" t="s">
        <v>1364</v>
      </c>
      <c r="C116" s="335" t="s">
        <v>67</v>
      </c>
      <c r="D116" s="336">
        <v>1</v>
      </c>
      <c r="E116" s="336">
        <v>0</v>
      </c>
      <c r="F116" s="336">
        <v>1</v>
      </c>
      <c r="G116" s="337" t="e">
        <f>+VLOOKUP(Tabla11034534544554564791161171181207401261481564511121316115126143[[#This Row],[ArtÃ­culo]],Tabla34[#All],3,0)</f>
        <v>#N/A</v>
      </c>
      <c r="H116" s="338" t="e">
        <f>+Tabla11034534544554564791161171181207401261481564511121316115126143[[#This Row],[Coste Componente]]*Tabla11034534544554564791161171181207401261481564511121316115126143[[#This Row],[Unidades]]</f>
        <v>#N/A</v>
      </c>
    </row>
    <row r="117" spans="2:13" x14ac:dyDescent="0.3">
      <c r="B117" s="10" t="s">
        <v>89</v>
      </c>
      <c r="C117" s="335" t="s">
        <v>67</v>
      </c>
      <c r="D117" s="336">
        <v>1</v>
      </c>
      <c r="E117" s="336">
        <v>0</v>
      </c>
      <c r="F117" s="336">
        <v>1</v>
      </c>
      <c r="G117" s="337">
        <f>+VLOOKUP(Tabla11034534544554564791161171181207401261481564511121316115126143[[#This Row],[ArtÃ­culo]],Tabla34[#All],3,0)</f>
        <v>2.4009999999999998</v>
      </c>
      <c r="H117" s="338">
        <f>+Tabla11034534544554564791161171181207401261481564511121316115126143[[#This Row],[Coste Componente]]*Tabla11034534544554564791161171181207401261481564511121316115126143[[#This Row],[Unidades]]</f>
        <v>2.4009999999999998</v>
      </c>
    </row>
    <row r="118" spans="2:13" x14ac:dyDescent="0.3">
      <c r="B118" s="10" t="s">
        <v>1358</v>
      </c>
      <c r="C118" s="335" t="s">
        <v>67</v>
      </c>
      <c r="D118" s="336">
        <v>1</v>
      </c>
      <c r="E118" s="336">
        <v>0</v>
      </c>
      <c r="F118" s="336">
        <v>1</v>
      </c>
      <c r="G118" s="337" t="e">
        <f>+VLOOKUP(Tabla11034534544554564791161171181207401261481564511121316115126143[[#This Row],[ArtÃ­culo]],Tabla34[#All],3,0)</f>
        <v>#N/A</v>
      </c>
      <c r="H118" s="338" t="e">
        <f>+Tabla11034534544554564791161171181207401261481564511121316115126143[[#This Row],[Coste Componente]]*Tabla11034534544554564791161171181207401261481564511121316115126143[[#This Row],[Unidades]]</f>
        <v>#N/A</v>
      </c>
    </row>
    <row r="119" spans="2:13" x14ac:dyDescent="0.3">
      <c r="B119" s="10" t="s">
        <v>1356</v>
      </c>
      <c r="C119" s="335" t="s">
        <v>67</v>
      </c>
      <c r="D119" s="336">
        <v>2</v>
      </c>
      <c r="E119" s="336">
        <v>0</v>
      </c>
      <c r="F119" s="336">
        <v>2</v>
      </c>
      <c r="G119" s="337" t="e">
        <f>+VLOOKUP(Tabla11034534544554564791161171181207401261481564511121316115126143[[#This Row],[ArtÃ­culo]],Tabla34[#All],3,0)</f>
        <v>#N/A</v>
      </c>
      <c r="H119" s="338" t="e">
        <f>+Tabla11034534544554564791161171181207401261481564511121316115126143[[#This Row],[Coste Componente]]*Tabla11034534544554564791161171181207401261481564511121316115126143[[#This Row],[Unidades]]</f>
        <v>#N/A</v>
      </c>
    </row>
    <row r="120" spans="2:13" x14ac:dyDescent="0.3">
      <c r="B120" s="16"/>
      <c r="C120" s="17"/>
      <c r="D120" s="17"/>
      <c r="E120" s="17"/>
      <c r="F120" s="17"/>
      <c r="G120" s="18"/>
      <c r="H120" s="18" t="e">
        <f>SUBTOTAL(109,Tabla11034534544554564791161171181207401261481564511121316115126143[Coste LÃ­nea])</f>
        <v>#N/A</v>
      </c>
    </row>
    <row r="123" spans="2:13" ht="15.6" x14ac:dyDescent="0.3">
      <c r="B123" s="19" t="s">
        <v>1345</v>
      </c>
      <c r="C123" s="2"/>
      <c r="D123" s="2"/>
      <c r="E123" s="3"/>
      <c r="F123" s="3"/>
      <c r="G123" s="3"/>
      <c r="H123" s="3"/>
      <c r="J123" s="399" t="s">
        <v>0</v>
      </c>
      <c r="K123" s="399"/>
      <c r="M123" s="377" t="s">
        <v>1394</v>
      </c>
    </row>
    <row r="124" spans="2:13" x14ac:dyDescent="0.3">
      <c r="B124" s="329" t="s">
        <v>857</v>
      </c>
      <c r="C124" s="330" t="s">
        <v>895</v>
      </c>
      <c r="D124" s="330" t="s">
        <v>892</v>
      </c>
      <c r="E124" s="330" t="s">
        <v>893</v>
      </c>
      <c r="F124" s="330" t="s">
        <v>894</v>
      </c>
      <c r="G124" s="331" t="s">
        <v>901</v>
      </c>
      <c r="H124" s="331" t="s">
        <v>902</v>
      </c>
      <c r="I124" s="332"/>
      <c r="J124" s="333" t="s">
        <v>6</v>
      </c>
      <c r="K124" s="334" t="e">
        <f>SUM(Tabla11034534544554564791161171181207401261481564511121316115126143145[Coste LÃ­nea])</f>
        <v>#N/A</v>
      </c>
      <c r="M124" s="346"/>
    </row>
    <row r="125" spans="2:13" x14ac:dyDescent="0.3">
      <c r="B125" s="10" t="s">
        <v>721</v>
      </c>
      <c r="C125" s="335" t="s">
        <v>67</v>
      </c>
      <c r="D125" s="336">
        <v>150</v>
      </c>
      <c r="E125" s="336">
        <v>0</v>
      </c>
      <c r="F125" s="336">
        <v>150</v>
      </c>
      <c r="G125" s="337">
        <f>+VLOOKUP(Tabla11034534544554564791161171181207401261481564511121316115126143145[[#This Row],[ArtÃ­culo]],Tabla34[#All],3,0)</f>
        <v>90</v>
      </c>
      <c r="H125" s="338">
        <f>+Tabla11034534544554564791161171181207401261481564511121316115126143145[[#This Row],[Coste Componente]]*Tabla11034534544554564791161171181207401261481564511121316115126143145[[#This Row],[Unidades]]</f>
        <v>13500</v>
      </c>
      <c r="J125" s="8" t="s">
        <v>12</v>
      </c>
      <c r="K125" s="9" t="e">
        <f>+K124*5%</f>
        <v>#N/A</v>
      </c>
    </row>
    <row r="126" spans="2:13" x14ac:dyDescent="0.3">
      <c r="B126" s="10" t="s">
        <v>38</v>
      </c>
      <c r="C126" s="335" t="s">
        <v>67</v>
      </c>
      <c r="D126" s="336">
        <v>1000</v>
      </c>
      <c r="E126" s="336">
        <v>0</v>
      </c>
      <c r="F126" s="336">
        <v>1000</v>
      </c>
      <c r="G126" s="337">
        <f>+VLOOKUP(Tabla11034534544554564791161171181207401261481564511121316115126143145[[#This Row],[ArtÃ­culo]],Tabla34[#All],3,0)</f>
        <v>0</v>
      </c>
      <c r="H126" s="338">
        <f>+Tabla11034534544554564791161171181207401261481564511121316115126143145[[#This Row],[Coste Componente]]*Tabla11034534544554564791161171181207401261481564511121316115126143145[[#This Row],[Unidades]]</f>
        <v>0</v>
      </c>
      <c r="I126" s="4"/>
      <c r="J126" s="8" t="s">
        <v>13</v>
      </c>
      <c r="K126" s="9" t="e">
        <f>+K124+K125</f>
        <v>#N/A</v>
      </c>
    </row>
    <row r="127" spans="2:13" x14ac:dyDescent="0.3">
      <c r="B127" s="10" t="s">
        <v>85</v>
      </c>
      <c r="C127" s="335" t="s">
        <v>67</v>
      </c>
      <c r="D127" s="336">
        <v>700</v>
      </c>
      <c r="E127" s="336">
        <v>0</v>
      </c>
      <c r="F127" s="336">
        <v>700</v>
      </c>
      <c r="G127" s="337">
        <f>+VLOOKUP(Tabla11034534544554564791161171181207401261481564511121316115126143145[[#This Row],[ArtÃ­culo]],Tabla34[#All],3,0)</f>
        <v>4.8816666700000004</v>
      </c>
      <c r="H127" s="338">
        <f>+Tabla11034534544554564791161171181207401261481564511121316115126143145[[#This Row],[Coste Componente]]*Tabla11034534544554564791161171181207401261481564511121316115126143145[[#This Row],[Unidades]]</f>
        <v>3417.1666690000002</v>
      </c>
      <c r="I127" s="4"/>
      <c r="J127" s="20" t="s">
        <v>1313</v>
      </c>
      <c r="K127" s="339">
        <v>1000</v>
      </c>
    </row>
    <row r="128" spans="2:13" x14ac:dyDescent="0.3">
      <c r="B128" s="10" t="s">
        <v>168</v>
      </c>
      <c r="C128" s="335" t="s">
        <v>67</v>
      </c>
      <c r="D128" s="336">
        <v>100</v>
      </c>
      <c r="E128" s="336">
        <v>0</v>
      </c>
      <c r="F128" s="336">
        <v>100</v>
      </c>
      <c r="G128" s="337">
        <f>+VLOOKUP(Tabla11034534544554564791161171181207401261481564511121316115126143145[[#This Row],[ArtÃ­culo]],Tabla34[#All],3,0)</f>
        <v>10.86600002</v>
      </c>
      <c r="H128" s="338">
        <f>+Tabla11034534544554564791161171181207401261481564511121316115126143145[[#This Row],[Coste Componente]]*Tabla11034534544554564791161171181207401261481564511121316115126143145[[#This Row],[Unidades]]</f>
        <v>1086.6000019999999</v>
      </c>
      <c r="I128" s="4"/>
      <c r="J128" s="8" t="s">
        <v>15</v>
      </c>
      <c r="K128" s="9" t="e">
        <f>+K127/K126</f>
        <v>#N/A</v>
      </c>
    </row>
    <row r="129" spans="2:13" x14ac:dyDescent="0.3">
      <c r="B129" s="10" t="s">
        <v>186</v>
      </c>
      <c r="C129" s="335" t="s">
        <v>67</v>
      </c>
      <c r="D129" s="336">
        <v>10</v>
      </c>
      <c r="E129" s="336">
        <v>0</v>
      </c>
      <c r="F129" s="336">
        <v>10</v>
      </c>
      <c r="G129" s="337">
        <f>+VLOOKUP(Tabla11034534544554564791161171181207401261481564511121316115126143145[[#This Row],[ArtÃ­culo]],Tabla34[#All],3,0)</f>
        <v>233.07427392</v>
      </c>
      <c r="H129" s="338">
        <f>+Tabla11034534544554564791161171181207401261481564511121316115126143145[[#This Row],[Coste Componente]]*Tabla11034534544554564791161171181207401261481564511121316115126143145[[#This Row],[Unidades]]</f>
        <v>2330.7427392</v>
      </c>
    </row>
    <row r="130" spans="2:13" x14ac:dyDescent="0.3">
      <c r="B130" s="10" t="s">
        <v>1364</v>
      </c>
      <c r="C130" s="335" t="s">
        <v>67</v>
      </c>
      <c r="D130" s="336">
        <v>1</v>
      </c>
      <c r="E130" s="336">
        <v>0</v>
      </c>
      <c r="F130" s="336">
        <v>1</v>
      </c>
      <c r="G130" s="337" t="e">
        <f>+VLOOKUP(Tabla11034534544554564791161171181207401261481564511121316115126143145[[#This Row],[ArtÃ­culo]],Tabla34[#All],3,0)</f>
        <v>#N/A</v>
      </c>
      <c r="H130" s="338" t="e">
        <f>+Tabla11034534544554564791161171181207401261481564511121316115126143145[[#This Row],[Coste Componente]]*Tabla11034534544554564791161171181207401261481564511121316115126143145[[#This Row],[Unidades]]</f>
        <v>#N/A</v>
      </c>
    </row>
    <row r="131" spans="2:13" x14ac:dyDescent="0.3">
      <c r="B131" s="10" t="s">
        <v>1170</v>
      </c>
      <c r="C131" s="335" t="s">
        <v>67</v>
      </c>
      <c r="D131" s="336">
        <v>5</v>
      </c>
      <c r="E131" s="336">
        <v>0</v>
      </c>
      <c r="F131" s="336">
        <v>5</v>
      </c>
      <c r="G131" s="337">
        <f>+VLOOKUP(Tabla11034534544554564791161171181207401261481564511121316115126143145[[#This Row],[ArtÃ­culo]],Tabla34[#All],3,0)</f>
        <v>178.06399999999999</v>
      </c>
      <c r="H131" s="338">
        <f>+Tabla11034534544554564791161171181207401261481564511121316115126143145[[#This Row],[Coste Componente]]*Tabla11034534544554564791161171181207401261481564511121316115126143145[[#This Row],[Unidades]]</f>
        <v>890.31999999999994</v>
      </c>
    </row>
    <row r="132" spans="2:13" x14ac:dyDescent="0.3">
      <c r="B132" s="16"/>
      <c r="C132" s="17"/>
      <c r="D132" s="17"/>
      <c r="E132" s="17"/>
      <c r="F132" s="17"/>
      <c r="G132" s="18"/>
      <c r="H132" s="18" t="e">
        <f>SUBTOTAL(109,Tabla11034534544554564791161171181207401261481564511121316115126143145[Coste LÃ­nea])</f>
        <v>#N/A</v>
      </c>
    </row>
    <row r="135" spans="2:13" x14ac:dyDescent="0.3">
      <c r="B135" s="19" t="s">
        <v>1367</v>
      </c>
      <c r="C135" s="2"/>
      <c r="D135" s="2"/>
      <c r="E135" s="3"/>
      <c r="F135" s="3"/>
      <c r="G135" s="3"/>
      <c r="H135" s="3"/>
      <c r="J135" s="399" t="s">
        <v>0</v>
      </c>
      <c r="K135" s="399"/>
    </row>
    <row r="136" spans="2:13" ht="15.6" x14ac:dyDescent="0.3">
      <c r="B136" s="329" t="s">
        <v>857</v>
      </c>
      <c r="C136" s="330" t="s">
        <v>895</v>
      </c>
      <c r="D136" s="330" t="s">
        <v>892</v>
      </c>
      <c r="E136" s="330" t="s">
        <v>893</v>
      </c>
      <c r="F136" s="330" t="s">
        <v>894</v>
      </c>
      <c r="G136" s="331" t="s">
        <v>901</v>
      </c>
      <c r="H136" s="331" t="s">
        <v>902</v>
      </c>
      <c r="I136" s="332"/>
      <c r="J136" s="333" t="s">
        <v>6</v>
      </c>
      <c r="K136" s="334">
        <f>SUM(Tabla11034534544554564791161171181207401261481564511121316115126143145147[Coste LÃ­nea])</f>
        <v>4226.5483350000004</v>
      </c>
      <c r="M136" s="377" t="s">
        <v>1394</v>
      </c>
    </row>
    <row r="137" spans="2:13" x14ac:dyDescent="0.3">
      <c r="B137" s="10" t="s">
        <v>725</v>
      </c>
      <c r="C137" s="335" t="s">
        <v>67</v>
      </c>
      <c r="D137" s="336">
        <v>500</v>
      </c>
      <c r="E137" s="336">
        <v>30</v>
      </c>
      <c r="F137" s="336">
        <v>714.28599999999994</v>
      </c>
      <c r="G137" s="337">
        <f>+VLOOKUP(Tabla11034534544554564791161171181207401261481564511121316115126143145147[[#This Row],[ArtÃ­culo]],Tabla34[#All],3,0)</f>
        <v>2.5</v>
      </c>
      <c r="H137" s="338">
        <f>+Tabla11034534544554564791161171181207401261481564511121316115126143145147[[#This Row],[Coste Componente]]*Tabla11034534544554564791161171181207401261481564511121316115126143145147[[#This Row],[Unidades]]</f>
        <v>1785.7149999999999</v>
      </c>
      <c r="J137" s="8" t="s">
        <v>12</v>
      </c>
      <c r="K137" s="9">
        <f>+K136*5%</f>
        <v>211.32741675000003</v>
      </c>
      <c r="M137" s="346"/>
    </row>
    <row r="138" spans="2:13" x14ac:dyDescent="0.3">
      <c r="B138" s="10" t="s">
        <v>85</v>
      </c>
      <c r="C138" s="335" t="s">
        <v>67</v>
      </c>
      <c r="D138" s="336">
        <v>500</v>
      </c>
      <c r="E138" s="336">
        <v>0</v>
      </c>
      <c r="F138" s="336">
        <v>500</v>
      </c>
      <c r="G138" s="337">
        <f>+VLOOKUP(Tabla11034534544554564791161171181207401261481564511121316115126143145147[[#This Row],[ArtÃ­culo]],Tabla34[#All],3,0)</f>
        <v>4.8816666700000004</v>
      </c>
      <c r="H138" s="338">
        <f>+Tabla11034534544554564791161171181207401261481564511121316115126143145147[[#This Row],[Coste Componente]]*Tabla11034534544554564791161171181207401261481564511121316115126143145147[[#This Row],[Unidades]]</f>
        <v>2440.8333350000003</v>
      </c>
      <c r="I138" s="4"/>
      <c r="J138" s="8" t="s">
        <v>13</v>
      </c>
      <c r="K138" s="9">
        <f>+K136+K137</f>
        <v>4437.8757517500007</v>
      </c>
    </row>
    <row r="139" spans="2:13" x14ac:dyDescent="0.3">
      <c r="B139" s="10" t="s">
        <v>38</v>
      </c>
      <c r="C139" s="335" t="s">
        <v>67</v>
      </c>
      <c r="D139" s="336">
        <v>500</v>
      </c>
      <c r="E139" s="336">
        <v>0</v>
      </c>
      <c r="F139" s="336">
        <v>500</v>
      </c>
      <c r="G139" s="337">
        <f>+VLOOKUP(Tabla11034534544554564791161171181207401261481564511121316115126143145147[[#This Row],[ArtÃ­culo]],Tabla34[#All],3,0)</f>
        <v>0</v>
      </c>
      <c r="H139" s="338">
        <f>+Tabla11034534544554564791161171181207401261481564511121316115126143145147[[#This Row],[Coste Componente]]*Tabla11034534544554564791161171181207401261481564511121316115126143145147[[#This Row],[Unidades]]</f>
        <v>0</v>
      </c>
      <c r="I139" s="4"/>
      <c r="J139" s="20" t="s">
        <v>1313</v>
      </c>
      <c r="K139" s="339">
        <v>600</v>
      </c>
    </row>
    <row r="140" spans="2:13" x14ac:dyDescent="0.3">
      <c r="B140" s="16"/>
      <c r="C140" s="17"/>
      <c r="D140" s="17"/>
      <c r="E140" s="17"/>
      <c r="F140" s="17"/>
      <c r="G140" s="18"/>
      <c r="H140" s="18">
        <f>SUBTOTAL(109,Tabla11034534544554564791161171181207401261481564511121316115126143145147[Coste LÃ­nea])</f>
        <v>4226.5483350000004</v>
      </c>
      <c r="I140" s="4"/>
      <c r="J140" s="8" t="s">
        <v>15</v>
      </c>
      <c r="K140" s="9">
        <f>+K139/K138</f>
        <v>0.13519981936479411</v>
      </c>
    </row>
    <row r="143" spans="2:13" ht="15.6" x14ac:dyDescent="0.3">
      <c r="B143" s="19" t="s">
        <v>1334</v>
      </c>
      <c r="C143" s="2"/>
      <c r="D143" s="2"/>
      <c r="E143" s="3"/>
      <c r="F143" s="3"/>
      <c r="G143" s="3"/>
      <c r="H143" s="3"/>
      <c r="J143" s="399" t="s">
        <v>0</v>
      </c>
      <c r="K143" s="399"/>
      <c r="M143" s="377" t="s">
        <v>1394</v>
      </c>
    </row>
    <row r="144" spans="2:13" x14ac:dyDescent="0.3">
      <c r="B144" s="329" t="s">
        <v>857</v>
      </c>
      <c r="C144" s="330" t="s">
        <v>895</v>
      </c>
      <c r="D144" s="330" t="s">
        <v>892</v>
      </c>
      <c r="E144" s="330" t="s">
        <v>893</v>
      </c>
      <c r="F144" s="330" t="s">
        <v>894</v>
      </c>
      <c r="G144" s="331" t="s">
        <v>901</v>
      </c>
      <c r="H144" s="331" t="s">
        <v>902</v>
      </c>
      <c r="I144" s="332"/>
      <c r="J144" s="333" t="s">
        <v>6</v>
      </c>
      <c r="K144" s="334">
        <f>SUM(Tabla11034534544554564791161171181207401261481564511121316115126143145147151[Coste LÃ­nea])</f>
        <v>12766.887483</v>
      </c>
      <c r="M144" s="346"/>
    </row>
    <row r="145" spans="2:13" x14ac:dyDescent="0.3">
      <c r="B145" s="10" t="s">
        <v>168</v>
      </c>
      <c r="C145" s="335" t="s">
        <v>67</v>
      </c>
      <c r="D145" s="336">
        <v>300</v>
      </c>
      <c r="E145" s="336">
        <v>0</v>
      </c>
      <c r="F145" s="336">
        <v>300</v>
      </c>
      <c r="G145" s="337">
        <f>+VLOOKUP(Tabla11034534544554564791161171181207401261481564511121316115126143145147151[[#This Row],[ArtÃ­culo]],Tabla34[#All],3,0)</f>
        <v>10.86600002</v>
      </c>
      <c r="H145" s="338">
        <f>+Tabla11034534544554564791161171181207401261481564511121316115126143145147151[[#This Row],[Coste Componente]]*Tabla11034534544554564791161171181207401261481564511121316115126143145147151[[#This Row],[Unidades]]</f>
        <v>3259.8000059999999</v>
      </c>
      <c r="J145" s="8" t="s">
        <v>12</v>
      </c>
      <c r="K145" s="9">
        <f>+K144*5%</f>
        <v>638.34437415000002</v>
      </c>
    </row>
    <row r="146" spans="2:13" x14ac:dyDescent="0.3">
      <c r="B146" s="10" t="s">
        <v>134</v>
      </c>
      <c r="C146" s="335" t="s">
        <v>67</v>
      </c>
      <c r="D146" s="336">
        <v>300</v>
      </c>
      <c r="E146" s="336">
        <v>0</v>
      </c>
      <c r="F146" s="336">
        <v>300</v>
      </c>
      <c r="G146" s="337">
        <f>+VLOOKUP(Tabla11034534544554564791161171181207401261481564511121316115126143145147151[[#This Row],[ArtÃ­culo]],Tabla34[#All],3,0)</f>
        <v>5.7702915900000002</v>
      </c>
      <c r="H146" s="338">
        <f>+Tabla11034534544554564791161171181207401261481564511121316115126143145147151[[#This Row],[Coste Componente]]*Tabla11034534544554564791161171181207401261481564511121316115126143145147151[[#This Row],[Unidades]]</f>
        <v>1731.087477</v>
      </c>
      <c r="I146" s="4"/>
      <c r="J146" s="8" t="s">
        <v>13</v>
      </c>
      <c r="K146" s="9">
        <f>+K144+K145</f>
        <v>13405.23185715</v>
      </c>
    </row>
    <row r="147" spans="2:13" x14ac:dyDescent="0.3">
      <c r="B147" s="10" t="s">
        <v>724</v>
      </c>
      <c r="C147" s="335" t="s">
        <v>67</v>
      </c>
      <c r="D147" s="336">
        <v>200</v>
      </c>
      <c r="E147" s="336">
        <v>0</v>
      </c>
      <c r="F147" s="336">
        <v>200</v>
      </c>
      <c r="G147" s="337">
        <f>+VLOOKUP(Tabla11034534544554564791161171181207401261481564511121316115126143145147151[[#This Row],[ArtÃ­culo]],Tabla34[#All],3,0)</f>
        <v>17.88</v>
      </c>
      <c r="H147" s="338">
        <f>+Tabla11034534544554564791161171181207401261481564511121316115126143145147151[[#This Row],[Coste Componente]]*Tabla11034534544554564791161171181207401261481564511121316115126143145147151[[#This Row],[Unidades]]</f>
        <v>3576</v>
      </c>
      <c r="I147" s="4"/>
      <c r="J147" s="20" t="s">
        <v>1313</v>
      </c>
      <c r="K147" s="339">
        <v>650</v>
      </c>
    </row>
    <row r="148" spans="2:13" x14ac:dyDescent="0.3">
      <c r="B148" s="10" t="s">
        <v>604</v>
      </c>
      <c r="C148" s="335" t="s">
        <v>67</v>
      </c>
      <c r="D148" s="340">
        <v>300</v>
      </c>
      <c r="E148" s="336">
        <v>0</v>
      </c>
      <c r="F148" s="336">
        <v>300</v>
      </c>
      <c r="G148" s="337">
        <f>+VLOOKUP(Tabla11034534544554564791161171181207401261481564511121316115126143145147151[[#This Row],[ArtÃ­culo]],Tabla34[#All],3,0)</f>
        <v>14</v>
      </c>
      <c r="H148" s="338">
        <f>+Tabla11034534544554564791161171181207401261481564511121316115126143145147151[[#This Row],[Coste Componente]]*Tabla11034534544554564791161171181207401261481564511121316115126143145147151[[#This Row],[Unidades]]</f>
        <v>4200</v>
      </c>
      <c r="I148" s="4"/>
      <c r="J148" s="8" t="s">
        <v>15</v>
      </c>
      <c r="K148" s="9">
        <f>+K147/K146</f>
        <v>4.8488530965117696E-2</v>
      </c>
    </row>
    <row r="149" spans="2:13" x14ac:dyDescent="0.3">
      <c r="B149" s="16"/>
      <c r="C149" s="17"/>
      <c r="D149" s="17"/>
      <c r="E149" s="17"/>
      <c r="F149" s="17"/>
      <c r="G149" s="18"/>
      <c r="H149" s="18">
        <f>SUBTOTAL(109,Tabla11034534544554564791161171181207401261481564511121316115126143145147151[Coste LÃ­nea])</f>
        <v>12766.887483</v>
      </c>
    </row>
    <row r="151" spans="2:13" ht="15.6" x14ac:dyDescent="0.3">
      <c r="B151" s="19" t="s">
        <v>885</v>
      </c>
      <c r="C151" s="2"/>
      <c r="D151" s="2"/>
      <c r="E151" s="3"/>
      <c r="F151" s="3"/>
      <c r="G151" s="3"/>
      <c r="H151" s="3"/>
      <c r="J151" s="399" t="s">
        <v>0</v>
      </c>
      <c r="K151" s="399"/>
      <c r="M151" s="377" t="s">
        <v>1394</v>
      </c>
    </row>
    <row r="152" spans="2:13" x14ac:dyDescent="0.3">
      <c r="B152" s="329" t="s">
        <v>857</v>
      </c>
      <c r="C152" s="330" t="s">
        <v>895</v>
      </c>
      <c r="D152" s="330" t="s">
        <v>892</v>
      </c>
      <c r="E152" s="330" t="s">
        <v>893</v>
      </c>
      <c r="F152" s="330" t="s">
        <v>894</v>
      </c>
      <c r="G152" s="331" t="s">
        <v>901</v>
      </c>
      <c r="H152" s="331" t="s">
        <v>902</v>
      </c>
      <c r="I152" s="332"/>
      <c r="J152" s="333" t="s">
        <v>6</v>
      </c>
      <c r="K152" s="334">
        <f>SUM(Tabla11034534544554564791161171181207401261481564511121316115126143145147151157[Coste LÃ­nea])</f>
        <v>6771.3952530000006</v>
      </c>
      <c r="M152" s="346"/>
    </row>
    <row r="153" spans="2:13" x14ac:dyDescent="0.3">
      <c r="B153" s="10" t="s">
        <v>85</v>
      </c>
      <c r="C153" s="335" t="s">
        <v>67</v>
      </c>
      <c r="D153" s="336">
        <v>100</v>
      </c>
      <c r="E153" s="336">
        <v>0</v>
      </c>
      <c r="F153" s="336">
        <v>100</v>
      </c>
      <c r="G153" s="337">
        <f>+VLOOKUP(Tabla11034534544554564791161171181207401261481564511121316115126143145147151157[[#This Row],[ArtÃ­culo]],Tabla34[#All],3,0)</f>
        <v>4.8816666700000004</v>
      </c>
      <c r="H153" s="338">
        <f>+Tabla11034534544554564791161171181207401261481564511121316115126143145147151157[[#This Row],[Coste Componente]]*Tabla11034534544554564791161171181207401261481564511121316115126143145147151157[[#This Row],[Unidades]]</f>
        <v>488.16666700000002</v>
      </c>
      <c r="J153" s="8" t="s">
        <v>12</v>
      </c>
      <c r="K153" s="9">
        <f>+K152*5%</f>
        <v>338.56976265000003</v>
      </c>
    </row>
    <row r="154" spans="2:13" x14ac:dyDescent="0.3">
      <c r="B154" s="10" t="s">
        <v>146</v>
      </c>
      <c r="C154" s="335" t="s">
        <v>67</v>
      </c>
      <c r="D154" s="336">
        <v>300</v>
      </c>
      <c r="E154" s="336">
        <v>0</v>
      </c>
      <c r="F154" s="336">
        <v>300</v>
      </c>
      <c r="G154" s="337">
        <f>+VLOOKUP(Tabla11034534544554564791161171181207401261481564511121316115126143145147151157[[#This Row],[ArtÃ­culo]],Tabla34[#All],3,0)</f>
        <v>11.36127894</v>
      </c>
      <c r="H154" s="338">
        <f>+Tabla11034534544554564791161171181207401261481564511121316115126143145147151157[[#This Row],[Coste Componente]]*Tabla11034534544554564791161171181207401261481564511121316115126143145147151157[[#This Row],[Unidades]]</f>
        <v>3408.3836820000001</v>
      </c>
      <c r="I154" s="4"/>
      <c r="J154" s="8" t="s">
        <v>13</v>
      </c>
      <c r="K154" s="9">
        <f>+K152+K153</f>
        <v>7109.9650156500011</v>
      </c>
    </row>
    <row r="155" spans="2:13" x14ac:dyDescent="0.3">
      <c r="B155" s="10" t="s">
        <v>1243</v>
      </c>
      <c r="C155" s="335" t="s">
        <v>67</v>
      </c>
      <c r="D155" s="336">
        <v>200</v>
      </c>
      <c r="E155" s="336">
        <v>0</v>
      </c>
      <c r="F155" s="336">
        <v>200</v>
      </c>
      <c r="G155" s="337">
        <f>+VLOOKUP(Tabla11034534544554564791161171181207401261481564511121316115126143145147151157[[#This Row],[ArtÃ­culo]],Tabla34[#All],3,0)</f>
        <v>14.37422452</v>
      </c>
      <c r="H155" s="338">
        <f>+Tabla11034534544554564791161171181207401261481564511121316115126143145147151157[[#This Row],[Coste Componente]]*Tabla11034534544554564791161171181207401261481564511121316115126143145147151157[[#This Row],[Unidades]]</f>
        <v>2874.844904</v>
      </c>
      <c r="I155" s="4"/>
      <c r="J155" s="20" t="s">
        <v>1313</v>
      </c>
      <c r="K155" s="339">
        <v>400</v>
      </c>
    </row>
    <row r="156" spans="2:13" x14ac:dyDescent="0.3">
      <c r="B156" s="16"/>
      <c r="C156" s="17"/>
      <c r="D156" s="17"/>
      <c r="E156" s="17"/>
      <c r="F156" s="17"/>
      <c r="G156" s="18"/>
      <c r="H156" s="18">
        <f>SUBTOTAL(109,Tabla11034534544554564791161171181207401261481564511121316115126143145147151157[Coste LÃ­nea])</f>
        <v>6771.3952530000006</v>
      </c>
      <c r="I156" s="4"/>
      <c r="J156" s="8" t="s">
        <v>15</v>
      </c>
      <c r="K156" s="9">
        <f>+K155/K154</f>
        <v>5.6259067255541417E-2</v>
      </c>
    </row>
    <row r="158" spans="2:13" ht="15.6" x14ac:dyDescent="0.3">
      <c r="B158" s="19" t="s">
        <v>146</v>
      </c>
      <c r="C158" s="2"/>
      <c r="D158" s="2"/>
      <c r="E158" s="3"/>
      <c r="F158" s="3"/>
      <c r="G158" s="3"/>
      <c r="H158" s="3"/>
      <c r="J158" s="399" t="s">
        <v>0</v>
      </c>
      <c r="K158" s="399"/>
      <c r="M158" s="377" t="s">
        <v>1394</v>
      </c>
    </row>
    <row r="159" spans="2:13" x14ac:dyDescent="0.3">
      <c r="B159" s="329" t="s">
        <v>857</v>
      </c>
      <c r="C159" s="330" t="s">
        <v>895</v>
      </c>
      <c r="D159" s="330" t="s">
        <v>892</v>
      </c>
      <c r="E159" s="330" t="s">
        <v>893</v>
      </c>
      <c r="F159" s="330" t="s">
        <v>894</v>
      </c>
      <c r="G159" s="331" t="s">
        <v>901</v>
      </c>
      <c r="H159" s="331" t="s">
        <v>902</v>
      </c>
      <c r="I159" s="332"/>
      <c r="J159" s="333" t="s">
        <v>6</v>
      </c>
      <c r="K159" s="334">
        <f>SUM(Tabla11034534544554564791161171181207401261481564511121316115126143145147151157167[Coste LÃ­nea])</f>
        <v>89196.394892600001</v>
      </c>
      <c r="M159" s="346"/>
    </row>
    <row r="160" spans="2:13" x14ac:dyDescent="0.3">
      <c r="B160" s="10" t="s">
        <v>670</v>
      </c>
      <c r="C160" s="335" t="s">
        <v>67</v>
      </c>
      <c r="D160" s="336">
        <v>7000</v>
      </c>
      <c r="E160" s="336">
        <v>0</v>
      </c>
      <c r="F160" s="336">
        <v>7000</v>
      </c>
      <c r="G160" s="337">
        <f>+VLOOKUP(Tabla11034534544554564791161171181207401261481564511121316115126143145147151157167[[#This Row],[ArtÃ­culo]],Tabla34[#All],3,0)</f>
        <v>10</v>
      </c>
      <c r="H160" s="338">
        <f>+Tabla11034534544554564791161171181207401261481564511121316115126143145147151157167[[#This Row],[Coste Componente]]*Tabla11034534544554564791161171181207401261481564511121316115126143145147151157167[[#This Row],[Unidades]]</f>
        <v>70000</v>
      </c>
      <c r="J160" s="8" t="s">
        <v>12</v>
      </c>
      <c r="K160" s="9">
        <f>+K159*5%</f>
        <v>4459.8197446300001</v>
      </c>
    </row>
    <row r="161" spans="2:13" x14ac:dyDescent="0.3">
      <c r="B161" s="10" t="s">
        <v>186</v>
      </c>
      <c r="C161" s="335" t="s">
        <v>67</v>
      </c>
      <c r="D161" s="336">
        <v>30</v>
      </c>
      <c r="E161" s="336">
        <v>0</v>
      </c>
      <c r="F161" s="336">
        <v>30</v>
      </c>
      <c r="G161" s="337">
        <f>+VLOOKUP(Tabla11034534544554564791161171181207401261481564511121316115126143145147151157167[[#This Row],[ArtÃ­culo]],Tabla34[#All],3,0)</f>
        <v>233.07427392</v>
      </c>
      <c r="H161" s="338">
        <f>+Tabla11034534544554564791161171181207401261481564511121316115126143145147151157167[[#This Row],[Coste Componente]]*Tabla11034534544554564791161171181207401261481564511121316115126143145147151157167[[#This Row],[Unidades]]</f>
        <v>6992.2282175999999</v>
      </c>
      <c r="I161" s="4"/>
      <c r="J161" s="8" t="s">
        <v>13</v>
      </c>
      <c r="K161" s="9">
        <f>+K159+K160</f>
        <v>93656.214637230005</v>
      </c>
    </row>
    <row r="162" spans="2:13" x14ac:dyDescent="0.3">
      <c r="B162" s="10" t="s">
        <v>38</v>
      </c>
      <c r="C162" s="335" t="s">
        <v>67</v>
      </c>
      <c r="D162" s="336">
        <v>17000</v>
      </c>
      <c r="E162" s="336">
        <v>0</v>
      </c>
      <c r="F162" s="336">
        <v>17000</v>
      </c>
      <c r="G162" s="337">
        <f>+VLOOKUP(Tabla11034534544554564791161171181207401261481564511121316115126143145147151157167[[#This Row],[ArtÃ­culo]],Tabla34[#All],3,0)</f>
        <v>0</v>
      </c>
      <c r="H162" s="338">
        <f>+Tabla11034534544554564791161171181207401261481564511121316115126143145147151157167[[#This Row],[Coste Componente]]*Tabla11034534544554564791161171181207401261481564511121316115126143145147151157167[[#This Row],[Unidades]]</f>
        <v>0</v>
      </c>
      <c r="I162" s="4"/>
      <c r="J162" s="20" t="s">
        <v>1313</v>
      </c>
      <c r="K162" s="339">
        <v>400</v>
      </c>
    </row>
    <row r="163" spans="2:13" x14ac:dyDescent="0.3">
      <c r="B163" s="10" t="s">
        <v>85</v>
      </c>
      <c r="C163" s="335" t="s">
        <v>67</v>
      </c>
      <c r="D163" s="340">
        <v>2500</v>
      </c>
      <c r="E163" s="336">
        <v>0</v>
      </c>
      <c r="F163" s="336">
        <v>2500</v>
      </c>
      <c r="G163" s="337">
        <f>+VLOOKUP(Tabla11034534544554564791161171181207401261481564511121316115126143145147151157167[[#This Row],[ArtÃ­culo]],Tabla34[#All],3,0)</f>
        <v>4.8816666700000004</v>
      </c>
      <c r="H163" s="338">
        <f>+Tabla11034534544554564791161171181207401261481564511121316115126143145147151157167[[#This Row],[Coste Componente]]*Tabla11034534544554564791161171181207401261481564511121316115126143145147151157167[[#This Row],[Unidades]]</f>
        <v>12204.166675</v>
      </c>
      <c r="I163" s="4"/>
      <c r="J163" s="8" t="s">
        <v>15</v>
      </c>
      <c r="K163" s="9">
        <f>+K162/K161</f>
        <v>4.2709392168941334E-3</v>
      </c>
    </row>
    <row r="164" spans="2:13" x14ac:dyDescent="0.3">
      <c r="B164" s="16"/>
      <c r="C164" s="17"/>
      <c r="D164" s="17"/>
      <c r="E164" s="17"/>
      <c r="F164" s="17"/>
      <c r="G164" s="18"/>
      <c r="H164" s="18">
        <f>SUBTOTAL(109,Tabla11034534544554564791161171181207401261481564511121316115126143145147151157167[Coste LÃ­nea])</f>
        <v>89196.394892600001</v>
      </c>
    </row>
    <row r="166" spans="2:13" ht="15.6" x14ac:dyDescent="0.3">
      <c r="B166" s="19" t="s">
        <v>804</v>
      </c>
      <c r="C166" s="2"/>
      <c r="D166" s="2"/>
      <c r="E166" s="3"/>
      <c r="F166" s="3"/>
      <c r="G166" s="3"/>
      <c r="H166" s="3"/>
      <c r="J166" s="399" t="s">
        <v>0</v>
      </c>
      <c r="K166" s="399"/>
      <c r="M166" s="377" t="s">
        <v>1394</v>
      </c>
    </row>
    <row r="167" spans="2:13" x14ac:dyDescent="0.3">
      <c r="B167" s="329" t="s">
        <v>857</v>
      </c>
      <c r="C167" s="330" t="s">
        <v>895</v>
      </c>
      <c r="D167" s="330" t="s">
        <v>892</v>
      </c>
      <c r="E167" s="330" t="s">
        <v>893</v>
      </c>
      <c r="F167" s="330" t="s">
        <v>894</v>
      </c>
      <c r="G167" s="331" t="s">
        <v>901</v>
      </c>
      <c r="H167" s="331" t="s">
        <v>902</v>
      </c>
      <c r="I167" s="332"/>
      <c r="J167" s="333" t="s">
        <v>6</v>
      </c>
      <c r="K167" s="334">
        <f>SUM(Tabla11034534544554564791161171181207401261481564511121316115126143145147151157167168[Coste LÃ­nea])</f>
        <v>14836.406666670002</v>
      </c>
      <c r="M167" s="346"/>
    </row>
    <row r="168" spans="2:13" x14ac:dyDescent="0.3">
      <c r="B168" s="10" t="s">
        <v>1194</v>
      </c>
      <c r="C168" s="335" t="s">
        <v>847</v>
      </c>
      <c r="D168" s="336">
        <v>1</v>
      </c>
      <c r="E168" s="336">
        <v>0</v>
      </c>
      <c r="F168" s="336">
        <v>1</v>
      </c>
      <c r="G168" s="337">
        <f>+VLOOKUP(Tabla11034534544554564791161171181207401261481564511121316115126143145147151157167168[[#This Row],[ArtÃ­culo]],Tabla34[#All],3,0)</f>
        <v>726.66666667000004</v>
      </c>
      <c r="H168" s="338">
        <f>+Tabla11034534544554564791161171181207401261481564511121316115126143145147151157167168[[#This Row],[Coste Componente]]*Tabla11034534544554564791161171181207401261481564511121316115126143145147151157167168[[#This Row],[Unidades]]</f>
        <v>726.66666667000004</v>
      </c>
      <c r="J168" s="8" t="s">
        <v>12</v>
      </c>
      <c r="K168" s="9">
        <f>+K167*5%</f>
        <v>741.82033333350012</v>
      </c>
    </row>
    <row r="169" spans="2:13" x14ac:dyDescent="0.3">
      <c r="B169" s="10" t="s">
        <v>964</v>
      </c>
      <c r="C169" s="335" t="s">
        <v>605</v>
      </c>
      <c r="D169" s="336">
        <v>6.66</v>
      </c>
      <c r="E169" s="336">
        <v>0</v>
      </c>
      <c r="F169" s="336">
        <v>6.66</v>
      </c>
      <c r="G169" s="337">
        <f>+VLOOKUP(Tabla11034534544554564791161171181207401261481564511121316115126143145147151157167168[[#This Row],[ArtÃ­culo]],Tabla34[#All],3,0)</f>
        <v>1594</v>
      </c>
      <c r="H169" s="338">
        <f>+Tabla11034534544554564791161171181207401261481564511121316115126143145147151157167168[[#This Row],[Coste Componente]]*Tabla11034534544554564791161171181207401261481564511121316115126143145147151157167168[[#This Row],[Unidades]]</f>
        <v>10616.04</v>
      </c>
      <c r="I169" s="4"/>
      <c r="J169" s="8" t="s">
        <v>13</v>
      </c>
      <c r="K169" s="9">
        <f>+K167+K168</f>
        <v>15578.227000003502</v>
      </c>
    </row>
    <row r="170" spans="2:13" x14ac:dyDescent="0.3">
      <c r="B170" s="10" t="s">
        <v>962</v>
      </c>
      <c r="C170" s="335" t="s">
        <v>847</v>
      </c>
      <c r="D170" s="336">
        <v>1</v>
      </c>
      <c r="E170" s="336">
        <v>0</v>
      </c>
      <c r="F170" s="336">
        <v>1</v>
      </c>
      <c r="G170" s="337">
        <f>+VLOOKUP(Tabla11034534544554564791161171181207401261481564511121316115126143145147151157167168[[#This Row],[ArtÃ­culo]],Tabla34[#All],3,0)</f>
        <v>3493.7</v>
      </c>
      <c r="H170" s="338">
        <f>+Tabla11034534544554564791161171181207401261481564511121316115126143145147151157167168[[#This Row],[Coste Componente]]*Tabla11034534544554564791161171181207401261481564511121316115126143145147151157167168[[#This Row],[Unidades]]</f>
        <v>3493.7</v>
      </c>
      <c r="I170" s="4"/>
      <c r="J170" s="20" t="s">
        <v>1313</v>
      </c>
      <c r="K170" s="339">
        <v>160</v>
      </c>
    </row>
    <row r="171" spans="2:13" x14ac:dyDescent="0.3">
      <c r="B171" s="16"/>
      <c r="C171" s="17"/>
      <c r="D171" s="17"/>
      <c r="E171" s="17"/>
      <c r="F171" s="17"/>
      <c r="G171" s="18"/>
      <c r="H171" s="18">
        <f>SUBTOTAL(109,Tabla11034534544554564791161171181207401261481564511121316115126143145147151157167168[Coste LÃ­nea])</f>
        <v>14836.406666670002</v>
      </c>
      <c r="I171" s="4"/>
      <c r="J171" s="8" t="s">
        <v>15</v>
      </c>
      <c r="K171" s="9">
        <f>+K170/K169</f>
        <v>1.0270745188137522E-2</v>
      </c>
    </row>
    <row r="173" spans="2:13" ht="15.6" x14ac:dyDescent="0.3">
      <c r="B173" s="19" t="s">
        <v>587</v>
      </c>
      <c r="C173" s="2"/>
      <c r="D173" s="2"/>
      <c r="E173" s="3"/>
      <c r="F173" s="3"/>
      <c r="G173" s="3"/>
      <c r="H173" s="3"/>
      <c r="J173" s="399" t="s">
        <v>0</v>
      </c>
      <c r="K173" s="399"/>
      <c r="M173" s="377" t="s">
        <v>1394</v>
      </c>
    </row>
    <row r="174" spans="2:13" x14ac:dyDescent="0.3">
      <c r="B174" s="329" t="s">
        <v>857</v>
      </c>
      <c r="C174" s="330" t="s">
        <v>895</v>
      </c>
      <c r="D174" s="330" t="s">
        <v>892</v>
      </c>
      <c r="E174" s="330" t="s">
        <v>893</v>
      </c>
      <c r="F174" s="330" t="s">
        <v>894</v>
      </c>
      <c r="G174" s="331" t="s">
        <v>901</v>
      </c>
      <c r="H174" s="331" t="s">
        <v>902</v>
      </c>
      <c r="I174" s="332"/>
      <c r="J174" s="333" t="s">
        <v>6</v>
      </c>
      <c r="K174" s="334">
        <f>SUM(Tabla11034534544554564791161171181207401261481564511121316115126143145147151157167168170[Coste LÃ­nea])</f>
        <v>8480.9110003600017</v>
      </c>
      <c r="M174" s="346"/>
    </row>
    <row r="175" spans="2:13" x14ac:dyDescent="0.3">
      <c r="B175" s="10" t="s">
        <v>677</v>
      </c>
      <c r="C175" s="335" t="s">
        <v>67</v>
      </c>
      <c r="D175" s="336">
        <v>2223</v>
      </c>
      <c r="E175" s="336">
        <v>30</v>
      </c>
      <c r="F175" s="336">
        <v>3175.7139999999999</v>
      </c>
      <c r="G175" s="337">
        <f>+VLOOKUP(Tabla11034534544554564791161171181207401261481564511121316115126143145147151157167168170[[#This Row],[ArtÃ­culo]],Tabla34[#All],3,0)</f>
        <v>2.5</v>
      </c>
      <c r="H175" s="338">
        <f>+Tabla11034534544554564791161171181207401261481564511121316115126143145147151157167168170[[#This Row],[Coste Componente]]*Tabla11034534544554564791161171181207401261481564511121316115126143145147151157167168170[[#This Row],[Unidades]]</f>
        <v>7939.2849999999999</v>
      </c>
      <c r="J175" s="8" t="s">
        <v>12</v>
      </c>
      <c r="K175" s="9">
        <f>+K174*5%</f>
        <v>424.04555001800009</v>
      </c>
    </row>
    <row r="176" spans="2:13" x14ac:dyDescent="0.3">
      <c r="B176" s="10" t="s">
        <v>85</v>
      </c>
      <c r="C176" s="335" t="s">
        <v>67</v>
      </c>
      <c r="D176" s="336">
        <v>108</v>
      </c>
      <c r="E176" s="336">
        <v>0</v>
      </c>
      <c r="F176" s="336">
        <v>108</v>
      </c>
      <c r="G176" s="337">
        <f>+VLOOKUP(Tabla11034534544554564791161171181207401261481564511121316115126143145147151157167168170[[#This Row],[ArtÃ­culo]],Tabla34[#All],3,0)</f>
        <v>4.8816666700000004</v>
      </c>
      <c r="H176" s="338">
        <f>+Tabla11034534544554564791161171181207401261481564511121316115126143145147151157167168170[[#This Row],[Coste Componente]]*Tabla11034534544554564791161171181207401261481564511121316115126143145147151157167168170[[#This Row],[Unidades]]</f>
        <v>527.22000036000009</v>
      </c>
      <c r="I176" s="4"/>
      <c r="J176" s="8" t="s">
        <v>13</v>
      </c>
      <c r="K176" s="9">
        <f>+K174+K175</f>
        <v>8904.9565503780013</v>
      </c>
    </row>
    <row r="177" spans="2:13" x14ac:dyDescent="0.3">
      <c r="B177" s="10" t="s">
        <v>89</v>
      </c>
      <c r="C177" s="335" t="s">
        <v>67</v>
      </c>
      <c r="D177" s="336">
        <v>6</v>
      </c>
      <c r="E177" s="336">
        <v>0</v>
      </c>
      <c r="F177" s="336">
        <v>6</v>
      </c>
      <c r="G177" s="337">
        <f>+VLOOKUP(Tabla11034534544554564791161171181207401261481564511121316115126143145147151157167168170[[#This Row],[ArtÃ­culo]],Tabla34[#All],3,0)</f>
        <v>2.4009999999999998</v>
      </c>
      <c r="H177" s="338">
        <f>+Tabla11034534544554564791161171181207401261481564511121316115126143145147151157167168170[[#This Row],[Coste Componente]]*Tabla11034534544554564791161171181207401261481564511121316115126143145147151157167168170[[#This Row],[Unidades]]</f>
        <v>14.405999999999999</v>
      </c>
      <c r="I177" s="4"/>
      <c r="J177" s="20" t="s">
        <v>1313</v>
      </c>
      <c r="K177" s="339">
        <v>90</v>
      </c>
    </row>
    <row r="178" spans="2:13" x14ac:dyDescent="0.3">
      <c r="B178" s="10" t="s">
        <v>38</v>
      </c>
      <c r="C178" s="335" t="s">
        <v>67</v>
      </c>
      <c r="D178" s="336">
        <v>2500</v>
      </c>
      <c r="E178" s="336">
        <v>0</v>
      </c>
      <c r="F178" s="336">
        <v>2500</v>
      </c>
      <c r="G178" s="337">
        <f>+VLOOKUP(Tabla11034534544554564791161171181207401261481564511121316115126143145147151157167168170[[#This Row],[ArtÃ­culo]],Tabla34[#All],3,0)</f>
        <v>0</v>
      </c>
      <c r="H178" s="338">
        <f>+Tabla11034534544554564791161171181207401261481564511121316115126143145147151157167168170[[#This Row],[Coste Componente]]*Tabla11034534544554564791161171181207401261481564511121316115126143145147151157167168170[[#This Row],[Unidades]]</f>
        <v>0</v>
      </c>
      <c r="I178" s="4"/>
      <c r="J178" s="8" t="s">
        <v>15</v>
      </c>
      <c r="K178" s="9">
        <f>+K177/K176</f>
        <v>1.010673095268271E-2</v>
      </c>
    </row>
    <row r="179" spans="2:13" x14ac:dyDescent="0.3">
      <c r="B179" s="16"/>
      <c r="C179" s="17"/>
      <c r="D179" s="17"/>
      <c r="E179" s="17"/>
      <c r="F179" s="17"/>
      <c r="G179" s="18"/>
      <c r="H179" s="18">
        <f>SUBTOTAL(109,Tabla11034534544554564791161171181207401261481564511121316115126143145147151157167168170[Coste LÃ­nea])</f>
        <v>8480.9110003600017</v>
      </c>
    </row>
    <row r="182" spans="2:13" ht="15.6" x14ac:dyDescent="0.3">
      <c r="B182" s="19" t="s">
        <v>134</v>
      </c>
      <c r="C182" s="2"/>
      <c r="D182" s="2"/>
      <c r="E182" s="3"/>
      <c r="F182" s="3"/>
      <c r="G182" s="3"/>
      <c r="H182" s="3"/>
      <c r="J182" s="399" t="s">
        <v>0</v>
      </c>
      <c r="K182" s="399"/>
      <c r="M182" s="377" t="s">
        <v>1394</v>
      </c>
    </row>
    <row r="183" spans="2:13" x14ac:dyDescent="0.3">
      <c r="B183" s="329" t="s">
        <v>857</v>
      </c>
      <c r="C183" s="330" t="s">
        <v>895</v>
      </c>
      <c r="D183" s="330" t="s">
        <v>892</v>
      </c>
      <c r="E183" s="330" t="s">
        <v>893</v>
      </c>
      <c r="F183" s="330" t="s">
        <v>894</v>
      </c>
      <c r="G183" s="331" t="s">
        <v>901</v>
      </c>
      <c r="H183" s="331" t="s">
        <v>902</v>
      </c>
      <c r="I183" s="332"/>
      <c r="J183" s="333" t="s">
        <v>6</v>
      </c>
      <c r="K183" s="334">
        <f>SUM(Tabla11034534544554564791161171181207401261481564511121316115126143145147151157167168170255[Coste LÃ­nea])</f>
        <v>7322.5000050000008</v>
      </c>
      <c r="M183" s="346"/>
    </row>
    <row r="184" spans="2:13" x14ac:dyDescent="0.3">
      <c r="B184" s="10" t="s">
        <v>85</v>
      </c>
      <c r="C184" s="335" t="s">
        <v>67</v>
      </c>
      <c r="D184" s="336">
        <v>1500</v>
      </c>
      <c r="E184" s="336">
        <v>0</v>
      </c>
      <c r="F184" s="336">
        <v>1500</v>
      </c>
      <c r="G184" s="337">
        <f>+VLOOKUP(Tabla11034534544554564791161171181207401261481564511121316115126143145147151157167168170255[[#This Row],[ArtÃ­culo]],Tabla34[#All],3,0)</f>
        <v>4.8816666700000004</v>
      </c>
      <c r="H184" s="338">
        <f>+Tabla11034534544554564791161171181207401261481564511121316115126143145147151157167168170255[[#This Row],[Coste Componente]]*Tabla11034534544554564791161171181207401261481564511121316115126143145147151157167168170255[[#This Row],[Unidades]]</f>
        <v>7322.5000050000008</v>
      </c>
      <c r="J184" s="8" t="s">
        <v>12</v>
      </c>
      <c r="K184" s="9">
        <f>+K183*5%</f>
        <v>366.12500025000008</v>
      </c>
    </row>
    <row r="185" spans="2:13" x14ac:dyDescent="0.3">
      <c r="B185" s="10" t="s">
        <v>38</v>
      </c>
      <c r="C185" s="335" t="s">
        <v>67</v>
      </c>
      <c r="D185" s="336">
        <v>1000</v>
      </c>
      <c r="E185" s="336">
        <v>0</v>
      </c>
      <c r="F185" s="336">
        <v>1000</v>
      </c>
      <c r="G185" s="337">
        <f>+VLOOKUP(Tabla11034534544554564791161171181207401261481564511121316115126143145147151157167168170255[[#This Row],[ArtÃ­culo]],Tabla34[#All],3,0)</f>
        <v>0</v>
      </c>
      <c r="H185" s="338">
        <f>+Tabla11034534544554564791161171181207401261481564511121316115126143145147151157167168170255[[#This Row],[Coste Componente]]*Tabla11034534544554564791161171181207401261481564511121316115126143145147151157167168170255[[#This Row],[Unidades]]</f>
        <v>0</v>
      </c>
      <c r="I185" s="4"/>
      <c r="J185" s="8" t="s">
        <v>13</v>
      </c>
      <c r="K185" s="9">
        <f>+K183+K184</f>
        <v>7688.6250052500009</v>
      </c>
    </row>
    <row r="186" spans="2:13" x14ac:dyDescent="0.3">
      <c r="B186" s="16"/>
      <c r="C186" s="17"/>
      <c r="D186" s="17"/>
      <c r="E186" s="17"/>
      <c r="F186" s="17"/>
      <c r="G186" s="18"/>
      <c r="H186" s="18">
        <f>SUBTOTAL(109,Tabla11034534544554564791161171181207401261481564511121316115126143145147151157167168170255[Coste LÃ­nea])</f>
        <v>7322.5000050000008</v>
      </c>
      <c r="I186" s="4"/>
      <c r="J186" s="20" t="s">
        <v>1313</v>
      </c>
      <c r="K186" s="339">
        <v>1800</v>
      </c>
    </row>
    <row r="187" spans="2:13" x14ac:dyDescent="0.3">
      <c r="I187" s="4"/>
      <c r="J187" s="8" t="s">
        <v>15</v>
      </c>
      <c r="K187" s="9">
        <f>+K186/K185</f>
        <v>0.23411208099899675</v>
      </c>
    </row>
    <row r="189" spans="2:13" ht="15.6" x14ac:dyDescent="0.3">
      <c r="B189" s="19" t="s">
        <v>816</v>
      </c>
      <c r="C189" s="2"/>
      <c r="D189" s="2"/>
      <c r="E189" s="3"/>
      <c r="F189" s="3"/>
      <c r="G189" s="3"/>
      <c r="H189" s="3"/>
      <c r="J189" s="399" t="s">
        <v>0</v>
      </c>
      <c r="K189" s="399"/>
      <c r="M189" s="377" t="s">
        <v>1394</v>
      </c>
    </row>
    <row r="190" spans="2:13" x14ac:dyDescent="0.3">
      <c r="B190" s="329" t="s">
        <v>857</v>
      </c>
      <c r="C190" s="330" t="s">
        <v>895</v>
      </c>
      <c r="D190" s="330" t="s">
        <v>892</v>
      </c>
      <c r="E190" s="330" t="s">
        <v>893</v>
      </c>
      <c r="F190" s="330" t="s">
        <v>894</v>
      </c>
      <c r="G190" s="331" t="s">
        <v>901</v>
      </c>
      <c r="H190" s="331" t="s">
        <v>902</v>
      </c>
      <c r="I190" s="332"/>
      <c r="J190" s="333" t="s">
        <v>6</v>
      </c>
      <c r="K190" s="334">
        <f>SUM(Tabla11034534544554564791161171181207401261481564511121316115126143145147151157167168170255350[Coste LÃ­nea])</f>
        <v>109879.99999999999</v>
      </c>
      <c r="M190" s="346"/>
    </row>
    <row r="191" spans="2:13" x14ac:dyDescent="0.3">
      <c r="B191" s="10" t="s">
        <v>640</v>
      </c>
      <c r="C191" s="335" t="s">
        <v>67</v>
      </c>
      <c r="D191" s="336">
        <v>13400</v>
      </c>
      <c r="E191" s="336">
        <v>0</v>
      </c>
      <c r="F191" s="336">
        <v>13400</v>
      </c>
      <c r="G191" s="337">
        <f>+VLOOKUP(Tabla11034534544554564791161171181207401261481564511121316115126143145147151157167168170255350[[#This Row],[ArtÃ­culo]],Tabla34[#All],3,0)</f>
        <v>8.1999999999999993</v>
      </c>
      <c r="H191" s="338">
        <f>+Tabla11034534544554564791161171181207401261481564511121316115126143145147151157167168170255350[[#This Row],[Coste Componente]]*Tabla11034534544554564791161171181207401261481564511121316115126143145147151157167168170255350[[#This Row],[Unidades]]</f>
        <v>109879.99999999999</v>
      </c>
      <c r="J191" s="8" t="s">
        <v>12</v>
      </c>
      <c r="K191" s="9">
        <f>+K190*5%</f>
        <v>5494</v>
      </c>
    </row>
    <row r="192" spans="2:13" x14ac:dyDescent="0.3">
      <c r="B192" s="16"/>
      <c r="C192" s="17"/>
      <c r="D192" s="17"/>
      <c r="E192" s="17"/>
      <c r="F192" s="17"/>
      <c r="G192" s="18"/>
      <c r="H192" s="18">
        <f>SUBTOTAL(109,Tabla11034534544554564791161171181207401261481564511121316115126143145147151157167168170255350[Coste LÃ­nea])</f>
        <v>109879.99999999999</v>
      </c>
      <c r="I192" s="4"/>
      <c r="J192" s="8" t="s">
        <v>13</v>
      </c>
      <c r="K192" s="9">
        <f>+K190+K191</f>
        <v>115373.99999999999</v>
      </c>
    </row>
    <row r="193" spans="2:13" x14ac:dyDescent="0.3">
      <c r="I193" s="4"/>
      <c r="J193" s="20" t="s">
        <v>1313</v>
      </c>
      <c r="K193" s="339">
        <v>2300</v>
      </c>
    </row>
    <row r="194" spans="2:13" x14ac:dyDescent="0.3">
      <c r="I194" s="4"/>
      <c r="J194" s="8" t="s">
        <v>15</v>
      </c>
      <c r="K194" s="9">
        <f>+K193/K192</f>
        <v>1.9935167368731257E-2</v>
      </c>
    </row>
    <row r="196" spans="2:13" ht="15.6" x14ac:dyDescent="0.3">
      <c r="B196" s="19" t="s">
        <v>603</v>
      </c>
      <c r="C196" s="2"/>
      <c r="D196" s="2"/>
      <c r="E196" s="3"/>
      <c r="F196" s="3"/>
      <c r="G196" s="3"/>
      <c r="H196" s="3"/>
      <c r="J196" s="399" t="s">
        <v>0</v>
      </c>
      <c r="K196" s="399"/>
      <c r="M196" s="377" t="s">
        <v>1394</v>
      </c>
    </row>
    <row r="197" spans="2:13" x14ac:dyDescent="0.3">
      <c r="B197" s="329" t="s">
        <v>857</v>
      </c>
      <c r="C197" s="330" t="s">
        <v>895</v>
      </c>
      <c r="D197" s="330" t="s">
        <v>892</v>
      </c>
      <c r="E197" s="330" t="s">
        <v>893</v>
      </c>
      <c r="F197" s="330" t="s">
        <v>894</v>
      </c>
      <c r="G197" s="331" t="s">
        <v>901</v>
      </c>
      <c r="H197" s="331" t="s">
        <v>902</v>
      </c>
      <c r="I197" s="332"/>
      <c r="J197" s="333" t="s">
        <v>6</v>
      </c>
      <c r="K197" s="334">
        <f>SUM(Tabla11034534544554564791161171181207401261481564511121316115126143145147151157167168170255350393[Coste LÃ­nea])</f>
        <v>4728.9339046699997</v>
      </c>
      <c r="M197" s="346"/>
    </row>
    <row r="198" spans="2:13" x14ac:dyDescent="0.3">
      <c r="B198" s="10" t="s">
        <v>631</v>
      </c>
      <c r="C198" s="335" t="s">
        <v>67</v>
      </c>
      <c r="D198" s="336">
        <v>100</v>
      </c>
      <c r="E198" s="336">
        <v>0</v>
      </c>
      <c r="F198" s="336">
        <v>100</v>
      </c>
      <c r="G198" s="337">
        <f>+VLOOKUP(Tabla11034534544554564791161171181207401261481564511121316115126143145147151157167168170255350393[[#This Row],[ArtÃ­culo]],Tabla34[#All],3,0)</f>
        <v>34.714285709999999</v>
      </c>
      <c r="H198" s="338">
        <f>+Tabla11034534544554564791161171181207401261481564511121316115126143145147151157167168170255350393[[#This Row],[Coste Componente]]*Tabla11034534544554564791161171181207401261481564511121316115126143145147151157167168170255350393[[#This Row],[Unidades]]</f>
        <v>3471.4285709999999</v>
      </c>
      <c r="J198" s="8" t="s">
        <v>12</v>
      </c>
      <c r="K198" s="9">
        <f>+K197*5%</f>
        <v>236.44669523350001</v>
      </c>
    </row>
    <row r="199" spans="2:13" x14ac:dyDescent="0.3">
      <c r="B199" s="10" t="s">
        <v>1194</v>
      </c>
      <c r="C199" s="335" t="s">
        <v>847</v>
      </c>
      <c r="D199" s="336">
        <v>1</v>
      </c>
      <c r="E199" s="336">
        <v>0</v>
      </c>
      <c r="F199" s="336">
        <v>1</v>
      </c>
      <c r="G199" s="337">
        <f>+VLOOKUP(Tabla11034534544554564791161171181207401261481564511121316115126143145147151157167168170255350393[[#This Row],[ArtÃ­culo]],Tabla34[#All],3,0)</f>
        <v>726.66666667000004</v>
      </c>
      <c r="H199" s="338">
        <f>+Tabla11034534544554564791161171181207401261481564511121316115126143145147151157167168170255350393[[#This Row],[Coste Componente]]*Tabla11034534544554564791161171181207401261481564511121316115126143145147151157167168170255350393[[#This Row],[Unidades]]</f>
        <v>726.66666667000004</v>
      </c>
      <c r="I199" s="4"/>
      <c r="J199" s="8" t="s">
        <v>13</v>
      </c>
      <c r="K199" s="9">
        <f>+K197+K198</f>
        <v>4965.3805999034994</v>
      </c>
    </row>
    <row r="200" spans="2:13" x14ac:dyDescent="0.3">
      <c r="B200" s="10" t="s">
        <v>312</v>
      </c>
      <c r="C200" s="335" t="s">
        <v>67</v>
      </c>
      <c r="D200" s="336">
        <v>10</v>
      </c>
      <c r="E200" s="336">
        <v>0</v>
      </c>
      <c r="F200" s="336">
        <v>10</v>
      </c>
      <c r="G200" s="337">
        <f>+VLOOKUP(Tabla11034534544554564791161171181207401261481564511121316115126143145147151157167168170255350393[[#This Row],[ArtÃ­culo]],Tabla34[#All],3,0)</f>
        <v>4.2671999999999999</v>
      </c>
      <c r="H200" s="338">
        <f>+Tabla11034534544554564791161171181207401261481564511121316115126143145147151157167168170255350393[[#This Row],[Coste Componente]]*Tabla11034534544554564791161171181207401261481564511121316115126143145147151157167168170255350393[[#This Row],[Unidades]]</f>
        <v>42.671999999999997</v>
      </c>
      <c r="I200" s="4"/>
      <c r="J200" s="20" t="s">
        <v>1313</v>
      </c>
      <c r="K200" s="339">
        <v>80</v>
      </c>
    </row>
    <row r="201" spans="2:13" x14ac:dyDescent="0.3">
      <c r="B201" s="10" t="s">
        <v>85</v>
      </c>
      <c r="C201" s="335" t="s">
        <v>67</v>
      </c>
      <c r="D201" s="336">
        <v>100</v>
      </c>
      <c r="E201" s="336">
        <v>0</v>
      </c>
      <c r="F201" s="336">
        <v>100</v>
      </c>
      <c r="G201" s="337">
        <f>+VLOOKUP(Tabla11034534544554564791161171181207401261481564511121316115126143145147151157167168170255350393[[#This Row],[ArtÃ­culo]],Tabla34[#All],3,0)</f>
        <v>4.8816666700000004</v>
      </c>
      <c r="H201" s="338">
        <f>+Tabla11034534544554564791161171181207401261481564511121316115126143145147151157167168170255350393[[#This Row],[Coste Componente]]*Tabla11034534544554564791161171181207401261481564511121316115126143145147151157167168170255350393[[#This Row],[Unidades]]</f>
        <v>488.16666700000002</v>
      </c>
      <c r="I201" s="4"/>
      <c r="J201" s="8" t="s">
        <v>15</v>
      </c>
      <c r="K201" s="9">
        <f>+K200/K199</f>
        <v>1.6111554470075218E-2</v>
      </c>
    </row>
    <row r="202" spans="2:13" x14ac:dyDescent="0.3">
      <c r="B202" s="16"/>
      <c r="C202" s="17"/>
      <c r="D202" s="17"/>
      <c r="E202" s="17"/>
      <c r="F202" s="17"/>
      <c r="G202" s="18"/>
      <c r="H202" s="18">
        <f>SUBTOTAL(109,Tabla11034534544554564791161171181207401261481564511121316115126143145147151157167168170255350393[Coste LÃ­nea])</f>
        <v>4728.9339046699997</v>
      </c>
    </row>
    <row r="205" spans="2:13" x14ac:dyDescent="0.3">
      <c r="B205" s="19" t="s">
        <v>887</v>
      </c>
      <c r="C205" s="2"/>
      <c r="D205" s="2"/>
      <c r="E205" s="3"/>
      <c r="F205" s="3"/>
      <c r="G205" s="3"/>
      <c r="H205" s="3"/>
      <c r="J205" s="399" t="s">
        <v>0</v>
      </c>
      <c r="K205" s="399"/>
    </row>
    <row r="206" spans="2:13" ht="15.6" x14ac:dyDescent="0.3">
      <c r="B206" s="329" t="s">
        <v>857</v>
      </c>
      <c r="C206" s="330" t="s">
        <v>895</v>
      </c>
      <c r="D206" s="330" t="s">
        <v>892</v>
      </c>
      <c r="E206" s="330" t="s">
        <v>893</v>
      </c>
      <c r="F206" s="330" t="s">
        <v>894</v>
      </c>
      <c r="G206" s="331" t="s">
        <v>901</v>
      </c>
      <c r="H206" s="331" t="s">
        <v>902</v>
      </c>
      <c r="I206" s="332"/>
      <c r="J206" s="333" t="s">
        <v>6</v>
      </c>
      <c r="K206" s="334">
        <f>SUM(Tabla11034534544554564791161171181207401261481564511121316115126143145147151157167168170255350393395[Coste LÃ­nea])</f>
        <v>2700</v>
      </c>
      <c r="M206" s="377" t="s">
        <v>1394</v>
      </c>
    </row>
    <row r="207" spans="2:13" x14ac:dyDescent="0.3">
      <c r="B207" s="10" t="s">
        <v>835</v>
      </c>
      <c r="C207" s="335" t="s">
        <v>67</v>
      </c>
      <c r="D207" s="336">
        <v>600</v>
      </c>
      <c r="E207" s="336">
        <v>0</v>
      </c>
      <c r="F207" s="336">
        <v>600</v>
      </c>
      <c r="G207" s="337">
        <f>+VLOOKUP(Tabla11034534544554564791161171181207401261481564511121316115126143145147151157167168170255350393395[[#This Row],[ArtÃ­culo]],Tabla34[#All],3,0)</f>
        <v>4.5</v>
      </c>
      <c r="H207" s="338">
        <f>+Tabla11034534544554564791161171181207401261481564511121316115126143145147151157167168170255350393395[[#This Row],[Coste Componente]]*Tabla11034534544554564791161171181207401261481564511121316115126143145147151157167168170255350393395[[#This Row],[Unidades]]</f>
        <v>2700</v>
      </c>
      <c r="J207" s="8" t="s">
        <v>12</v>
      </c>
      <c r="K207" s="9">
        <f>+K206*5%</f>
        <v>135</v>
      </c>
      <c r="M207" s="346"/>
    </row>
    <row r="208" spans="2:13" x14ac:dyDescent="0.3">
      <c r="B208" s="16"/>
      <c r="C208" s="17"/>
      <c r="D208" s="17"/>
      <c r="E208" s="17"/>
      <c r="F208" s="17"/>
      <c r="G208" s="18"/>
      <c r="H208" s="18">
        <f>SUBTOTAL(109,Tabla11034534544554564791161171181207401261481564511121316115126143145147151157167168170255350393395[Coste LÃ­nea])</f>
        <v>2700</v>
      </c>
      <c r="I208" s="4"/>
      <c r="J208" s="8" t="s">
        <v>13</v>
      </c>
      <c r="K208" s="9">
        <f>+K206+K207</f>
        <v>2835</v>
      </c>
    </row>
    <row r="209" spans="2:13" x14ac:dyDescent="0.3">
      <c r="I209" s="4"/>
      <c r="J209" s="20" t="s">
        <v>1313</v>
      </c>
      <c r="K209" s="339">
        <v>250</v>
      </c>
    </row>
    <row r="210" spans="2:13" x14ac:dyDescent="0.3">
      <c r="I210" s="4"/>
      <c r="J210" s="8" t="s">
        <v>15</v>
      </c>
      <c r="K210" s="9">
        <f>+K209/K208</f>
        <v>8.8183421516754845E-2</v>
      </c>
    </row>
    <row r="212" spans="2:13" ht="15.6" x14ac:dyDescent="0.3">
      <c r="B212" s="19" t="s">
        <v>810</v>
      </c>
      <c r="C212" s="2"/>
      <c r="D212" s="2"/>
      <c r="E212" s="3"/>
      <c r="F212" s="3"/>
      <c r="G212" s="3"/>
      <c r="H212" s="3"/>
      <c r="J212" s="399" t="s">
        <v>0</v>
      </c>
      <c r="K212" s="399"/>
      <c r="M212" s="377" t="s">
        <v>1394</v>
      </c>
    </row>
    <row r="213" spans="2:13" x14ac:dyDescent="0.3">
      <c r="B213" s="329" t="s">
        <v>857</v>
      </c>
      <c r="C213" s="330" t="s">
        <v>895</v>
      </c>
      <c r="D213" s="330" t="s">
        <v>892</v>
      </c>
      <c r="E213" s="330" t="s">
        <v>893</v>
      </c>
      <c r="F213" s="330" t="s">
        <v>894</v>
      </c>
      <c r="G213" s="331" t="s">
        <v>901</v>
      </c>
      <c r="H213" s="331" t="s">
        <v>902</v>
      </c>
      <c r="I213" s="332"/>
      <c r="J213" s="333" t="s">
        <v>6</v>
      </c>
      <c r="K213" s="334">
        <f>SUM(Tabla11034534544554564791161171181207401261481564511121316115126143145147151157167168170255350393395397[Coste LÃ­nea])</f>
        <v>3900</v>
      </c>
      <c r="M213" s="346"/>
    </row>
    <row r="214" spans="2:13" x14ac:dyDescent="0.3">
      <c r="B214" s="10" t="s">
        <v>717</v>
      </c>
      <c r="C214" s="335" t="s">
        <v>67</v>
      </c>
      <c r="D214" s="336">
        <v>600</v>
      </c>
      <c r="E214" s="336">
        <v>0</v>
      </c>
      <c r="F214" s="336">
        <v>600</v>
      </c>
      <c r="G214" s="337">
        <f>+VLOOKUP(Tabla11034534544554564791161171181207401261481564511121316115126143145147151157167168170255350393395397[[#This Row],[ArtÃ­culo]],Tabla34[#All],3,0)</f>
        <v>6.5</v>
      </c>
      <c r="H214" s="338">
        <f>+Tabla11034534544554564791161171181207401261481564511121316115126143145147151157167168170255350393395397[[#This Row],[Coste Componente]]*Tabla11034534544554564791161171181207401261481564511121316115126143145147151157167168170255350393395397[[#This Row],[Unidades]]</f>
        <v>3900</v>
      </c>
      <c r="J214" s="8" t="s">
        <v>12</v>
      </c>
      <c r="K214" s="9">
        <f>+K213*5%</f>
        <v>195</v>
      </c>
    </row>
    <row r="215" spans="2:13" x14ac:dyDescent="0.3">
      <c r="B215" s="16"/>
      <c r="C215" s="17"/>
      <c r="D215" s="17"/>
      <c r="E215" s="17"/>
      <c r="F215" s="17"/>
      <c r="G215" s="18"/>
      <c r="H215" s="18">
        <f>SUBTOTAL(109,Tabla11034534544554564791161171181207401261481564511121316115126143145147151157167168170255350393395397[Coste LÃ­nea])</f>
        <v>3900</v>
      </c>
      <c r="I215" s="4"/>
      <c r="J215" s="8" t="s">
        <v>13</v>
      </c>
      <c r="K215" s="9">
        <f>+K213+K214</f>
        <v>4095</v>
      </c>
    </row>
    <row r="216" spans="2:13" x14ac:dyDescent="0.3">
      <c r="I216" s="4"/>
      <c r="J216" s="20" t="s">
        <v>1313</v>
      </c>
      <c r="K216" s="339">
        <v>250</v>
      </c>
    </row>
    <row r="217" spans="2:13" x14ac:dyDescent="0.3">
      <c r="I217" s="4"/>
      <c r="J217" s="8" t="s">
        <v>15</v>
      </c>
      <c r="K217" s="9">
        <f>+K216/K215</f>
        <v>6.1050061050061048E-2</v>
      </c>
    </row>
    <row r="220" spans="2:13" ht="15.6" x14ac:dyDescent="0.3">
      <c r="B220" s="19" t="s">
        <v>808</v>
      </c>
      <c r="C220" s="2"/>
      <c r="D220" s="2"/>
      <c r="E220" s="3"/>
      <c r="F220" s="3"/>
      <c r="G220" s="3"/>
      <c r="H220" s="3"/>
      <c r="J220" s="399" t="s">
        <v>0</v>
      </c>
      <c r="K220" s="399"/>
      <c r="M220" s="377" t="s">
        <v>1394</v>
      </c>
    </row>
    <row r="221" spans="2:13" x14ac:dyDescent="0.3">
      <c r="B221" s="329" t="s">
        <v>857</v>
      </c>
      <c r="C221" s="330" t="s">
        <v>895</v>
      </c>
      <c r="D221" s="330" t="s">
        <v>892</v>
      </c>
      <c r="E221" s="330" t="s">
        <v>893</v>
      </c>
      <c r="F221" s="330" t="s">
        <v>894</v>
      </c>
      <c r="G221" s="331" t="s">
        <v>901</v>
      </c>
      <c r="H221" s="331" t="s">
        <v>902</v>
      </c>
      <c r="I221" s="332"/>
      <c r="J221" s="333" t="s">
        <v>6</v>
      </c>
      <c r="K221" s="334">
        <f>SUM(Tabla11034534544554564791161171181207401261481564511121316115126143145147151157167168170255350393395397399[Coste LÃ­nea])</f>
        <v>1500</v>
      </c>
      <c r="M221" s="346"/>
    </row>
    <row r="222" spans="2:13" x14ac:dyDescent="0.3">
      <c r="B222" s="10" t="s">
        <v>677</v>
      </c>
      <c r="C222" s="335" t="s">
        <v>67</v>
      </c>
      <c r="D222" s="336">
        <v>600</v>
      </c>
      <c r="E222" s="336">
        <v>0</v>
      </c>
      <c r="F222" s="336">
        <v>600</v>
      </c>
      <c r="G222" s="337">
        <f>+VLOOKUP(Tabla11034534544554564791161171181207401261481564511121316115126143145147151157167168170255350393395397399[[#This Row],[ArtÃ­culo]],Tabla34[#All],3,0)</f>
        <v>2.5</v>
      </c>
      <c r="H222" s="338">
        <f>+Tabla11034534544554564791161171181207401261481564511121316115126143145147151157167168170255350393395397399[[#This Row],[Coste Componente]]*Tabla11034534544554564791161171181207401261481564511121316115126143145147151157167168170255350393395397399[[#This Row],[Unidades]]</f>
        <v>1500</v>
      </c>
      <c r="J222" s="8" t="s">
        <v>12</v>
      </c>
      <c r="K222" s="9">
        <f>+K221*5%</f>
        <v>75</v>
      </c>
    </row>
    <row r="223" spans="2:13" x14ac:dyDescent="0.3">
      <c r="B223" s="16"/>
      <c r="C223" s="17"/>
      <c r="D223" s="17"/>
      <c r="E223" s="17"/>
      <c r="F223" s="17"/>
      <c r="G223" s="18"/>
      <c r="H223" s="18">
        <f>SUBTOTAL(109,Tabla11034534544554564791161171181207401261481564511121316115126143145147151157167168170255350393395397399[Coste LÃ­nea])</f>
        <v>1500</v>
      </c>
      <c r="I223" s="4"/>
      <c r="J223" s="8" t="s">
        <v>13</v>
      </c>
      <c r="K223" s="9">
        <f>+K221+K222</f>
        <v>1575</v>
      </c>
    </row>
    <row r="224" spans="2:13" x14ac:dyDescent="0.3">
      <c r="I224" s="4"/>
      <c r="J224" s="20" t="s">
        <v>1313</v>
      </c>
      <c r="K224" s="339">
        <v>250</v>
      </c>
    </row>
    <row r="225" spans="2:13" x14ac:dyDescent="0.3">
      <c r="I225" s="4"/>
      <c r="J225" s="8" t="s">
        <v>15</v>
      </c>
      <c r="K225" s="9">
        <f>+K224/K223</f>
        <v>0.15873015873015872</v>
      </c>
    </row>
    <row r="227" spans="2:13" ht="15.6" x14ac:dyDescent="0.3">
      <c r="B227" s="19" t="s">
        <v>1421</v>
      </c>
      <c r="C227" s="2"/>
      <c r="D227" s="2"/>
      <c r="E227" s="3"/>
      <c r="F227" s="3"/>
      <c r="G227" s="3"/>
      <c r="H227" s="3"/>
      <c r="J227" s="399" t="s">
        <v>0</v>
      </c>
      <c r="K227" s="399"/>
      <c r="M227" s="377" t="s">
        <v>1394</v>
      </c>
    </row>
    <row r="228" spans="2:13" x14ac:dyDescent="0.3">
      <c r="B228" s="329" t="s">
        <v>857</v>
      </c>
      <c r="C228" s="330" t="s">
        <v>895</v>
      </c>
      <c r="D228" s="330" t="s">
        <v>892</v>
      </c>
      <c r="E228" s="330" t="s">
        <v>893</v>
      </c>
      <c r="F228" s="330" t="s">
        <v>894</v>
      </c>
      <c r="G228" s="331" t="s">
        <v>901</v>
      </c>
      <c r="H228" s="331" t="s">
        <v>902</v>
      </c>
      <c r="I228" s="332"/>
      <c r="J228" s="333" t="s">
        <v>6</v>
      </c>
      <c r="K228" s="334">
        <f>SUM(Tabla11034534544554564791161171181207401261481564511121316115126143145147151157167168170255350393395397399478[Coste LÃ­nea])</f>
        <v>5280</v>
      </c>
      <c r="M228" s="346"/>
    </row>
    <row r="229" spans="2:13" x14ac:dyDescent="0.3">
      <c r="B229" s="10" t="s">
        <v>832</v>
      </c>
      <c r="C229" s="335" t="s">
        <v>67</v>
      </c>
      <c r="D229" s="336">
        <v>1100</v>
      </c>
      <c r="E229" s="336">
        <v>0</v>
      </c>
      <c r="F229" s="336">
        <v>1100</v>
      </c>
      <c r="G229" s="337">
        <f>+VLOOKUP(Tabla11034534544554564791161171181207401261481564511121316115126143145147151157167168170255350393395397399478[[#This Row],[ArtÃ­culo]],Tabla34[#All],3,0)</f>
        <v>4.8</v>
      </c>
      <c r="H229" s="338">
        <f>+Tabla11034534544554564791161171181207401261481564511121316115126143145147151157167168170255350393395397399478[[#This Row],[Coste Componente]]*Tabla11034534544554564791161171181207401261481564511121316115126143145147151157167168170255350393395397399478[[#This Row],[Unidades]]</f>
        <v>5280</v>
      </c>
      <c r="J229" s="8" t="s">
        <v>12</v>
      </c>
      <c r="K229" s="9">
        <f>+K228*5%</f>
        <v>264</v>
      </c>
    </row>
    <row r="230" spans="2:13" x14ac:dyDescent="0.3">
      <c r="B230" s="16"/>
      <c r="C230" s="17"/>
      <c r="D230" s="17"/>
      <c r="E230" s="17"/>
      <c r="F230" s="17"/>
      <c r="G230" s="18"/>
      <c r="H230" s="18">
        <f>SUBTOTAL(109,Tabla11034534544554564791161171181207401261481564511121316115126143145147151157167168170255350393395397399478[Coste LÃ­nea])</f>
        <v>5280</v>
      </c>
      <c r="I230" s="4"/>
      <c r="J230" s="8" t="s">
        <v>13</v>
      </c>
      <c r="K230" s="9">
        <f>+K228+K229</f>
        <v>5544</v>
      </c>
    </row>
    <row r="231" spans="2:13" x14ac:dyDescent="0.3">
      <c r="I231" s="4"/>
      <c r="J231" s="20" t="s">
        <v>1313</v>
      </c>
      <c r="K231" s="339">
        <v>108</v>
      </c>
    </row>
    <row r="232" spans="2:13" x14ac:dyDescent="0.3">
      <c r="I232" s="4"/>
      <c r="J232" s="8" t="s">
        <v>15</v>
      </c>
      <c r="K232" s="9">
        <f>+K231/K230</f>
        <v>1.948051948051948E-2</v>
      </c>
    </row>
    <row r="235" spans="2:13" ht="15.6" x14ac:dyDescent="0.3">
      <c r="B235" s="19" t="s">
        <v>801</v>
      </c>
      <c r="C235" s="2"/>
      <c r="D235" s="2"/>
      <c r="E235" s="3"/>
      <c r="F235" s="3"/>
      <c r="G235" s="3"/>
      <c r="H235" s="3"/>
      <c r="J235" s="399" t="s">
        <v>0</v>
      </c>
      <c r="K235" s="399"/>
      <c r="M235" s="377" t="s">
        <v>1394</v>
      </c>
    </row>
    <row r="236" spans="2:13" x14ac:dyDescent="0.3">
      <c r="B236" s="329" t="s">
        <v>857</v>
      </c>
      <c r="C236" s="330" t="s">
        <v>895</v>
      </c>
      <c r="D236" s="330" t="s">
        <v>892</v>
      </c>
      <c r="E236" s="330" t="s">
        <v>893</v>
      </c>
      <c r="F236" s="330" t="s">
        <v>894</v>
      </c>
      <c r="G236" s="331" t="s">
        <v>901</v>
      </c>
      <c r="H236" s="331" t="s">
        <v>902</v>
      </c>
      <c r="I236" s="332"/>
      <c r="J236" s="333" t="s">
        <v>6</v>
      </c>
      <c r="K236" s="334">
        <f>SUM(Tabla11034534544554564791161171181207401261481564511121316115126143145147151157167168170255350393395397399478519[Coste LÃ­nea])</f>
        <v>40000</v>
      </c>
      <c r="M236" s="346"/>
    </row>
    <row r="237" spans="2:13" x14ac:dyDescent="0.3">
      <c r="B237" s="10" t="s">
        <v>741</v>
      </c>
      <c r="C237" s="335" t="s">
        <v>67</v>
      </c>
      <c r="D237" s="336">
        <v>8000</v>
      </c>
      <c r="E237" s="336">
        <v>0</v>
      </c>
      <c r="F237" s="336">
        <v>8000</v>
      </c>
      <c r="G237" s="337">
        <f>+VLOOKUP(Tabla11034534544554564791161171181207401261481564511121316115126143145147151157167168170255350393395397399478519[[#This Row],[ArtÃ­culo]],Tabla34[#All],3,0)</f>
        <v>5</v>
      </c>
      <c r="H237" s="338">
        <f>+Tabla11034534544554564791161171181207401261481564511121316115126143145147151157167168170255350393395397399478519[[#This Row],[Coste Componente]]*Tabla11034534544554564791161171181207401261481564511121316115126143145147151157167168170255350393395397399478519[[#This Row],[Unidades]]</f>
        <v>40000</v>
      </c>
      <c r="J237" s="8" t="s">
        <v>12</v>
      </c>
      <c r="K237" s="9">
        <f>+K236*5%</f>
        <v>2000</v>
      </c>
    </row>
    <row r="238" spans="2:13" x14ac:dyDescent="0.3">
      <c r="B238" s="16"/>
      <c r="C238" s="17"/>
      <c r="D238" s="17"/>
      <c r="E238" s="17"/>
      <c r="F238" s="17"/>
      <c r="G238" s="18"/>
      <c r="H238" s="18">
        <f>SUBTOTAL(109,Tabla11034534544554564791161171181207401261481564511121316115126143145147151157167168170255350393395397399478519[Coste LÃ­nea])</f>
        <v>40000</v>
      </c>
      <c r="I238" s="4"/>
      <c r="J238" s="8" t="s">
        <v>13</v>
      </c>
      <c r="K238" s="9">
        <f>+K236+K237</f>
        <v>42000</v>
      </c>
    </row>
    <row r="239" spans="2:13" x14ac:dyDescent="0.3">
      <c r="I239" s="4"/>
      <c r="J239" s="20" t="s">
        <v>1313</v>
      </c>
      <c r="K239" s="339">
        <v>108</v>
      </c>
    </row>
    <row r="240" spans="2:13" x14ac:dyDescent="0.3">
      <c r="I240" s="4"/>
      <c r="J240" s="8" t="s">
        <v>15</v>
      </c>
      <c r="K240" s="9">
        <f>+K239/K238</f>
        <v>2.5714285714285713E-3</v>
      </c>
    </row>
    <row r="243" spans="2:13" ht="15.6" x14ac:dyDescent="0.3">
      <c r="B243" s="19" t="s">
        <v>168</v>
      </c>
      <c r="C243" s="2"/>
      <c r="D243" s="2"/>
      <c r="E243" s="3"/>
      <c r="F243" s="3"/>
      <c r="G243" s="3"/>
      <c r="H243" s="3"/>
      <c r="J243" s="399" t="s">
        <v>0</v>
      </c>
      <c r="K243" s="399"/>
      <c r="M243" s="377" t="s">
        <v>1394</v>
      </c>
    </row>
    <row r="244" spans="2:13" x14ac:dyDescent="0.3">
      <c r="B244" s="329" t="s">
        <v>857</v>
      </c>
      <c r="C244" s="330" t="s">
        <v>895</v>
      </c>
      <c r="D244" s="330" t="s">
        <v>892</v>
      </c>
      <c r="E244" s="330" t="s">
        <v>893</v>
      </c>
      <c r="F244" s="330" t="s">
        <v>894</v>
      </c>
      <c r="G244" s="331" t="s">
        <v>901</v>
      </c>
      <c r="H244" s="331" t="s">
        <v>902</v>
      </c>
      <c r="I244" s="332"/>
      <c r="J244" s="333" t="s">
        <v>6</v>
      </c>
      <c r="K244" s="334">
        <f>SUM(Tabla11034534544554564791161171181207401261481564511121316115126143145147151157167168170255350393395397399478519524[Coste LÃ­nea])</f>
        <v>54000</v>
      </c>
      <c r="M244" s="346"/>
    </row>
    <row r="245" spans="2:13" x14ac:dyDescent="0.3">
      <c r="B245" s="10" t="s">
        <v>606</v>
      </c>
      <c r="C245" s="335" t="s">
        <v>67</v>
      </c>
      <c r="D245" s="336">
        <v>12000</v>
      </c>
      <c r="E245" s="336">
        <v>0</v>
      </c>
      <c r="F245" s="336">
        <v>12000</v>
      </c>
      <c r="G245" s="337">
        <f>+VLOOKUP(Tabla11034534544554564791161171181207401261481564511121316115126143145147151157167168170255350393395397399478519524[[#This Row],[ArtÃ­culo]],Tabla34[#All],3,0)</f>
        <v>4.5</v>
      </c>
      <c r="H245" s="338">
        <f>+Tabla11034534544554564791161171181207401261481564511121316115126143145147151157167168170255350393395397399478519524[[#This Row],[Coste Componente]]*Tabla11034534544554564791161171181207401261481564511121316115126143145147151157167168170255350393395397399478519524[[#This Row],[Unidades]]</f>
        <v>54000</v>
      </c>
      <c r="J245" s="8" t="s">
        <v>12</v>
      </c>
      <c r="K245" s="9">
        <f>+K244*5%</f>
        <v>2700</v>
      </c>
    </row>
    <row r="246" spans="2:13" x14ac:dyDescent="0.3">
      <c r="B246" s="16"/>
      <c r="C246" s="17"/>
      <c r="D246" s="17"/>
      <c r="E246" s="17"/>
      <c r="F246" s="17"/>
      <c r="G246" s="18"/>
      <c r="H246" s="18">
        <f>SUBTOTAL(109,Tabla11034534544554564791161171181207401261481564511121316115126143145147151157167168170255350393395397399478519524[Coste LÃ­nea])</f>
        <v>54000</v>
      </c>
      <c r="I246" s="4"/>
      <c r="J246" s="8" t="s">
        <v>13</v>
      </c>
      <c r="K246" s="9">
        <f>+K244+K245</f>
        <v>56700</v>
      </c>
    </row>
    <row r="247" spans="2:13" x14ac:dyDescent="0.3">
      <c r="I247" s="4"/>
      <c r="J247" s="20" t="s">
        <v>1313</v>
      </c>
      <c r="K247" s="339">
        <v>3500</v>
      </c>
    </row>
    <row r="248" spans="2:13" x14ac:dyDescent="0.3">
      <c r="I248" s="4"/>
      <c r="J248" s="8" t="s">
        <v>15</v>
      </c>
      <c r="K248" s="9">
        <f>+K247/K246</f>
        <v>6.1728395061728392E-2</v>
      </c>
    </row>
  </sheetData>
  <mergeCells count="26">
    <mergeCell ref="J6:K6"/>
    <mergeCell ref="J17:K17"/>
    <mergeCell ref="J26:K26"/>
    <mergeCell ref="J42:K42"/>
    <mergeCell ref="J52:K52"/>
    <mergeCell ref="J63:K63"/>
    <mergeCell ref="J74:K74"/>
    <mergeCell ref="J86:K86"/>
    <mergeCell ref="J98:K98"/>
    <mergeCell ref="J109:K109"/>
    <mergeCell ref="J123:K123"/>
    <mergeCell ref="J135:K135"/>
    <mergeCell ref="J143:K143"/>
    <mergeCell ref="J151:K151"/>
    <mergeCell ref="J158:K158"/>
    <mergeCell ref="J166:K166"/>
    <mergeCell ref="J173:K173"/>
    <mergeCell ref="J182:K182"/>
    <mergeCell ref="J189:K189"/>
    <mergeCell ref="J196:K196"/>
    <mergeCell ref="J243:K243"/>
    <mergeCell ref="J205:K205"/>
    <mergeCell ref="J212:K212"/>
    <mergeCell ref="J220:K220"/>
    <mergeCell ref="J227:K227"/>
    <mergeCell ref="J235:K235"/>
  </mergeCells>
  <pageMargins left="0.7" right="0.7" top="0.75" bottom="0.75" header="0.3" footer="0.3"/>
  <pageSetup paperSize="9" orientation="portrait" horizontalDpi="0" verticalDpi="0" r:id="rId1"/>
  <drawing r:id="rId2"/>
  <tableParts count="5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1243-1966-4D81-8B03-C345664B4062}">
  <dimension ref="B6:M50"/>
  <sheetViews>
    <sheetView showGridLines="0" topLeftCell="A49" workbookViewId="0">
      <selection activeCell="M41" sqref="M41:M42"/>
    </sheetView>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44140625" bestFit="1" customWidth="1"/>
  </cols>
  <sheetData>
    <row r="6" spans="2:13" ht="15.6" x14ac:dyDescent="0.3">
      <c r="B6" s="1" t="s">
        <v>1346</v>
      </c>
      <c r="C6" s="2"/>
      <c r="D6" s="2"/>
      <c r="E6" s="3"/>
      <c r="F6" s="3"/>
      <c r="G6" s="3"/>
      <c r="H6" s="3"/>
      <c r="I6" s="4"/>
      <c r="J6" s="399" t="s">
        <v>0</v>
      </c>
      <c r="K6" s="399"/>
      <c r="M6" s="377" t="s">
        <v>1394</v>
      </c>
    </row>
    <row r="7" spans="2:13" x14ac:dyDescent="0.3">
      <c r="B7" s="5" t="s">
        <v>1</v>
      </c>
      <c r="C7" s="6" t="s">
        <v>2</v>
      </c>
      <c r="D7" s="6" t="s">
        <v>3</v>
      </c>
      <c r="E7" s="6" t="s">
        <v>920</v>
      </c>
      <c r="F7" s="6" t="s">
        <v>319</v>
      </c>
      <c r="G7" s="7" t="s">
        <v>4</v>
      </c>
      <c r="H7" s="7" t="s">
        <v>5</v>
      </c>
      <c r="I7" s="4"/>
      <c r="J7" s="8" t="s">
        <v>6</v>
      </c>
      <c r="K7" s="9" t="e">
        <f>SUM(Tabla110345345445545647945586877869510811712713622823724627233[Total costo])</f>
        <v>#N/A</v>
      </c>
      <c r="M7" s="346"/>
    </row>
    <row r="8" spans="2:13" x14ac:dyDescent="0.3">
      <c r="B8" s="10" t="s">
        <v>670</v>
      </c>
      <c r="C8" s="11" t="s">
        <v>67</v>
      </c>
      <c r="D8" s="56">
        <v>60</v>
      </c>
      <c r="E8" s="12">
        <v>0</v>
      </c>
      <c r="F8" s="12">
        <v>60</v>
      </c>
      <c r="G8" s="13">
        <f>+VLOOKUP(Tabla110345345445545647945586877869510811712713622823724627233[[#This Row],[Ingrediente]],Tabla34[#All],3,0)</f>
        <v>10</v>
      </c>
      <c r="H8" s="14">
        <f>+Tabla110345345445545647945586877869510811712713622823724627233[[#This Row],[Costo]]*Tabla110345345445545647945586877869510811712713622823724627233[[#This Row],[Cant.]]</f>
        <v>600</v>
      </c>
      <c r="I8" s="4"/>
      <c r="J8" s="8" t="s">
        <v>12</v>
      </c>
      <c r="K8" s="15" t="e">
        <f>+K7*10%</f>
        <v>#N/A</v>
      </c>
    </row>
    <row r="9" spans="2:13" x14ac:dyDescent="0.3">
      <c r="B9" s="10" t="s">
        <v>168</v>
      </c>
      <c r="C9" s="11" t="s">
        <v>67</v>
      </c>
      <c r="D9" s="56">
        <v>30</v>
      </c>
      <c r="E9" s="12">
        <v>0</v>
      </c>
      <c r="F9" s="12">
        <v>30</v>
      </c>
      <c r="G9" s="13">
        <f>+VLOOKUP(Tabla110345345445545647945586877869510811712713622823724627233[[#This Row],[Ingrediente]],Tabla34[#All],3,0)</f>
        <v>10.86600002</v>
      </c>
      <c r="H9" s="14">
        <f>+Tabla110345345445545647945586877869510811712713622823724627233[[#This Row],[Costo]]*Tabla110345345445545647945586877869510811712713622823724627233[[#This Row],[Cant.]]</f>
        <v>325.98000059999998</v>
      </c>
      <c r="I9" s="4"/>
      <c r="J9" s="8" t="s">
        <v>13</v>
      </c>
      <c r="K9" s="15" t="e">
        <f>+K7+K8</f>
        <v>#N/A</v>
      </c>
    </row>
    <row r="10" spans="2:13" x14ac:dyDescent="0.3">
      <c r="B10" s="10" t="s">
        <v>1345</v>
      </c>
      <c r="C10" s="11" t="s">
        <v>67</v>
      </c>
      <c r="D10" s="12">
        <v>60</v>
      </c>
      <c r="E10" s="12">
        <v>0</v>
      </c>
      <c r="F10" s="12">
        <v>60</v>
      </c>
      <c r="G10" s="13" t="e">
        <f>+VLOOKUP(Tabla110345345445545647945586877869510811712713622823724627233[[#This Row],[Ingrediente]],Tabla34[#All],3,0)</f>
        <v>#N/A</v>
      </c>
      <c r="H10" s="14" t="e">
        <f>+Tabla110345345445545647945586877869510811712713622823724627233[[#This Row],[Costo]]*Tabla110345345445545647945586877869510811712713622823724627233[[#This Row],[Cant.]]</f>
        <v>#N/A</v>
      </c>
      <c r="I10" s="4"/>
      <c r="J10" s="20" t="s">
        <v>14</v>
      </c>
      <c r="K10" s="21">
        <v>27000</v>
      </c>
    </row>
    <row r="11" spans="2:13" x14ac:dyDescent="0.3">
      <c r="B11" s="10" t="s">
        <v>177</v>
      </c>
      <c r="C11" s="11" t="s">
        <v>847</v>
      </c>
      <c r="D11" s="12">
        <v>1</v>
      </c>
      <c r="E11" s="12">
        <v>0</v>
      </c>
      <c r="F11" s="12">
        <v>1</v>
      </c>
      <c r="G11" s="13">
        <f>+VLOOKUP(Tabla110345345445545647945586877869510811712713622823724627233[[#This Row],[Ingrediente]],Tabla34[#All],3,0)</f>
        <v>5132.75</v>
      </c>
      <c r="H11" s="14">
        <f>+Tabla110345345445545647945586877869510811712713622823724627233[[#This Row],[Costo]]*Tabla110345345445545647945586877869510811712713622823724627233[[#This Row],[Cant.]]</f>
        <v>5132.75</v>
      </c>
      <c r="I11" s="4"/>
      <c r="J11" s="8" t="s">
        <v>15</v>
      </c>
      <c r="K11" s="15">
        <f>+K10/1.08*0.08</f>
        <v>2000</v>
      </c>
    </row>
    <row r="12" spans="2:13" x14ac:dyDescent="0.3">
      <c r="B12" s="10" t="s">
        <v>886</v>
      </c>
      <c r="C12" s="11" t="s">
        <v>67</v>
      </c>
      <c r="D12" s="12">
        <v>1</v>
      </c>
      <c r="E12" s="12">
        <v>0</v>
      </c>
      <c r="F12" s="12">
        <v>1</v>
      </c>
      <c r="G12" s="13">
        <f>+VLOOKUP(Tabla110345345445545647945586877869510811712713622823724627233[[#This Row],[Ingrediente]],Tabla34[#All],3,0)</f>
        <v>350</v>
      </c>
      <c r="H12" s="14">
        <f>+Tabla110345345445545647945586877869510811712713622823724627233[[#This Row],[Costo]]*Tabla110345345445545647945586877869510811712713622823724627233[[#This Row],[Cant.]]</f>
        <v>350</v>
      </c>
      <c r="I12" s="4"/>
      <c r="J12" s="8" t="s">
        <v>16</v>
      </c>
      <c r="K12" s="15">
        <f>+K10-K11</f>
        <v>25000</v>
      </c>
    </row>
    <row r="13" spans="2:13" x14ac:dyDescent="0.3">
      <c r="B13" s="10" t="s">
        <v>1333</v>
      </c>
      <c r="C13" s="11" t="s">
        <v>67</v>
      </c>
      <c r="D13" s="12">
        <v>5</v>
      </c>
      <c r="E13" s="12">
        <v>0</v>
      </c>
      <c r="F13" s="12">
        <v>5</v>
      </c>
      <c r="G13" s="13" t="e">
        <f>+VLOOKUP(Tabla110345345445545647945586877869510811712713622823724627233[[#This Row],[Ingrediente]],Tabla34[#All],3,0)</f>
        <v>#N/A</v>
      </c>
      <c r="H13" s="14" t="e">
        <f>+Tabla110345345445545647945586877869510811712713622823724627233[[#This Row],[Costo]]*Tabla110345345445545647945586877869510811712713622823724627233[[#This Row],[Cant.]]</f>
        <v>#N/A</v>
      </c>
      <c r="I13" s="4"/>
      <c r="J13" s="8" t="s">
        <v>17</v>
      </c>
      <c r="K13" s="22" t="e">
        <f>+K9/K12</f>
        <v>#N/A</v>
      </c>
    </row>
    <row r="14" spans="2:13" x14ac:dyDescent="0.3">
      <c r="B14" s="16"/>
      <c r="C14" s="17"/>
      <c r="D14" s="17"/>
      <c r="E14" s="17"/>
      <c r="F14" s="17"/>
      <c r="G14" s="18"/>
      <c r="H14" s="18" t="e">
        <f>SUBTOTAL(109,Tabla110345345445545647945586877869510811712713622823724627233[Total costo])</f>
        <v>#N/A</v>
      </c>
      <c r="I14" s="4"/>
      <c r="J14" s="8" t="s">
        <v>18</v>
      </c>
      <c r="K14" s="23" t="e">
        <f>+K12-K9</f>
        <v>#N/A</v>
      </c>
    </row>
    <row r="15" spans="2:13" x14ac:dyDescent="0.3">
      <c r="I15" s="4"/>
      <c r="J15" s="8" t="s">
        <v>19</v>
      </c>
      <c r="K15" s="25" t="e">
        <f>+K14/K9</f>
        <v>#N/A</v>
      </c>
    </row>
    <row r="16" spans="2:13" x14ac:dyDescent="0.3">
      <c r="G16" s="4"/>
      <c r="H16" s="4"/>
      <c r="I16" s="31"/>
    </row>
    <row r="18" spans="2:13" ht="15.6" x14ac:dyDescent="0.3">
      <c r="B18" s="1" t="s">
        <v>1347</v>
      </c>
      <c r="C18" s="2"/>
      <c r="D18" s="2"/>
      <c r="E18" s="3"/>
      <c r="F18" s="3"/>
      <c r="G18" s="3"/>
      <c r="H18" s="3"/>
      <c r="I18" s="4"/>
      <c r="J18" s="399" t="s">
        <v>0</v>
      </c>
      <c r="K18" s="399"/>
      <c r="M18" s="377" t="s">
        <v>1394</v>
      </c>
    </row>
    <row r="19" spans="2:13" x14ac:dyDescent="0.3">
      <c r="B19" s="5" t="s">
        <v>1</v>
      </c>
      <c r="C19" s="6" t="s">
        <v>2</v>
      </c>
      <c r="D19" s="6" t="s">
        <v>3</v>
      </c>
      <c r="E19" s="6" t="s">
        <v>920</v>
      </c>
      <c r="F19" s="6" t="s">
        <v>319</v>
      </c>
      <c r="G19" s="7" t="s">
        <v>4</v>
      </c>
      <c r="H19" s="7" t="s">
        <v>5</v>
      </c>
      <c r="I19" s="4"/>
      <c r="J19" s="8" t="s">
        <v>6</v>
      </c>
      <c r="K19" s="9">
        <f>SUM(Tabla11034534544554564793646596978879610911812813722923824731234[Total costo])</f>
        <v>5893.529593835</v>
      </c>
      <c r="M19" s="346"/>
    </row>
    <row r="20" spans="2:13" x14ac:dyDescent="0.3">
      <c r="B20" s="10" t="s">
        <v>1317</v>
      </c>
      <c r="C20" s="11" t="s">
        <v>67</v>
      </c>
      <c r="D20" s="56">
        <v>60</v>
      </c>
      <c r="E20" s="12">
        <v>0</v>
      </c>
      <c r="F20" s="56">
        <v>60</v>
      </c>
      <c r="G20" s="13">
        <f>+VLOOKUP(Tabla11034534544554564793646596978879610911812813722923824731234[[#This Row],[Ingrediente]],Tabla34[#All],3,0)</f>
        <v>4.1835440000000004</v>
      </c>
      <c r="H20" s="14">
        <f>+Tabla11034534544554564793646596978879610911812813722923824731234[[#This Row],[Costo]]*Tabla11034534544554564793646596978879610911812813722923824731234[[#This Row],[Columna2]]</f>
        <v>251.01264000000003</v>
      </c>
      <c r="I20" s="4"/>
      <c r="J20" s="8" t="s">
        <v>12</v>
      </c>
      <c r="K20" s="15">
        <f>+K19*10%</f>
        <v>589.35295938349998</v>
      </c>
    </row>
    <row r="21" spans="2:13" x14ac:dyDescent="0.3">
      <c r="B21" s="10" t="s">
        <v>168</v>
      </c>
      <c r="C21" s="11" t="s">
        <v>67</v>
      </c>
      <c r="D21" s="56">
        <v>30</v>
      </c>
      <c r="E21" s="12">
        <v>0</v>
      </c>
      <c r="F21" s="56">
        <v>30</v>
      </c>
      <c r="G21" s="13">
        <f>+VLOOKUP(Tabla11034534544554564793646596978879610911812813722923824731234[[#This Row],[Ingrediente]],Tabla34[#All],3,0)</f>
        <v>10.86600002</v>
      </c>
      <c r="H21" s="14">
        <f>+Tabla11034534544554564793646596978879610911812813722923824731234[[#This Row],[Costo]]*Tabla11034534544554564793646596978879610911812813722923824731234[[#This Row],[Columna2]]</f>
        <v>325.98000059999998</v>
      </c>
      <c r="I21" s="4"/>
      <c r="J21" s="8" t="s">
        <v>13</v>
      </c>
      <c r="K21" s="15">
        <f>+K19+K20</f>
        <v>6482.8825532185001</v>
      </c>
    </row>
    <row r="22" spans="2:13" x14ac:dyDescent="0.3">
      <c r="B22" s="10" t="s">
        <v>96</v>
      </c>
      <c r="C22" s="11" t="s">
        <v>847</v>
      </c>
      <c r="D22" s="12">
        <v>0.5</v>
      </c>
      <c r="E22" s="12">
        <v>0</v>
      </c>
      <c r="F22" s="12">
        <v>0.5</v>
      </c>
      <c r="G22" s="13">
        <f>+VLOOKUP(Tabla11034534544554564793646596978879610911812813722923824731234[[#This Row],[Ingrediente]],Tabla34[#All],3,0)</f>
        <v>4986</v>
      </c>
      <c r="H22" s="14">
        <f>+Tabla11034534544554564793646596978879610911812813722923824731234[[#This Row],[Costo]]*Tabla11034534544554564793646596978879610911812813722923824731234[[#This Row],[Columna2]]</f>
        <v>2493</v>
      </c>
      <c r="I22" s="4"/>
      <c r="J22" s="20" t="s">
        <v>14</v>
      </c>
      <c r="K22" s="21">
        <v>27000</v>
      </c>
    </row>
    <row r="23" spans="2:13" x14ac:dyDescent="0.3">
      <c r="B23" s="10" t="s">
        <v>95</v>
      </c>
      <c r="C23" s="11" t="s">
        <v>847</v>
      </c>
      <c r="D23" s="12">
        <v>0.5</v>
      </c>
      <c r="E23" s="12">
        <v>0</v>
      </c>
      <c r="F23" s="12">
        <v>0.5</v>
      </c>
      <c r="G23" s="13">
        <f>+VLOOKUP(Tabla11034534544554564793646596978879610911812813722923824731234[[#This Row],[Ingrediente]],Tabla34[#All],3,0)</f>
        <v>5133.6666666700003</v>
      </c>
      <c r="H23" s="14">
        <f>+Tabla11034534544554564793646596978879610911812813722923824731234[[#This Row],[Costo]]*Tabla11034534544554564793646596978879610911812813722923824731234[[#This Row],[Columna2]]</f>
        <v>2566.8333333350001</v>
      </c>
      <c r="I23" s="4"/>
      <c r="J23" s="8" t="s">
        <v>15</v>
      </c>
      <c r="K23" s="15">
        <f>+K22/1.08*0.08</f>
        <v>2000</v>
      </c>
    </row>
    <row r="24" spans="2:13" x14ac:dyDescent="0.3">
      <c r="B24" s="10" t="s">
        <v>816</v>
      </c>
      <c r="C24" s="11" t="s">
        <v>67</v>
      </c>
      <c r="D24" s="12">
        <v>5</v>
      </c>
      <c r="E24" s="12">
        <v>0</v>
      </c>
      <c r="F24" s="12">
        <v>5</v>
      </c>
      <c r="G24" s="13">
        <f>+VLOOKUP(Tabla11034534544554564793646596978879610911812813722923824731234[[#This Row],[Ingrediente]],Tabla34[#All],3,0)</f>
        <v>45.040723980000003</v>
      </c>
      <c r="H24" s="14">
        <f>+Tabla11034534544554564793646596978879610911812813722923824731234[[#This Row],[Costo]]*Tabla11034534544554564793646596978879610911812813722923824731234[[#This Row],[Columna2]]</f>
        <v>225.20361990000001</v>
      </c>
      <c r="I24" s="4"/>
      <c r="J24" s="8" t="s">
        <v>16</v>
      </c>
      <c r="K24" s="15">
        <f>+K22-K23</f>
        <v>25000</v>
      </c>
    </row>
    <row r="25" spans="2:13" x14ac:dyDescent="0.3">
      <c r="B25" s="10" t="s">
        <v>748</v>
      </c>
      <c r="C25" s="11" t="s">
        <v>67</v>
      </c>
      <c r="D25" s="12">
        <v>3</v>
      </c>
      <c r="E25" s="12">
        <v>0</v>
      </c>
      <c r="F25" s="12">
        <v>3</v>
      </c>
      <c r="G25" s="13">
        <f>+VLOOKUP(Tabla11034534544554564793646596978879610911812813722923824731234[[#This Row],[Ingrediente]],Tabla34[#All],3,0)</f>
        <v>10.5</v>
      </c>
      <c r="H25" s="14">
        <f>+Tabla11034534544554564793646596978879610911812813722923824731234[[#This Row],[Costo]]*Tabla11034534544554564793646596978879610911812813722923824731234[[#This Row],[Columna2]]</f>
        <v>31.5</v>
      </c>
      <c r="I25" s="4"/>
      <c r="J25" s="8" t="s">
        <v>17</v>
      </c>
      <c r="K25" s="22">
        <f>+K21/K24</f>
        <v>0.25931530212873999</v>
      </c>
    </row>
    <row r="26" spans="2:13" x14ac:dyDescent="0.3">
      <c r="B26" s="16"/>
      <c r="C26" s="17"/>
      <c r="D26" s="17"/>
      <c r="E26" s="17"/>
      <c r="F26" s="17"/>
      <c r="G26" s="18"/>
      <c r="H26" s="18">
        <f>SUBTOTAL(109,Tabla11034534544554564793646596978879610911812813722923824731234[Total costo])</f>
        <v>5893.529593835</v>
      </c>
      <c r="I26" s="4"/>
      <c r="J26" s="8" t="s">
        <v>18</v>
      </c>
      <c r="K26" s="23">
        <f>+K24-K21</f>
        <v>18517.1174467815</v>
      </c>
    </row>
    <row r="27" spans="2:13" x14ac:dyDescent="0.3">
      <c r="I27" s="4"/>
      <c r="J27" s="8" t="s">
        <v>19</v>
      </c>
      <c r="K27" s="25">
        <f>+K26/K21</f>
        <v>2.8563092566883643</v>
      </c>
    </row>
    <row r="28" spans="2:13" x14ac:dyDescent="0.3">
      <c r="G28" s="4"/>
      <c r="H28" s="4"/>
      <c r="I28" s="26"/>
    </row>
    <row r="29" spans="2:13" ht="15.6" x14ac:dyDescent="0.3">
      <c r="B29" s="1" t="s">
        <v>1348</v>
      </c>
      <c r="C29" s="2"/>
      <c r="D29" s="2"/>
      <c r="E29" s="3"/>
      <c r="F29" s="3"/>
      <c r="G29" s="3"/>
      <c r="H29" s="3"/>
      <c r="I29" s="27"/>
      <c r="J29" s="399" t="s">
        <v>0</v>
      </c>
      <c r="K29" s="399"/>
      <c r="M29" s="377" t="s">
        <v>1394</v>
      </c>
    </row>
    <row r="30" spans="2:13" x14ac:dyDescent="0.3">
      <c r="B30" s="5" t="s">
        <v>857</v>
      </c>
      <c r="C30" s="6" t="s">
        <v>895</v>
      </c>
      <c r="D30" s="6" t="s">
        <v>892</v>
      </c>
      <c r="E30" s="6" t="s">
        <v>893</v>
      </c>
      <c r="F30" s="6" t="s">
        <v>894</v>
      </c>
      <c r="G30" s="7" t="s">
        <v>901</v>
      </c>
      <c r="H30" s="7" t="s">
        <v>902</v>
      </c>
      <c r="J30" s="8" t="s">
        <v>6</v>
      </c>
      <c r="K30" s="9">
        <f>SUM(Tabla11034534544554564793637476070798897110119129138230239248140235[Coste LÃ­nea])</f>
        <v>8189.4466673300003</v>
      </c>
      <c r="M30" s="346"/>
    </row>
    <row r="31" spans="2:13" x14ac:dyDescent="0.3">
      <c r="B31" s="10" t="s">
        <v>800</v>
      </c>
      <c r="C31" s="11" t="s">
        <v>605</v>
      </c>
      <c r="D31" s="12">
        <v>1</v>
      </c>
      <c r="E31" s="12">
        <v>0</v>
      </c>
      <c r="F31" s="12">
        <v>1</v>
      </c>
      <c r="G31" s="13">
        <f>+VLOOKUP(Tabla11034534544554564793637476070798897110119129138230239248140235[[#This Row],[ArtÃ­culo]],Tabla34[#All],3,0)</f>
        <v>1594</v>
      </c>
      <c r="H31" s="14">
        <f>+Tabla11034534544554564793637476070798897110119129138230239248140235[[#This Row],[Coste Componente]]*Tabla11034534544554564793637476070798897110119129138230239248140235[[#This Row],[Unidades]]</f>
        <v>1594</v>
      </c>
      <c r="J31" s="8" t="s">
        <v>12</v>
      </c>
      <c r="K31" s="15">
        <f>+K30*10%</f>
        <v>818.94466673300008</v>
      </c>
    </row>
    <row r="32" spans="2:13" x14ac:dyDescent="0.3">
      <c r="B32" s="10" t="s">
        <v>168</v>
      </c>
      <c r="C32" s="11" t="s">
        <v>67</v>
      </c>
      <c r="D32" s="12">
        <v>30</v>
      </c>
      <c r="E32" s="12">
        <v>0</v>
      </c>
      <c r="F32" s="12">
        <v>30</v>
      </c>
      <c r="G32" s="13">
        <f>+VLOOKUP(Tabla11034534544554564793637476070798897110119129138230239248140235[[#This Row],[ArtÃ­culo]],Tabla34[#All],3,0)</f>
        <v>10.86600002</v>
      </c>
      <c r="H32" s="14">
        <f>+Tabla11034534544554564793637476070798897110119129138230239248140235[[#This Row],[Coste Componente]]*Tabla11034534544554564793637476070798897110119129138230239248140235[[#This Row],[Unidades]]</f>
        <v>325.98000059999998</v>
      </c>
      <c r="I32" s="4"/>
      <c r="J32" s="8" t="s">
        <v>13</v>
      </c>
      <c r="K32" s="15">
        <f>+K30+K31</f>
        <v>9008.3913340630006</v>
      </c>
    </row>
    <row r="33" spans="2:13" x14ac:dyDescent="0.3">
      <c r="B33" s="10" t="s">
        <v>192</v>
      </c>
      <c r="C33" s="11" t="s">
        <v>847</v>
      </c>
      <c r="D33" s="12">
        <v>1</v>
      </c>
      <c r="E33" s="12">
        <v>0</v>
      </c>
      <c r="F33" s="12">
        <v>1</v>
      </c>
      <c r="G33" s="13">
        <f>+VLOOKUP(Tabla11034534544554564793637476070798897110119129138230239248140235[[#This Row],[ArtÃ­culo]],Tabla34[#All],3,0)</f>
        <v>4986.0833333299997</v>
      </c>
      <c r="H33" s="109">
        <f>+Tabla11034534544554564793637476070798897110119129138230239248140235[[#This Row],[Coste Componente]]*Tabla11034534544554564793637476070798897110119129138230239248140235[[#This Row],[Unidades]]</f>
        <v>4986.0833333299997</v>
      </c>
      <c r="I33" s="4"/>
      <c r="J33" s="20" t="s">
        <v>14</v>
      </c>
      <c r="K33" s="21">
        <v>27000</v>
      </c>
    </row>
    <row r="34" spans="2:13" x14ac:dyDescent="0.3">
      <c r="B34" s="10" t="s">
        <v>449</v>
      </c>
      <c r="C34" s="11" t="s">
        <v>67</v>
      </c>
      <c r="D34" s="12">
        <v>20</v>
      </c>
      <c r="E34" s="12">
        <v>0</v>
      </c>
      <c r="F34" s="12">
        <v>20</v>
      </c>
      <c r="G34" s="13">
        <f>+VLOOKUP(Tabla11034534544554564793637476070798897110119129138230239248140235[[#This Row],[ArtÃ­culo]],Tabla34[#All],3,0)</f>
        <v>46.669166670000003</v>
      </c>
      <c r="H34" s="14">
        <f>+Tabla11034534544554564793637476070798897110119129138230239248140235[[#This Row],[Coste Componente]]*Tabla11034534544554564793637476070798897110119129138230239248140235[[#This Row],[Unidades]]</f>
        <v>933.38333340000008</v>
      </c>
      <c r="I34" s="4"/>
      <c r="J34" s="8" t="s">
        <v>15</v>
      </c>
      <c r="K34" s="15">
        <f>+K33/1.08*0.08</f>
        <v>2000</v>
      </c>
    </row>
    <row r="35" spans="2:13" x14ac:dyDescent="0.3">
      <c r="B35" s="10" t="s">
        <v>886</v>
      </c>
      <c r="C35" s="11" t="s">
        <v>67</v>
      </c>
      <c r="D35" s="12">
        <v>1</v>
      </c>
      <c r="E35" s="12">
        <v>0</v>
      </c>
      <c r="F35" s="12">
        <v>1</v>
      </c>
      <c r="G35" s="13">
        <f>+VLOOKUP(Tabla11034534544554564793637476070798897110119129138230239248140235[[#This Row],[ArtÃ­culo]],Tabla34[#All],3,0)</f>
        <v>350</v>
      </c>
      <c r="H35" s="14">
        <f>+Tabla11034534544554564793637476070798897110119129138230239248140235[[#This Row],[Coste Componente]]*Tabla11034534544554564793637476070798897110119129138230239248140235[[#This Row],[Unidades]]</f>
        <v>350</v>
      </c>
      <c r="I35" s="4"/>
      <c r="J35" s="8" t="s">
        <v>16</v>
      </c>
      <c r="K35" s="15">
        <f>+K33-K34</f>
        <v>25000</v>
      </c>
    </row>
    <row r="36" spans="2:13" x14ac:dyDescent="0.3">
      <c r="B36" s="16"/>
      <c r="C36" s="17"/>
      <c r="D36" s="17"/>
      <c r="E36" s="17"/>
      <c r="F36" s="17"/>
      <c r="G36" s="18"/>
      <c r="H36" s="18">
        <f>SUBTOTAL(109,Tabla11034534544554564793637476070798897110119129138230239248140235[Coste LÃ­nea])</f>
        <v>8189.4466673300003</v>
      </c>
      <c r="I36" s="4"/>
      <c r="J36" s="8" t="s">
        <v>17</v>
      </c>
      <c r="K36" s="22">
        <f>+K32/K35</f>
        <v>0.36033565336252005</v>
      </c>
    </row>
    <row r="37" spans="2:13" x14ac:dyDescent="0.3">
      <c r="I37" s="4"/>
      <c r="J37" s="8" t="s">
        <v>18</v>
      </c>
      <c r="K37" s="23">
        <f>+K35-K32</f>
        <v>15991.608665936999</v>
      </c>
    </row>
    <row r="38" spans="2:13" x14ac:dyDescent="0.3">
      <c r="I38" s="4"/>
      <c r="J38" s="8" t="s">
        <v>19</v>
      </c>
      <c r="K38" s="25">
        <f>+K37/K32</f>
        <v>1.7751902723706832</v>
      </c>
    </row>
    <row r="39" spans="2:13" x14ac:dyDescent="0.3">
      <c r="G39" s="4"/>
      <c r="H39" s="4"/>
      <c r="I39" s="31"/>
    </row>
    <row r="41" spans="2:13" ht="15.6" x14ac:dyDescent="0.3">
      <c r="B41" s="1" t="s">
        <v>1349</v>
      </c>
      <c r="C41" s="2"/>
      <c r="D41" s="2"/>
      <c r="E41" s="3"/>
      <c r="F41" s="3"/>
      <c r="G41" s="3"/>
      <c r="H41" s="3"/>
      <c r="I41" s="27"/>
      <c r="J41" s="399" t="s">
        <v>0</v>
      </c>
      <c r="K41" s="399"/>
      <c r="M41" s="377" t="s">
        <v>1394</v>
      </c>
    </row>
    <row r="42" spans="2:13" x14ac:dyDescent="0.3">
      <c r="B42" s="5" t="s">
        <v>857</v>
      </c>
      <c r="C42" s="6" t="s">
        <v>895</v>
      </c>
      <c r="D42" s="6" t="s">
        <v>892</v>
      </c>
      <c r="E42" s="6" t="s">
        <v>893</v>
      </c>
      <c r="F42" s="6" t="s">
        <v>894</v>
      </c>
      <c r="G42" s="7" t="s">
        <v>901</v>
      </c>
      <c r="H42" s="7" t="s">
        <v>902</v>
      </c>
      <c r="J42" s="8" t="s">
        <v>6</v>
      </c>
      <c r="K42" s="9">
        <f>SUM(Tabla110345345445545647936374760707988971101191291382302392481402356[Coste LÃ­nea])</f>
        <v>6290.1475471000003</v>
      </c>
      <c r="M42" s="346"/>
    </row>
    <row r="43" spans="2:13" x14ac:dyDescent="0.3">
      <c r="B43" s="10" t="s">
        <v>1308</v>
      </c>
      <c r="C43" s="11" t="s">
        <v>67</v>
      </c>
      <c r="D43" s="12">
        <v>60</v>
      </c>
      <c r="E43" s="12">
        <v>0</v>
      </c>
      <c r="F43" s="12">
        <v>60</v>
      </c>
      <c r="G43" s="13">
        <f>+VLOOKUP(Tabla110345345445545647936374760707988971101191291382302392481402356[[#This Row],[ArtÃ­culo]],Tabla34[#All],3,0)</f>
        <v>4.8070332699999998</v>
      </c>
      <c r="H43" s="14">
        <f>+Tabla110345345445545647936374760707988971101191291382302392481402356[[#This Row],[Coste Componente]]*Tabla110345345445545647936374760707988971101191291382302392481402356[[#This Row],[Unidades]]</f>
        <v>288.42199619999997</v>
      </c>
      <c r="J43" s="8" t="s">
        <v>12</v>
      </c>
      <c r="K43" s="15">
        <f>+K42*10%</f>
        <v>629.01475471000003</v>
      </c>
    </row>
    <row r="44" spans="2:13" x14ac:dyDescent="0.3">
      <c r="B44" s="10" t="s">
        <v>168</v>
      </c>
      <c r="C44" s="11" t="s">
        <v>67</v>
      </c>
      <c r="D44" s="12">
        <v>30</v>
      </c>
      <c r="E44" s="12">
        <v>0</v>
      </c>
      <c r="F44" s="12">
        <v>30</v>
      </c>
      <c r="G44" s="13">
        <f>+VLOOKUP(Tabla110345345445545647936374760707988971101191291382302392481402356[[#This Row],[ArtÃ­culo]],Tabla34[#All],3,0)</f>
        <v>10.86600002</v>
      </c>
      <c r="H44" s="14">
        <f>+Tabla110345345445545647936374760707988971101191291382302392481402356[[#This Row],[Coste Componente]]*Tabla110345345445545647936374760707988971101191291382302392481402356[[#This Row],[Unidades]]</f>
        <v>325.98000059999998</v>
      </c>
      <c r="I44" s="4"/>
      <c r="J44" s="8" t="s">
        <v>13</v>
      </c>
      <c r="K44" s="15">
        <f>+K42+K43</f>
        <v>6919.1623018099999</v>
      </c>
    </row>
    <row r="45" spans="2:13" x14ac:dyDescent="0.3">
      <c r="B45" s="10" t="s">
        <v>134</v>
      </c>
      <c r="C45" s="11" t="s">
        <v>67</v>
      </c>
      <c r="D45" s="12">
        <v>15</v>
      </c>
      <c r="E45" s="12">
        <v>0</v>
      </c>
      <c r="F45" s="12">
        <v>15</v>
      </c>
      <c r="G45" s="13">
        <f>+VLOOKUP(Tabla110345345445545647936374760707988971101191291382302392481402356[[#This Row],[ArtÃ­culo]],Tabla34[#All],3,0)</f>
        <v>5.7702915900000002</v>
      </c>
      <c r="H45" s="109">
        <f>+Tabla110345345445545647936374760707988971101191291382302392481402356[[#This Row],[Coste Componente]]*Tabla110345345445545647936374760707988971101191291382302392481402356[[#This Row],[Unidades]]</f>
        <v>86.554373850000005</v>
      </c>
      <c r="I45" s="4"/>
      <c r="J45" s="20" t="s">
        <v>14</v>
      </c>
      <c r="K45" s="21">
        <v>27000</v>
      </c>
    </row>
    <row r="46" spans="2:13" x14ac:dyDescent="0.3">
      <c r="B46" s="10" t="s">
        <v>177</v>
      </c>
      <c r="C46" s="11" t="s">
        <v>847</v>
      </c>
      <c r="D46" s="12">
        <v>1</v>
      </c>
      <c r="E46" s="12">
        <v>0</v>
      </c>
      <c r="F46" s="12">
        <v>1</v>
      </c>
      <c r="G46" s="13">
        <f>+VLOOKUP(Tabla110345345445545647936374760707988971101191291382302392481402356[[#This Row],[ArtÃ­culo]],Tabla34[#All],3,0)</f>
        <v>5132.75</v>
      </c>
      <c r="H46" s="14">
        <f>+Tabla110345345445545647936374760707988971101191291382302392481402356[[#This Row],[Coste Componente]]*Tabla110345345445545647936374760707988971101191291382302392481402356[[#This Row],[Unidades]]</f>
        <v>5132.75</v>
      </c>
      <c r="I46" s="4"/>
      <c r="J46" s="8" t="s">
        <v>15</v>
      </c>
      <c r="K46" s="15">
        <f>+K45/1.08*0.08</f>
        <v>2000</v>
      </c>
    </row>
    <row r="47" spans="2:13" x14ac:dyDescent="0.3">
      <c r="B47" s="10" t="s">
        <v>801</v>
      </c>
      <c r="C47" s="11" t="s">
        <v>67</v>
      </c>
      <c r="D47" s="12">
        <v>5</v>
      </c>
      <c r="E47" s="12">
        <v>0</v>
      </c>
      <c r="F47" s="12">
        <v>5</v>
      </c>
      <c r="G47" s="13">
        <f>+VLOOKUP(Tabla110345345445545647936374760707988971101191291382302392481402356[[#This Row],[ArtÃ­culo]],Tabla34[#All],3,0)</f>
        <v>87.08823529</v>
      </c>
      <c r="H47" s="14">
        <f>+Tabla110345345445545647936374760707988971101191291382302392481402356[[#This Row],[Coste Componente]]*Tabla110345345445545647936374760707988971101191291382302392481402356[[#This Row],[Unidades]]</f>
        <v>435.44117645</v>
      </c>
      <c r="I47" s="4"/>
      <c r="J47" s="8" t="s">
        <v>16</v>
      </c>
      <c r="K47" s="15">
        <f>+K45-K46</f>
        <v>25000</v>
      </c>
    </row>
    <row r="48" spans="2:13" x14ac:dyDescent="0.3">
      <c r="B48" s="10" t="s">
        <v>748</v>
      </c>
      <c r="C48" s="11" t="s">
        <v>67</v>
      </c>
      <c r="D48" s="12">
        <v>2</v>
      </c>
      <c r="E48" s="12">
        <v>0</v>
      </c>
      <c r="F48" s="12">
        <v>2</v>
      </c>
      <c r="G48" s="13">
        <f>+VLOOKUP(Tabla110345345445545647936374760707988971101191291382302392481402356[[#This Row],[ArtÃ­culo]],Tabla34[#All],3,0)</f>
        <v>10.5</v>
      </c>
      <c r="H48" s="14">
        <f>+Tabla110345345445545647936374760707988971101191291382302392481402356[[#This Row],[Coste Componente]]*Tabla110345345445545647936374760707988971101191291382302392481402356[[#This Row],[Unidades]]</f>
        <v>21</v>
      </c>
      <c r="I48" s="4"/>
      <c r="J48" s="8" t="s">
        <v>17</v>
      </c>
      <c r="K48" s="22">
        <f>+K44/K47</f>
        <v>0.27676649207240001</v>
      </c>
    </row>
    <row r="49" spans="2:11" x14ac:dyDescent="0.3">
      <c r="B49" s="16"/>
      <c r="C49" s="17"/>
      <c r="D49" s="17"/>
      <c r="E49" s="17"/>
      <c r="F49" s="17"/>
      <c r="G49" s="18"/>
      <c r="H49" s="18">
        <f>SUBTOTAL(109,Tabla110345345445545647936374760707988971101191291382302392481402356[Coste LÃ­nea])</f>
        <v>6290.1475471000003</v>
      </c>
      <c r="I49" s="4"/>
      <c r="J49" s="8" t="s">
        <v>18</v>
      </c>
      <c r="K49" s="23">
        <f>+K47-K44</f>
        <v>18080.83769819</v>
      </c>
    </row>
    <row r="50" spans="2:11" x14ac:dyDescent="0.3">
      <c r="I50" s="4"/>
      <c r="J50" s="8" t="s">
        <v>19</v>
      </c>
      <c r="K50" s="25">
        <f>+K49/K44</f>
        <v>2.6131541521233275</v>
      </c>
    </row>
  </sheetData>
  <mergeCells count="4">
    <mergeCell ref="J6:K6"/>
    <mergeCell ref="J18:K18"/>
    <mergeCell ref="J29:K29"/>
    <mergeCell ref="J41:K41"/>
  </mergeCells>
  <phoneticPr fontId="16" type="noConversion"/>
  <conditionalFormatting sqref="K13">
    <cfRule type="cellIs" dxfId="2343" priority="21" operator="lessThan">
      <formula>0.3</formula>
    </cfRule>
    <cfRule type="cellIs" dxfId="2342" priority="22" operator="greaterThan">
      <formula>0.3</formula>
    </cfRule>
  </conditionalFormatting>
  <conditionalFormatting sqref="K25">
    <cfRule type="cellIs" dxfId="2341" priority="19" operator="lessThan">
      <formula>0.3</formula>
    </cfRule>
    <cfRule type="cellIs" dxfId="2340" priority="20" operator="greaterThan">
      <formula>0.3</formula>
    </cfRule>
  </conditionalFormatting>
  <conditionalFormatting sqref="K36">
    <cfRule type="cellIs" dxfId="2339" priority="17" operator="lessThan">
      <formula>0.3</formula>
    </cfRule>
    <cfRule type="cellIs" dxfId="2338" priority="18" operator="greaterThan">
      <formula>0.3</formula>
    </cfRule>
  </conditionalFormatting>
  <conditionalFormatting sqref="K48">
    <cfRule type="cellIs" dxfId="2337" priority="1" operator="lessThan">
      <formula>0.3</formula>
    </cfRule>
    <cfRule type="cellIs" dxfId="2336" priority="2" operator="greaterThan">
      <formula>0.3</formula>
    </cfRule>
  </conditionalFormatting>
  <pageMargins left="0.7" right="0.7" top="0.75" bottom="0.75" header="0.3" footer="0.3"/>
  <pageSetup orientation="portrait" horizontalDpi="360" verticalDpi="360" r:id="rId1"/>
  <drawing r:id="rId2"/>
  <tableParts count="8">
    <tablePart r:id="rId3"/>
    <tablePart r:id="rId4"/>
    <tablePart r:id="rId5"/>
    <tablePart r:id="rId6"/>
    <tablePart r:id="rId7"/>
    <tablePart r:id="rId8"/>
    <tablePart r:id="rId9"/>
    <tablePart r:id="rId1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49D9-BD72-426E-A262-24C49EE159B0}">
  <dimension ref="A6:O152"/>
  <sheetViews>
    <sheetView showGridLines="0" topLeftCell="A139" zoomScale="102" zoomScaleNormal="102" workbookViewId="0">
      <selection activeCell="M142" sqref="M142:M143"/>
    </sheetView>
  </sheetViews>
  <sheetFormatPr baseColWidth="10" defaultRowHeight="14.4" x14ac:dyDescent="0.3"/>
  <cols>
    <col min="1" max="1" width="4" customWidth="1"/>
    <col min="2" max="2" width="32" customWidth="1"/>
    <col min="3" max="6" width="7.77734375" customWidth="1"/>
    <col min="7" max="7" width="10.77734375" customWidth="1"/>
    <col min="8" max="8" width="12.5546875" customWidth="1"/>
    <col min="9" max="9" width="3.77734375" customWidth="1"/>
    <col min="10" max="10" width="27.21875" bestFit="1" customWidth="1"/>
  </cols>
  <sheetData>
    <row r="6" spans="1:13" ht="15.6" x14ac:dyDescent="0.3">
      <c r="A6" s="285"/>
      <c r="B6" s="1" t="s">
        <v>1337</v>
      </c>
      <c r="C6" s="2"/>
      <c r="D6" s="2"/>
      <c r="E6" s="3"/>
      <c r="F6" s="3"/>
      <c r="G6" s="3"/>
      <c r="H6" s="3"/>
      <c r="I6" s="4"/>
      <c r="J6" s="399" t="s">
        <v>0</v>
      </c>
      <c r="K6" s="399"/>
      <c r="M6" s="377" t="s">
        <v>1394</v>
      </c>
    </row>
    <row r="7" spans="1:13" x14ac:dyDescent="0.3">
      <c r="B7" s="5" t="s">
        <v>1</v>
      </c>
      <c r="C7" s="6" t="s">
        <v>2</v>
      </c>
      <c r="D7" s="6" t="s">
        <v>3</v>
      </c>
      <c r="E7" s="6" t="s">
        <v>920</v>
      </c>
      <c r="F7" s="6" t="s">
        <v>319</v>
      </c>
      <c r="G7" s="7" t="s">
        <v>4</v>
      </c>
      <c r="H7" s="7" t="s">
        <v>5</v>
      </c>
      <c r="I7" s="4"/>
      <c r="J7" s="8" t="s">
        <v>6</v>
      </c>
      <c r="K7" s="9">
        <f>SUM(Tabla110345345445545647945586877869510811712713622823724627[Total costo])</f>
        <v>55320.50874687</v>
      </c>
      <c r="M7" s="346"/>
    </row>
    <row r="8" spans="1:13" x14ac:dyDescent="0.3">
      <c r="B8" s="10" t="s">
        <v>110</v>
      </c>
      <c r="C8" s="11" t="s">
        <v>847</v>
      </c>
      <c r="D8" s="12">
        <v>1</v>
      </c>
      <c r="E8" s="12">
        <v>0</v>
      </c>
      <c r="F8" s="12">
        <v>1</v>
      </c>
      <c r="G8" s="13">
        <f>+VLOOKUP(Tabla110345345445545647945586877869510811712713622823724627[[#This Row],[Ingrediente]],Tabla34[#All],3,0)</f>
        <v>37617</v>
      </c>
      <c r="H8" s="14">
        <f>+Tabla110345345445545647945586877869510811712713622823724627[[#This Row],[Costo]]*Tabla110345345445545647945586877869510811712713622823724627[[#This Row],[Columna2]]</f>
        <v>37617</v>
      </c>
      <c r="I8" s="4"/>
      <c r="J8" s="8" t="s">
        <v>12</v>
      </c>
      <c r="K8" s="15">
        <f>+K7*10%</f>
        <v>5532.050874687</v>
      </c>
    </row>
    <row r="9" spans="1:13" x14ac:dyDescent="0.3">
      <c r="B9" s="10" t="s">
        <v>660</v>
      </c>
      <c r="C9" s="11" t="s">
        <v>605</v>
      </c>
      <c r="D9" s="12">
        <v>1</v>
      </c>
      <c r="E9" s="12">
        <v>0</v>
      </c>
      <c r="F9" s="12">
        <v>1</v>
      </c>
      <c r="G9" s="13">
        <f>+VLOOKUP(Tabla110345345445545647945586877869510811712713622823724627[[#This Row],[Ingrediente]],Tabla34[#All],3,0)</f>
        <v>3359</v>
      </c>
      <c r="H9" s="14">
        <f>+Tabla110345345445545647945586877869510811712713622823724627[[#This Row],[Costo]]*Tabla110345345445545647945586877869510811712713622823724627[[#This Row],[Columna2]]</f>
        <v>3359</v>
      </c>
      <c r="I9" s="4"/>
      <c r="J9" s="8" t="s">
        <v>13</v>
      </c>
      <c r="K9" s="15">
        <f>+K7+K8</f>
        <v>60852.559621556997</v>
      </c>
    </row>
    <row r="10" spans="1:13" x14ac:dyDescent="0.3">
      <c r="B10" s="10" t="s">
        <v>102</v>
      </c>
      <c r="C10" s="11" t="s">
        <v>605</v>
      </c>
      <c r="D10" s="12">
        <v>1</v>
      </c>
      <c r="E10" s="12">
        <v>0</v>
      </c>
      <c r="F10" s="12">
        <v>1</v>
      </c>
      <c r="G10" s="13">
        <f>+VLOOKUP(Tabla110345345445545647945586877869510811712713622823724627[[#This Row],[Ingrediente]],Tabla34[#All],3,0)</f>
        <v>2471.7916666699998</v>
      </c>
      <c r="H10" s="14">
        <f>+Tabla110345345445545647945586877869510811712713622823724627[[#This Row],[Costo]]*Tabla110345345445545647945586877869510811712713622823724627[[#This Row],[Columna2]]</f>
        <v>2471.7916666699998</v>
      </c>
      <c r="I10" s="4"/>
      <c r="J10" s="20" t="s">
        <v>14</v>
      </c>
      <c r="K10" s="21">
        <v>179000</v>
      </c>
    </row>
    <row r="11" spans="1:13" x14ac:dyDescent="0.3">
      <c r="B11" s="10" t="s">
        <v>1232</v>
      </c>
      <c r="C11" s="11" t="s">
        <v>67</v>
      </c>
      <c r="D11" s="12">
        <v>60</v>
      </c>
      <c r="E11" s="12">
        <v>0</v>
      </c>
      <c r="F11" s="12">
        <v>60</v>
      </c>
      <c r="G11" s="13">
        <f>+VLOOKUP(Tabla110345345445545647945586877869510811712713622823724627[[#This Row],[Ingrediente]],Tabla34[#All],3,0)</f>
        <v>13</v>
      </c>
      <c r="H11" s="14">
        <f>+Tabla110345345445545647945586877869510811712713622823724627[[#This Row],[Costo]]*Tabla110345345445545647945586877869510811712713622823724627[[#This Row],[Columna2]]</f>
        <v>780</v>
      </c>
      <c r="I11" s="4"/>
      <c r="J11" s="8" t="s">
        <v>15</v>
      </c>
      <c r="K11" s="15">
        <f>+K10/1.08*0.08</f>
        <v>13259.259259259259</v>
      </c>
    </row>
    <row r="12" spans="1:13" x14ac:dyDescent="0.3">
      <c r="B12" s="10" t="s">
        <v>168</v>
      </c>
      <c r="C12" s="11" t="s">
        <v>67</v>
      </c>
      <c r="D12" s="12">
        <v>60</v>
      </c>
      <c r="E12" s="12">
        <v>0</v>
      </c>
      <c r="F12" s="12">
        <v>60</v>
      </c>
      <c r="G12" s="13">
        <f>+VLOOKUP(Tabla110345345445545647945586877869510811712713622823724627[[#This Row],[Ingrediente]],Tabla34[#All],3,0)</f>
        <v>10.86600002</v>
      </c>
      <c r="H12" s="14">
        <f>+Tabla110345345445545647945586877869510811712713622823724627[[#This Row],[Costo]]*Tabla110345345445545647945586877869510811712713622823724627[[#This Row],[Columna2]]</f>
        <v>651.96000119999997</v>
      </c>
      <c r="I12" s="4"/>
      <c r="J12" s="8" t="s">
        <v>16</v>
      </c>
      <c r="K12" s="15">
        <f>+K10-K11</f>
        <v>165740.74074074073</v>
      </c>
    </row>
    <row r="13" spans="1:13" x14ac:dyDescent="0.3">
      <c r="B13" s="10" t="s">
        <v>134</v>
      </c>
      <c r="C13" s="11" t="s">
        <v>67</v>
      </c>
      <c r="D13" s="12">
        <v>60</v>
      </c>
      <c r="E13" s="12">
        <v>0</v>
      </c>
      <c r="F13" s="12">
        <v>60</v>
      </c>
      <c r="G13" s="13">
        <f>+VLOOKUP(Tabla110345345445545647945586877869510811712713622823724627[[#This Row],[Ingrediente]],Tabla34[#All],3,0)</f>
        <v>5.7702915900000002</v>
      </c>
      <c r="H13" s="14">
        <f>+Tabla110345345445545647945586877869510811712713622823724627[[#This Row],[Costo]]*Tabla110345345445545647945586877869510811712713622823724627[[#This Row],[Columna2]]</f>
        <v>346.21749540000002</v>
      </c>
      <c r="I13" s="4"/>
      <c r="J13" s="8" t="s">
        <v>17</v>
      </c>
      <c r="K13" s="22">
        <f>+K9/K12</f>
        <v>0.36715510833118192</v>
      </c>
    </row>
    <row r="14" spans="1:13" x14ac:dyDescent="0.3">
      <c r="B14" s="10" t="s">
        <v>96</v>
      </c>
      <c r="C14" s="11" t="s">
        <v>847</v>
      </c>
      <c r="D14" s="12">
        <v>1</v>
      </c>
      <c r="E14" s="12">
        <v>0</v>
      </c>
      <c r="F14" s="12">
        <v>1</v>
      </c>
      <c r="G14" s="13">
        <f>+VLOOKUP(Tabla110345345445545647945586877869510811712713622823724627[[#This Row],[Ingrediente]],Tabla34[#All],3,0)</f>
        <v>4986</v>
      </c>
      <c r="H14" s="14">
        <f>+Tabla110345345445545647945586877869510811712713622823724627[[#This Row],[Costo]]*Tabla110345345445545647945586877869510811712713622823724627[[#This Row],[Columna2]]</f>
        <v>4986</v>
      </c>
      <c r="I14" s="4"/>
      <c r="J14" s="8" t="s">
        <v>18</v>
      </c>
      <c r="K14" s="23">
        <f>+K12-K9</f>
        <v>104888.18111918373</v>
      </c>
    </row>
    <row r="15" spans="1:13" x14ac:dyDescent="0.3">
      <c r="B15" s="10" t="s">
        <v>449</v>
      </c>
      <c r="C15" s="11" t="s">
        <v>67</v>
      </c>
      <c r="D15" s="12">
        <v>80</v>
      </c>
      <c r="E15" s="12">
        <v>0</v>
      </c>
      <c r="F15" s="12">
        <v>80</v>
      </c>
      <c r="G15" s="13">
        <f>+VLOOKUP(Tabla110345345445545647945586877869510811712713622823724627[[#This Row],[Ingrediente]],Tabla34[#All],3,0)</f>
        <v>46.669166670000003</v>
      </c>
      <c r="H15" s="14">
        <f>+Tabla110345345445545647945586877869510811712713622823724627[[#This Row],[Costo]]*Tabla110345345445545647945586877869510811712713622823724627[[#This Row],[Columna2]]</f>
        <v>3733.5333336000003</v>
      </c>
      <c r="I15" s="4"/>
      <c r="J15" s="8" t="s">
        <v>19</v>
      </c>
      <c r="K15" s="25">
        <f>+K14/K9</f>
        <v>1.7236445232786417</v>
      </c>
    </row>
    <row r="16" spans="1:13" x14ac:dyDescent="0.3">
      <c r="B16" s="10" t="s">
        <v>799</v>
      </c>
      <c r="C16" s="11" t="s">
        <v>67</v>
      </c>
      <c r="D16" s="12">
        <v>55</v>
      </c>
      <c r="E16" s="12">
        <v>5</v>
      </c>
      <c r="F16" s="12">
        <v>57.895000000000003</v>
      </c>
      <c r="G16" s="13">
        <f>+VLOOKUP(Tabla110345345445545647945586877869510811712713622823724627[[#This Row],[Ingrediente]],Tabla34[#All],3,0)</f>
        <v>12.5</v>
      </c>
      <c r="H16" s="14">
        <f>+Tabla110345345445545647945586877869510811712713622823724627[[#This Row],[Costo]]*Tabla110345345445545647945586877869510811712713622823724627[[#This Row],[Columna2]]</f>
        <v>723.6875</v>
      </c>
      <c r="I16" s="31"/>
    </row>
    <row r="17" spans="1:15" x14ac:dyDescent="0.3">
      <c r="B17" s="10" t="s">
        <v>722</v>
      </c>
      <c r="C17" s="11" t="s">
        <v>67</v>
      </c>
      <c r="D17" s="12">
        <v>55</v>
      </c>
      <c r="E17" s="12">
        <v>5</v>
      </c>
      <c r="F17" s="12">
        <v>57.895000000000003</v>
      </c>
      <c r="G17" s="13">
        <f>+VLOOKUP(Tabla110345345445545647945586877869510811712713622823724627[[#This Row],[Ingrediente]],Tabla34[#All],3,0)</f>
        <v>6.25</v>
      </c>
      <c r="H17" s="14">
        <f>+Tabla110345345445545647945586877869510811712713622823724627[[#This Row],[Costo]]*Tabla110345345445545647945586877869510811712713622823724627[[#This Row],[Columna2]]</f>
        <v>361.84375</v>
      </c>
      <c r="I17" s="31"/>
    </row>
    <row r="18" spans="1:15" x14ac:dyDescent="0.3">
      <c r="B18" s="10" t="s">
        <v>733</v>
      </c>
      <c r="C18" s="11" t="s">
        <v>67</v>
      </c>
      <c r="D18" s="12">
        <v>55</v>
      </c>
      <c r="E18" s="12">
        <v>5</v>
      </c>
      <c r="F18" s="12">
        <v>57.895000000000003</v>
      </c>
      <c r="G18" s="13">
        <f>+VLOOKUP(Tabla110345345445545647945586877869510811712713622823724627[[#This Row],[Ingrediente]],Tabla34[#All],3,0)</f>
        <v>5</v>
      </c>
      <c r="H18" s="14">
        <f>+Tabla110345345445545647945586877869510811712713622823724627[[#This Row],[Costo]]*Tabla110345345445545647945586877869510811712713622823724627[[#This Row],[Columna2]]</f>
        <v>289.47500000000002</v>
      </c>
      <c r="I18" s="4"/>
    </row>
    <row r="19" spans="1:15" x14ac:dyDescent="0.3">
      <c r="B19" s="16"/>
      <c r="C19" s="17"/>
      <c r="D19" s="17"/>
      <c r="E19" s="17"/>
      <c r="F19" s="17"/>
      <c r="G19" s="18"/>
      <c r="H19" s="18">
        <f>SUBTOTAL(109,Tabla110345345445545647945586877869510811712713622823724627[Total costo])</f>
        <v>55320.50874687</v>
      </c>
    </row>
    <row r="20" spans="1:15" x14ac:dyDescent="0.3">
      <c r="G20" s="4"/>
      <c r="H20" s="4"/>
    </row>
    <row r="21" spans="1:15" ht="15.6" x14ac:dyDescent="0.3">
      <c r="A21" s="285"/>
      <c r="B21" s="1" t="s">
        <v>1341</v>
      </c>
      <c r="C21" s="2"/>
      <c r="D21" s="2"/>
      <c r="E21" s="3"/>
      <c r="F21" s="3"/>
      <c r="G21" s="3"/>
      <c r="H21" s="3"/>
      <c r="I21" s="4"/>
      <c r="J21" s="399" t="s">
        <v>0</v>
      </c>
      <c r="K21" s="399"/>
      <c r="M21" s="377" t="s">
        <v>1394</v>
      </c>
    </row>
    <row r="22" spans="1:15" x14ac:dyDescent="0.3">
      <c r="B22" s="5" t="s">
        <v>1</v>
      </c>
      <c r="C22" s="6" t="s">
        <v>2</v>
      </c>
      <c r="D22" s="6" t="s">
        <v>3</v>
      </c>
      <c r="E22" s="6" t="s">
        <v>920</v>
      </c>
      <c r="F22" s="6" t="s">
        <v>319</v>
      </c>
      <c r="G22" s="7" t="s">
        <v>4</v>
      </c>
      <c r="H22" s="7" t="s">
        <v>5</v>
      </c>
      <c r="I22" s="4"/>
      <c r="J22" s="8" t="s">
        <v>6</v>
      </c>
      <c r="K22" s="9">
        <f>SUM(Tabla11034534544554564793646596978879610911812813722923824731[Total costo])</f>
        <v>37730.50874687</v>
      </c>
      <c r="M22" s="346"/>
    </row>
    <row r="23" spans="1:15" x14ac:dyDescent="0.3">
      <c r="B23" s="10" t="s">
        <v>239</v>
      </c>
      <c r="C23" s="11" t="s">
        <v>847</v>
      </c>
      <c r="D23" s="12">
        <v>5</v>
      </c>
      <c r="E23" s="12">
        <v>0</v>
      </c>
      <c r="F23" s="12">
        <v>5</v>
      </c>
      <c r="G23" s="13">
        <f>+VLOOKUP(Tabla11034534544554564793646596978879610911812813722923824731[[#This Row],[Ingrediente]],Tabla34[#All],3,0)</f>
        <v>4005.4</v>
      </c>
      <c r="H23" s="14">
        <f>+Tabla11034534544554564793646596978879610911812813722923824731[[#This Row],[Costo]]*Tabla11034534544554564793646596978879610911812813722923824731[[#This Row],[Columna2]]</f>
        <v>20027</v>
      </c>
      <c r="I23" s="4"/>
      <c r="J23" s="8" t="s">
        <v>12</v>
      </c>
      <c r="K23" s="15">
        <f>+K22*10%</f>
        <v>3773.050874687</v>
      </c>
      <c r="O23" s="29"/>
    </row>
    <row r="24" spans="1:15" x14ac:dyDescent="0.3">
      <c r="B24" s="10" t="s">
        <v>660</v>
      </c>
      <c r="C24" s="11" t="s">
        <v>605</v>
      </c>
      <c r="D24" s="12">
        <v>1</v>
      </c>
      <c r="E24" s="12">
        <v>0</v>
      </c>
      <c r="F24" s="12">
        <v>1</v>
      </c>
      <c r="G24" s="13">
        <f>+VLOOKUP(Tabla11034534544554564793646596978879610911812813722923824731[[#This Row],[Ingrediente]],Tabla34[#All],3,0)</f>
        <v>3359</v>
      </c>
      <c r="H24" s="14">
        <f>+Tabla11034534544554564793646596978879610911812813722923824731[[#This Row],[Costo]]*Tabla11034534544554564793646596978879610911812813722923824731[[#This Row],[Columna2]]</f>
        <v>3359</v>
      </c>
      <c r="I24" s="4"/>
      <c r="J24" s="8" t="s">
        <v>13</v>
      </c>
      <c r="K24" s="15">
        <f>+K22+K23</f>
        <v>41503.559621556997</v>
      </c>
    </row>
    <row r="25" spans="1:15" x14ac:dyDescent="0.3">
      <c r="B25" s="10" t="s">
        <v>102</v>
      </c>
      <c r="C25" s="11" t="s">
        <v>605</v>
      </c>
      <c r="D25" s="12">
        <v>1</v>
      </c>
      <c r="E25" s="12">
        <v>0</v>
      </c>
      <c r="F25" s="12">
        <v>1</v>
      </c>
      <c r="G25" s="13">
        <f>+VLOOKUP(Tabla11034534544554564793646596978879610911812813722923824731[[#This Row],[Ingrediente]],Tabla34[#All],3,0)</f>
        <v>2471.7916666699998</v>
      </c>
      <c r="H25" s="14">
        <f>+Tabla11034534544554564793646596978879610911812813722923824731[[#This Row],[Costo]]*Tabla11034534544554564793646596978879610911812813722923824731[[#This Row],[Columna2]]</f>
        <v>2471.7916666699998</v>
      </c>
      <c r="I25" s="4"/>
      <c r="J25" s="20" t="s">
        <v>14</v>
      </c>
      <c r="K25" s="21">
        <v>120000</v>
      </c>
    </row>
    <row r="26" spans="1:15" x14ac:dyDescent="0.3">
      <c r="B26" s="10" t="s">
        <v>96</v>
      </c>
      <c r="C26" s="11" t="s">
        <v>847</v>
      </c>
      <c r="D26" s="12">
        <v>1</v>
      </c>
      <c r="E26" s="12">
        <v>0</v>
      </c>
      <c r="F26" s="12">
        <v>1</v>
      </c>
      <c r="G26" s="13">
        <f>+VLOOKUP(Tabla11034534544554564793646596978879610911812813722923824731[[#This Row],[Ingrediente]],Tabla34[#All],3,0)</f>
        <v>4986</v>
      </c>
      <c r="H26" s="14">
        <f>+Tabla11034534544554564793646596978879610911812813722923824731[[#This Row],[Costo]]*Tabla11034534544554564793646596978879610911812813722923824731[[#This Row],[Columna2]]</f>
        <v>4986</v>
      </c>
      <c r="I26" s="4"/>
      <c r="J26" s="8" t="s">
        <v>15</v>
      </c>
      <c r="K26" s="15">
        <f>+K25/1.08*0.08</f>
        <v>8888.8888888888887</v>
      </c>
    </row>
    <row r="27" spans="1:15" x14ac:dyDescent="0.3">
      <c r="B27" s="10" t="s">
        <v>1232</v>
      </c>
      <c r="C27" s="11" t="s">
        <v>67</v>
      </c>
      <c r="D27" s="12">
        <v>60</v>
      </c>
      <c r="E27" s="12">
        <v>0</v>
      </c>
      <c r="F27" s="12">
        <v>60</v>
      </c>
      <c r="G27" s="13">
        <f>+VLOOKUP(Tabla11034534544554564793646596978879610911812813722923824731[[#This Row],[Ingrediente]],Tabla34[#All],3,0)</f>
        <v>13</v>
      </c>
      <c r="H27" s="14">
        <f>+Tabla11034534544554564793646596978879610911812813722923824731[[#This Row],[Costo]]*Tabla11034534544554564793646596978879610911812813722923824731[[#This Row],[Columna2]]</f>
        <v>780</v>
      </c>
      <c r="I27" s="4"/>
      <c r="J27" s="8" t="s">
        <v>16</v>
      </c>
      <c r="K27" s="15">
        <f>+K25-K26</f>
        <v>111111.11111111111</v>
      </c>
      <c r="O27" s="47"/>
    </row>
    <row r="28" spans="1:15" x14ac:dyDescent="0.3">
      <c r="B28" s="10" t="s">
        <v>168</v>
      </c>
      <c r="C28" s="11" t="s">
        <v>67</v>
      </c>
      <c r="D28" s="12">
        <v>60</v>
      </c>
      <c r="E28" s="12">
        <v>0</v>
      </c>
      <c r="F28" s="12">
        <v>60</v>
      </c>
      <c r="G28" s="13">
        <f>+VLOOKUP(Tabla11034534544554564793646596978879610911812813722923824731[[#This Row],[Ingrediente]],Tabla34[#All],3,0)</f>
        <v>10.86600002</v>
      </c>
      <c r="H28" s="14">
        <f>+Tabla11034534544554564793646596978879610911812813722923824731[[#This Row],[Costo]]*Tabla11034534544554564793646596978879610911812813722923824731[[#This Row],[Columna2]]</f>
        <v>651.96000119999997</v>
      </c>
      <c r="I28" s="4"/>
      <c r="J28" s="8" t="s">
        <v>17</v>
      </c>
      <c r="K28" s="22">
        <f>+K24/K27</f>
        <v>0.37353203659401296</v>
      </c>
    </row>
    <row r="29" spans="1:15" x14ac:dyDescent="0.3">
      <c r="B29" s="10" t="s">
        <v>134</v>
      </c>
      <c r="C29" s="11" t="s">
        <v>67</v>
      </c>
      <c r="D29" s="12">
        <v>60</v>
      </c>
      <c r="E29" s="12">
        <v>0</v>
      </c>
      <c r="F29" s="12">
        <v>60</v>
      </c>
      <c r="G29" s="13">
        <f>+VLOOKUP(Tabla11034534544554564793646596978879610911812813722923824731[[#This Row],[Ingrediente]],Tabla34[#All],3,0)</f>
        <v>5.7702915900000002</v>
      </c>
      <c r="H29" s="14">
        <f>+Tabla11034534544554564793646596978879610911812813722923824731[[#This Row],[Costo]]*Tabla11034534544554564793646596978879610911812813722923824731[[#This Row],[Columna2]]</f>
        <v>346.21749540000002</v>
      </c>
      <c r="I29" s="4"/>
      <c r="J29" s="8" t="s">
        <v>18</v>
      </c>
      <c r="K29" s="23">
        <f>+K27-K24</f>
        <v>69607.551489554113</v>
      </c>
    </row>
    <row r="30" spans="1:15" x14ac:dyDescent="0.3">
      <c r="B30" s="24" t="s">
        <v>449</v>
      </c>
      <c r="C30" s="11" t="s">
        <v>67</v>
      </c>
      <c r="D30" s="12">
        <v>80</v>
      </c>
      <c r="E30" s="12">
        <v>0</v>
      </c>
      <c r="F30" s="12">
        <v>80</v>
      </c>
      <c r="G30" s="13">
        <f>+VLOOKUP(Tabla11034534544554564793646596978879610911812813722923824731[[#This Row],[Ingrediente]],Tabla34[#All],3,0)</f>
        <v>46.669166670000003</v>
      </c>
      <c r="H30" s="14">
        <f>+Tabla11034534544554564793646596978879610911812813722923824731[[#This Row],[Costo]]*Tabla11034534544554564793646596978879610911812813722923824731[[#This Row],[Columna2]]</f>
        <v>3733.5333336000003</v>
      </c>
      <c r="I30" s="4"/>
      <c r="J30" s="8" t="s">
        <v>19</v>
      </c>
      <c r="K30" s="25">
        <f>+K29/K24</f>
        <v>1.6771465417486713</v>
      </c>
    </row>
    <row r="31" spans="1:15" x14ac:dyDescent="0.3">
      <c r="B31" s="24" t="s">
        <v>799</v>
      </c>
      <c r="C31" s="11" t="s">
        <v>67</v>
      </c>
      <c r="D31" s="12">
        <v>55</v>
      </c>
      <c r="E31" s="12">
        <v>5</v>
      </c>
      <c r="F31" s="12">
        <v>57.895000000000003</v>
      </c>
      <c r="G31" s="13">
        <f>+VLOOKUP(Tabla11034534544554564793646596978879610911812813722923824731[[#This Row],[Ingrediente]],Tabla34[#All],3,0)</f>
        <v>12.5</v>
      </c>
      <c r="H31" s="14">
        <f>+Tabla11034534544554564793646596978879610911812813722923824731[[#This Row],[Costo]]*Tabla11034534544554564793646596978879610911812813722923824731[[#This Row],[Columna2]]</f>
        <v>723.6875</v>
      </c>
      <c r="J31" s="4"/>
      <c r="K31" s="26"/>
    </row>
    <row r="32" spans="1:15" x14ac:dyDescent="0.3">
      <c r="B32" s="24" t="s">
        <v>722</v>
      </c>
      <c r="C32" s="11" t="s">
        <v>67</v>
      </c>
      <c r="D32" s="12">
        <v>55</v>
      </c>
      <c r="E32" s="12">
        <v>5</v>
      </c>
      <c r="F32" s="12">
        <v>57.895000000000003</v>
      </c>
      <c r="G32" s="13">
        <f>+VLOOKUP(Tabla11034534544554564793646596978879610911812813722923824731[[#This Row],[Ingrediente]],Tabla34[#All],3,0)</f>
        <v>6.25</v>
      </c>
      <c r="H32" s="14">
        <f>+Tabla11034534544554564793646596978879610911812813722923824731[[#This Row],[Costo]]*Tabla11034534544554564793646596978879610911812813722923824731[[#This Row],[Columna2]]</f>
        <v>361.84375</v>
      </c>
      <c r="I32" s="27"/>
      <c r="J32" s="27"/>
      <c r="K32" s="27"/>
    </row>
    <row r="33" spans="1:13" x14ac:dyDescent="0.3">
      <c r="B33" s="24" t="s">
        <v>733</v>
      </c>
      <c r="C33" s="11" t="s">
        <v>67</v>
      </c>
      <c r="D33" s="12">
        <v>55</v>
      </c>
      <c r="E33" s="12">
        <v>5</v>
      </c>
      <c r="F33" s="12">
        <v>57.895000000000003</v>
      </c>
      <c r="G33" s="13">
        <f>+VLOOKUP(Tabla11034534544554564793646596978879610911812813722923824731[[#This Row],[Ingrediente]],Tabla34[#All],3,0)</f>
        <v>5</v>
      </c>
      <c r="H33" s="14">
        <f>+Tabla11034534544554564793646596978879610911812813722923824731[[#This Row],[Costo]]*Tabla11034534544554564793646596978879610911812813722923824731[[#This Row],[Columna2]]</f>
        <v>289.47500000000002</v>
      </c>
      <c r="I33" s="27"/>
    </row>
    <row r="34" spans="1:13" x14ac:dyDescent="0.3">
      <c r="B34" s="16"/>
      <c r="C34" s="17"/>
      <c r="D34" s="17"/>
      <c r="E34" s="17"/>
      <c r="F34" s="17"/>
      <c r="G34" s="18"/>
      <c r="H34" s="18">
        <f>SUBTOTAL(109,Tabla11034534544554564793646596978879610911812813722923824731[Total costo])</f>
        <v>37730.50874687</v>
      </c>
    </row>
    <row r="35" spans="1:13" x14ac:dyDescent="0.3">
      <c r="G35" s="4"/>
    </row>
    <row r="36" spans="1:13" ht="15.6" x14ac:dyDescent="0.3">
      <c r="A36" s="285"/>
      <c r="B36" s="19" t="s">
        <v>1338</v>
      </c>
      <c r="C36" s="2"/>
      <c r="D36" s="2"/>
      <c r="E36" s="3"/>
      <c r="F36" s="3"/>
      <c r="G36" s="3"/>
      <c r="H36" s="3"/>
      <c r="I36" s="4"/>
      <c r="J36" s="399" t="s">
        <v>0</v>
      </c>
      <c r="K36" s="399"/>
      <c r="M36" s="377" t="s">
        <v>1394</v>
      </c>
    </row>
    <row r="37" spans="1:13" x14ac:dyDescent="0.3">
      <c r="B37" s="5" t="s">
        <v>1</v>
      </c>
      <c r="C37" s="6" t="s">
        <v>2</v>
      </c>
      <c r="D37" s="6" t="s">
        <v>3</v>
      </c>
      <c r="E37" s="6" t="s">
        <v>920</v>
      </c>
      <c r="F37" s="6" t="s">
        <v>319</v>
      </c>
      <c r="G37" s="7" t="s">
        <v>4</v>
      </c>
      <c r="H37" s="7" t="s">
        <v>5</v>
      </c>
      <c r="I37" s="4"/>
      <c r="J37" s="8" t="s">
        <v>6</v>
      </c>
      <c r="K37" s="9">
        <f>SUM(Tabla11034534544554564793637476070798897110119129138230239248140[Total costo])</f>
        <v>27928.703886090003</v>
      </c>
      <c r="M37" s="346"/>
    </row>
    <row r="38" spans="1:13" x14ac:dyDescent="0.3">
      <c r="B38" s="10" t="s">
        <v>240</v>
      </c>
      <c r="C38" s="11" t="s">
        <v>847</v>
      </c>
      <c r="D38" s="12">
        <v>5</v>
      </c>
      <c r="E38" s="12">
        <v>0</v>
      </c>
      <c r="F38" s="12">
        <v>5</v>
      </c>
      <c r="G38" s="13">
        <f>+VLOOKUP(Tabla11034534544554564793637476070798897110119129138230239248140[[#This Row],[Ingrediente]],Tabla34[#All],3,0)</f>
        <v>4005.2666666700002</v>
      </c>
      <c r="H38" s="14">
        <f>+Tabla11034534544554564793637476070798897110119129138230239248140[[#This Row],[Costo]]*Tabla11034534544554564793637476070798897110119129138230239248140[[#This Row],[Columna2]]</f>
        <v>20026.333333350001</v>
      </c>
      <c r="I38" s="4"/>
      <c r="J38" s="8" t="s">
        <v>12</v>
      </c>
      <c r="K38" s="15">
        <f>+K37*10%</f>
        <v>2792.8703886090007</v>
      </c>
    </row>
    <row r="39" spans="1:13" x14ac:dyDescent="0.3">
      <c r="B39" s="10" t="s">
        <v>665</v>
      </c>
      <c r="C39" s="11" t="s">
        <v>605</v>
      </c>
      <c r="D39" s="12">
        <v>2</v>
      </c>
      <c r="E39" s="12">
        <v>0</v>
      </c>
      <c r="F39" s="12">
        <v>2</v>
      </c>
      <c r="G39" s="13">
        <f>+VLOOKUP(Tabla11034534544554564793637476070798897110119129138230239248140[[#This Row],[Ingrediente]],Tabla34[#All],3,0)</f>
        <v>2082.9166666699998</v>
      </c>
      <c r="H39" s="14">
        <f>+Tabla11034534544554564793637476070798897110119129138230239248140[[#This Row],[Costo]]*Tabla11034534544554564793637476070798897110119129138230239248140[[#This Row],[Columna2]]</f>
        <v>4165.8333333399996</v>
      </c>
      <c r="I39" s="4"/>
      <c r="J39" s="8" t="s">
        <v>13</v>
      </c>
      <c r="K39" s="15">
        <f>+K37+K38</f>
        <v>30721.574274699004</v>
      </c>
    </row>
    <row r="40" spans="1:13" x14ac:dyDescent="0.3">
      <c r="B40" s="24" t="s">
        <v>146</v>
      </c>
      <c r="C40" s="11" t="s">
        <v>67</v>
      </c>
      <c r="D40" s="12">
        <v>120</v>
      </c>
      <c r="E40" s="12">
        <v>0</v>
      </c>
      <c r="F40" s="12">
        <v>120</v>
      </c>
      <c r="G40" s="13">
        <f>+VLOOKUP(Tabla11034534544554564793637476070798897110119129138230239248140[[#This Row],[Ingrediente]],Tabla34[#All],3,0)</f>
        <v>11.36127894</v>
      </c>
      <c r="H40" s="14">
        <f>+Tabla11034534544554564793637476070798897110119129138230239248140[[#This Row],[Costo]]*Tabla11034534544554564793637476070798897110119129138230239248140[[#This Row],[Columna2]]</f>
        <v>1363.3534728</v>
      </c>
      <c r="I40" s="4"/>
      <c r="J40" s="20" t="s">
        <v>14</v>
      </c>
      <c r="K40" s="21">
        <v>149000</v>
      </c>
    </row>
    <row r="41" spans="1:13" x14ac:dyDescent="0.3">
      <c r="B41" s="10" t="s">
        <v>168</v>
      </c>
      <c r="C41" s="11" t="s">
        <v>67</v>
      </c>
      <c r="D41" s="12">
        <v>60</v>
      </c>
      <c r="E41" s="12">
        <v>0</v>
      </c>
      <c r="F41" s="12">
        <v>60</v>
      </c>
      <c r="G41" s="13">
        <f>+VLOOKUP(Tabla11034534544554564793637476070798897110119129138230239248140[[#This Row],[Ingrediente]],Tabla34[#All],3,0)</f>
        <v>10.86600002</v>
      </c>
      <c r="H41" s="14">
        <f>+Tabla11034534544554564793637476070798897110119129138230239248140[[#This Row],[Costo]]*Tabla11034534544554564793637476070798897110119129138230239248140[[#This Row],[Columna2]]</f>
        <v>651.96000119999997</v>
      </c>
      <c r="I41" s="4"/>
      <c r="J41" s="8" t="s">
        <v>15</v>
      </c>
      <c r="K41" s="15">
        <f>+K40/1.08*0.08</f>
        <v>11037.037037037036</v>
      </c>
    </row>
    <row r="42" spans="1:13" x14ac:dyDescent="0.3">
      <c r="B42" s="10" t="s">
        <v>134</v>
      </c>
      <c r="C42" s="11" t="s">
        <v>67</v>
      </c>
      <c r="D42" s="12">
        <v>60</v>
      </c>
      <c r="E42" s="12">
        <v>0</v>
      </c>
      <c r="F42" s="12">
        <v>60</v>
      </c>
      <c r="G42" s="13">
        <f>+VLOOKUP(Tabla11034534544554564793637476070798897110119129138230239248140[[#This Row],[Ingrediente]],Tabla34[#All],3,0)</f>
        <v>5.7702915900000002</v>
      </c>
      <c r="H42" s="14">
        <f>+Tabla11034534544554564793637476070798897110119129138230239248140[[#This Row],[Costo]]*Tabla11034534544554564793637476070798897110119129138230239248140[[#This Row],[Columna2]]</f>
        <v>346.21749540000002</v>
      </c>
      <c r="I42" s="4"/>
      <c r="J42" s="8" t="s">
        <v>16</v>
      </c>
      <c r="K42" s="15">
        <f>+K40-K41</f>
        <v>137962.96296296298</v>
      </c>
    </row>
    <row r="43" spans="1:13" x14ac:dyDescent="0.3">
      <c r="B43" s="24" t="s">
        <v>799</v>
      </c>
      <c r="C43" s="11" t="s">
        <v>67</v>
      </c>
      <c r="D43" s="12">
        <v>55</v>
      </c>
      <c r="E43" s="12">
        <v>5</v>
      </c>
      <c r="F43" s="12">
        <v>57.895000000000003</v>
      </c>
      <c r="G43" s="13">
        <f>+VLOOKUP(Tabla11034534544554564793637476070798897110119129138230239248140[[#This Row],[Ingrediente]],Tabla34[#All],3,0)</f>
        <v>12.5</v>
      </c>
      <c r="H43" s="14">
        <f>+Tabla11034534544554564793637476070798897110119129138230239248140[[#This Row],[Costo]]*Tabla11034534544554564793637476070798897110119129138230239248140[[#This Row],[Columna2]]</f>
        <v>723.6875</v>
      </c>
      <c r="I43" s="4"/>
      <c r="J43" s="8" t="s">
        <v>17</v>
      </c>
      <c r="K43" s="22">
        <f>+K39/K42</f>
        <v>0.22267986722600619</v>
      </c>
    </row>
    <row r="44" spans="1:13" x14ac:dyDescent="0.3">
      <c r="B44" s="24" t="s">
        <v>722</v>
      </c>
      <c r="C44" s="11" t="s">
        <v>67</v>
      </c>
      <c r="D44" s="12">
        <v>55</v>
      </c>
      <c r="E44" s="12">
        <v>5</v>
      </c>
      <c r="F44" s="12">
        <v>57.895000000000003</v>
      </c>
      <c r="G44" s="13">
        <f>+VLOOKUP(Tabla11034534544554564793637476070798897110119129138230239248140[[#This Row],[Ingrediente]],Tabla34[#All],3,0)</f>
        <v>6.25</v>
      </c>
      <c r="H44" s="14">
        <f>+Tabla11034534544554564793637476070798897110119129138230239248140[[#This Row],[Costo]]*Tabla11034534544554564793637476070798897110119129138230239248140[[#This Row],[Columna2]]</f>
        <v>361.84375</v>
      </c>
      <c r="J44" s="8" t="s">
        <v>18</v>
      </c>
      <c r="K44" s="23">
        <f>+K42-K39</f>
        <v>107241.38868826398</v>
      </c>
    </row>
    <row r="45" spans="1:13" x14ac:dyDescent="0.3">
      <c r="B45" s="24" t="s">
        <v>733</v>
      </c>
      <c r="C45" s="11" t="s">
        <v>67</v>
      </c>
      <c r="D45" s="12">
        <v>55</v>
      </c>
      <c r="E45" s="12">
        <v>5</v>
      </c>
      <c r="F45" s="12">
        <v>57.895000000000003</v>
      </c>
      <c r="G45" s="13">
        <f>+VLOOKUP(Tabla11034534544554564793637476070798897110119129138230239248140[[#This Row],[Ingrediente]],Tabla34[#All],3,0)</f>
        <v>5</v>
      </c>
      <c r="H45" s="14">
        <f>+Tabla11034534544554564793637476070798897110119129138230239248140[[#This Row],[Costo]]*Tabla11034534544554564793637476070798897110119129138230239248140[[#This Row],[Columna2]]</f>
        <v>289.47500000000002</v>
      </c>
      <c r="I45" s="4"/>
      <c r="J45" s="8" t="s">
        <v>19</v>
      </c>
      <c r="K45" s="25">
        <f>+K44/K39</f>
        <v>3.4907517345744705</v>
      </c>
    </row>
    <row r="46" spans="1:13" x14ac:dyDescent="0.3">
      <c r="B46" s="16"/>
      <c r="C46" s="17"/>
      <c r="D46" s="17"/>
      <c r="E46" s="17"/>
      <c r="F46" s="17"/>
      <c r="G46" s="18"/>
      <c r="H46" s="18">
        <f>SUBTOTAL(109,Tabla11034534544554564793637476070798897110119129138230239248140[Total costo])</f>
        <v>27928.703886090003</v>
      </c>
      <c r="I46" s="4"/>
      <c r="J46" s="4"/>
      <c r="K46" s="31"/>
    </row>
    <row r="47" spans="1:13" x14ac:dyDescent="0.3">
      <c r="G47" s="4"/>
      <c r="I47" s="27"/>
      <c r="J47" s="4"/>
      <c r="K47" s="31"/>
    </row>
    <row r="48" spans="1:13" ht="15.6" x14ac:dyDescent="0.3">
      <c r="A48" s="285"/>
      <c r="B48" s="19" t="s">
        <v>1343</v>
      </c>
      <c r="C48" s="2"/>
      <c r="D48" s="2"/>
      <c r="E48" s="3"/>
      <c r="F48" s="3"/>
      <c r="G48" s="3"/>
      <c r="H48" s="3"/>
      <c r="J48" s="399" t="s">
        <v>0</v>
      </c>
      <c r="K48" s="399"/>
      <c r="M48" s="377" t="s">
        <v>1394</v>
      </c>
    </row>
    <row r="49" spans="1:13" x14ac:dyDescent="0.3">
      <c r="B49" s="5" t="s">
        <v>1</v>
      </c>
      <c r="C49" s="6" t="s">
        <v>2</v>
      </c>
      <c r="D49" s="6" t="s">
        <v>3</v>
      </c>
      <c r="E49" s="6" t="s">
        <v>920</v>
      </c>
      <c r="F49" s="6" t="s">
        <v>319</v>
      </c>
      <c r="G49" s="7" t="s">
        <v>4</v>
      </c>
      <c r="H49" s="7" t="s">
        <v>5</v>
      </c>
      <c r="I49" s="4"/>
      <c r="J49" s="8" t="s">
        <v>6</v>
      </c>
      <c r="K49" s="9">
        <f>SUM(Tabla11034534544554564793638486171808998111120130139231240249141[Total costo])</f>
        <v>33725.830298320005</v>
      </c>
      <c r="M49" s="346"/>
    </row>
    <row r="50" spans="1:13" x14ac:dyDescent="0.3">
      <c r="B50" s="10" t="s">
        <v>109</v>
      </c>
      <c r="C50" s="11" t="s">
        <v>847</v>
      </c>
      <c r="D50" s="12">
        <v>5</v>
      </c>
      <c r="E50" s="12">
        <v>0</v>
      </c>
      <c r="F50" s="12">
        <v>5</v>
      </c>
      <c r="G50" s="13">
        <f>+VLOOKUP(Tabla11034534544554564793638486171808998111120130139231240249141[[#This Row],[Ingrediente]],Tabla34[#All],3,0)</f>
        <v>4002.6</v>
      </c>
      <c r="H50" s="14">
        <f>+Tabla11034534544554564793638486171808998111120130139231240249141[[#This Row],[Costo]]*Tabla11034534544554564793638486171808998111120130139231240249141[[#This Row],[Columna2]]</f>
        <v>20013</v>
      </c>
      <c r="I50" s="4"/>
      <c r="J50" s="8" t="s">
        <v>12</v>
      </c>
      <c r="K50" s="15">
        <f>+K49*10%</f>
        <v>3372.5830298320006</v>
      </c>
    </row>
    <row r="51" spans="1:13" x14ac:dyDescent="0.3">
      <c r="B51" s="10" t="s">
        <v>651</v>
      </c>
      <c r="C51" s="11" t="s">
        <v>605</v>
      </c>
      <c r="D51" s="12">
        <v>2</v>
      </c>
      <c r="E51" s="12">
        <v>0</v>
      </c>
      <c r="F51" s="12">
        <v>2</v>
      </c>
      <c r="G51" s="13">
        <f>+VLOOKUP(Tabla11034534544554564793638486171808998111120130139231240249141[[#This Row],[Ingrediente]],Tabla34[#All],3,0)</f>
        <v>3103.4482758600002</v>
      </c>
      <c r="H51" s="14">
        <f>+Tabla11034534544554564793638486171808998111120130139231240249141[[#This Row],[Costo]]*Tabla11034534544554564793638486171808998111120130139231240249141[[#This Row],[Columna2]]</f>
        <v>6206.8965517200004</v>
      </c>
      <c r="I51" s="4"/>
      <c r="J51" s="8" t="s">
        <v>13</v>
      </c>
      <c r="K51" s="15">
        <f>+K49+K50</f>
        <v>37098.413328152004</v>
      </c>
    </row>
    <row r="52" spans="1:13" x14ac:dyDescent="0.3">
      <c r="B52" s="10" t="s">
        <v>134</v>
      </c>
      <c r="C52" s="11" t="s">
        <v>67</v>
      </c>
      <c r="D52" s="12">
        <v>60</v>
      </c>
      <c r="E52" s="12">
        <v>0</v>
      </c>
      <c r="F52" s="12">
        <v>60</v>
      </c>
      <c r="G52" s="13">
        <f>+VLOOKUP(Tabla11034534544554564793638486171808998111120130139231240249141[[#This Row],[Ingrediente]],Tabla34[#All],3,0)</f>
        <v>5.7702915900000002</v>
      </c>
      <c r="H52" s="14">
        <f>+Tabla11034534544554564793638486171808998111120130139231240249141[[#This Row],[Costo]]*Tabla11034534544554564793638486171808998111120130139231240249141[[#This Row],[Columna2]]</f>
        <v>346.21749540000002</v>
      </c>
      <c r="I52" s="4"/>
      <c r="J52" s="20" t="s">
        <v>14</v>
      </c>
      <c r="K52" s="21">
        <v>120000</v>
      </c>
    </row>
    <row r="53" spans="1:13" x14ac:dyDescent="0.3">
      <c r="B53" s="10" t="s">
        <v>168</v>
      </c>
      <c r="C53" s="11" t="s">
        <v>67</v>
      </c>
      <c r="D53" s="12">
        <v>60</v>
      </c>
      <c r="E53" s="12">
        <v>0</v>
      </c>
      <c r="F53" s="12">
        <v>60</v>
      </c>
      <c r="G53" s="13">
        <f>+VLOOKUP(Tabla11034534544554564793638486171808998111120130139231240249141[[#This Row],[Ingrediente]],Tabla34[#All],3,0)</f>
        <v>10.86600002</v>
      </c>
      <c r="H53" s="14">
        <f>+Tabla11034534544554564793638486171808998111120130139231240249141[[#This Row],[Costo]]*Tabla11034534544554564793638486171808998111120130139231240249141[[#This Row],[Columna2]]</f>
        <v>651.96000119999997</v>
      </c>
      <c r="I53" s="4"/>
      <c r="J53" s="8" t="s">
        <v>15</v>
      </c>
      <c r="K53" s="15">
        <f>+K52/1.08*0.08</f>
        <v>8888.8888888888887</v>
      </c>
    </row>
    <row r="54" spans="1:13" x14ac:dyDescent="0.3">
      <c r="B54" s="10" t="s">
        <v>177</v>
      </c>
      <c r="C54" s="11" t="s">
        <v>847</v>
      </c>
      <c r="D54" s="12">
        <v>1</v>
      </c>
      <c r="E54" s="12">
        <v>0</v>
      </c>
      <c r="F54" s="12">
        <v>1</v>
      </c>
      <c r="G54" s="13">
        <f>+VLOOKUP(Tabla11034534544554564793638486171808998111120130139231240249141[[#This Row],[Ingrediente]],Tabla34[#All],3,0)</f>
        <v>5132.75</v>
      </c>
      <c r="H54" s="14">
        <f>+Tabla11034534544554564793638486171808998111120130139231240249141[[#This Row],[Costo]]*Tabla11034534544554564793638486171808998111120130139231240249141[[#This Row],[Columna2]]</f>
        <v>5132.75</v>
      </c>
      <c r="I54" s="4"/>
      <c r="J54" s="8" t="s">
        <v>16</v>
      </c>
      <c r="K54" s="15">
        <f>+K52-K53</f>
        <v>111111.11111111111</v>
      </c>
    </row>
    <row r="55" spans="1:13" x14ac:dyDescent="0.3">
      <c r="B55" s="10" t="s">
        <v>799</v>
      </c>
      <c r="C55" s="11" t="s">
        <v>67</v>
      </c>
      <c r="D55" s="12">
        <v>55</v>
      </c>
      <c r="E55" s="12">
        <v>5</v>
      </c>
      <c r="F55" s="12">
        <v>57.895000000000003</v>
      </c>
      <c r="G55" s="13">
        <f>+VLOOKUP(Tabla11034534544554564793638486171808998111120130139231240249141[[#This Row],[Ingrediente]],Tabla34[#All],3,0)</f>
        <v>12.5</v>
      </c>
      <c r="H55" s="14">
        <f>+Tabla11034534544554564793638486171808998111120130139231240249141[[#This Row],[Costo]]*Tabla11034534544554564793638486171808998111120130139231240249141[[#This Row],[Columna2]]</f>
        <v>723.6875</v>
      </c>
      <c r="I55" s="4"/>
      <c r="J55" s="8" t="s">
        <v>17</v>
      </c>
      <c r="K55" s="22">
        <f>+K51/K54</f>
        <v>0.33388571995336802</v>
      </c>
    </row>
    <row r="56" spans="1:13" x14ac:dyDescent="0.3">
      <c r="B56" s="10" t="s">
        <v>722</v>
      </c>
      <c r="C56" s="11" t="s">
        <v>67</v>
      </c>
      <c r="D56" s="12">
        <v>55</v>
      </c>
      <c r="E56" s="12">
        <v>5</v>
      </c>
      <c r="F56" s="12">
        <v>57.895000000000003</v>
      </c>
      <c r="G56" s="13">
        <f>+VLOOKUP(Tabla11034534544554564793638486171808998111120130139231240249141[[#This Row],[Ingrediente]],Tabla34[#All],3,0)</f>
        <v>6.25</v>
      </c>
      <c r="H56" s="14">
        <f>+Tabla11034534544554564793638486171808998111120130139231240249141[[#This Row],[Costo]]*Tabla11034534544554564793638486171808998111120130139231240249141[[#This Row],[Columna2]]</f>
        <v>361.84375</v>
      </c>
      <c r="I56" s="4"/>
      <c r="J56" s="8" t="s">
        <v>18</v>
      </c>
      <c r="K56" s="23">
        <f>+K54-K51</f>
        <v>74012.697782959105</v>
      </c>
    </row>
    <row r="57" spans="1:13" x14ac:dyDescent="0.3">
      <c r="B57" s="10" t="s">
        <v>733</v>
      </c>
      <c r="C57" s="11" t="s">
        <v>67</v>
      </c>
      <c r="D57" s="12">
        <v>55</v>
      </c>
      <c r="E57" s="12">
        <v>5</v>
      </c>
      <c r="F57" s="12">
        <v>57.895000000000003</v>
      </c>
      <c r="G57" s="13">
        <f>+VLOOKUP(Tabla11034534544554564793638486171808998111120130139231240249141[[#This Row],[Ingrediente]],Tabla34[#All],3,0)</f>
        <v>5</v>
      </c>
      <c r="H57" s="14">
        <f>+Tabla11034534544554564793638486171808998111120130139231240249141[[#This Row],[Costo]]*Tabla11034534544554564793638486171808998111120130139231240249141[[#This Row],[Columna2]]</f>
        <v>289.47500000000002</v>
      </c>
      <c r="I57" s="4"/>
      <c r="J57" s="8" t="s">
        <v>19</v>
      </c>
      <c r="K57" s="25">
        <f>+K56/K51</f>
        <v>1.9950367453261086</v>
      </c>
    </row>
    <row r="58" spans="1:13" x14ac:dyDescent="0.3">
      <c r="B58" s="16"/>
      <c r="C58" s="17"/>
      <c r="D58" s="17"/>
      <c r="E58" s="17"/>
      <c r="F58" s="17"/>
      <c r="G58" s="18"/>
      <c r="H58" s="18">
        <f>SUBTOTAL(109,Tabla11034534544554564793638486171808998111120130139231240249141[Total costo])</f>
        <v>33725.830298320005</v>
      </c>
      <c r="I58" s="27"/>
      <c r="J58" s="4"/>
      <c r="K58" s="26"/>
    </row>
    <row r="59" spans="1:13" x14ac:dyDescent="0.3">
      <c r="G59" s="4"/>
      <c r="H59" s="27"/>
      <c r="I59" s="4"/>
      <c r="J59" s="4"/>
      <c r="K59" s="26"/>
    </row>
    <row r="60" spans="1:13" x14ac:dyDescent="0.3">
      <c r="G60" s="4"/>
      <c r="H60" s="27"/>
      <c r="I60" s="4"/>
    </row>
    <row r="61" spans="1:13" ht="15.6" x14ac:dyDescent="0.3">
      <c r="A61" s="285"/>
      <c r="B61" s="1" t="s">
        <v>1340</v>
      </c>
      <c r="C61" s="2"/>
      <c r="D61" s="2"/>
      <c r="E61" s="3"/>
      <c r="F61" s="3"/>
      <c r="G61" s="3"/>
      <c r="H61" s="3"/>
      <c r="I61" s="27"/>
      <c r="J61" s="399" t="s">
        <v>0</v>
      </c>
      <c r="K61" s="399"/>
      <c r="M61" s="377" t="s">
        <v>1394</v>
      </c>
    </row>
    <row r="62" spans="1:13" x14ac:dyDescent="0.3">
      <c r="B62" s="5" t="s">
        <v>1</v>
      </c>
      <c r="C62" s="6" t="s">
        <v>2</v>
      </c>
      <c r="D62" s="6" t="s">
        <v>3</v>
      </c>
      <c r="E62" s="6" t="s">
        <v>920</v>
      </c>
      <c r="F62" s="6" t="s">
        <v>319</v>
      </c>
      <c r="G62" s="7" t="s">
        <v>4</v>
      </c>
      <c r="H62" s="7" t="s">
        <v>5</v>
      </c>
      <c r="J62" s="8" t="s">
        <v>6</v>
      </c>
      <c r="K62" s="9">
        <f>SUM(Tabla11034534544554564793639496272819099112121131140232241250142[Total costo])</f>
        <v>45519.370552740002</v>
      </c>
      <c r="M62" s="346"/>
    </row>
    <row r="63" spans="1:13" x14ac:dyDescent="0.3">
      <c r="B63" s="10" t="s">
        <v>238</v>
      </c>
      <c r="C63" s="11" t="s">
        <v>847</v>
      </c>
      <c r="D63" s="12">
        <v>1</v>
      </c>
      <c r="E63" s="12">
        <v>0</v>
      </c>
      <c r="F63" s="12">
        <v>1</v>
      </c>
      <c r="G63" s="13">
        <f>+VLOOKUP(Tabla11034534544554564793639496272819099112121131140232241250142[[#This Row],[Ingrediente]],Tabla34[#All],3,0)</f>
        <v>37617</v>
      </c>
      <c r="H63" s="14">
        <f>+Tabla11034534544554564793639496272819099112121131140232241250142[[#This Row],[Costo]]*Tabla11034534544554564793639496272819099112121131140232241250142[[#This Row],[Columna2]]</f>
        <v>37617</v>
      </c>
      <c r="I63" s="4"/>
      <c r="J63" s="8" t="s">
        <v>12</v>
      </c>
      <c r="K63" s="15">
        <f>+K62*10%</f>
        <v>4551.9370552740002</v>
      </c>
    </row>
    <row r="64" spans="1:13" x14ac:dyDescent="0.3">
      <c r="B64" s="10" t="s">
        <v>665</v>
      </c>
      <c r="C64" s="11" t="s">
        <v>605</v>
      </c>
      <c r="D64" s="12">
        <v>2</v>
      </c>
      <c r="E64" s="12">
        <v>0</v>
      </c>
      <c r="F64" s="12">
        <v>2</v>
      </c>
      <c r="G64" s="13">
        <f>+VLOOKUP(Tabla11034534544554564793639496272819099112121131140232241250142[[#This Row],[Ingrediente]],Tabla34[#All],3,0)</f>
        <v>2082.9166666699998</v>
      </c>
      <c r="H64" s="14">
        <f>+Tabla11034534544554564793639496272819099112121131140232241250142[[#This Row],[Costo]]*Tabla11034534544554564793639496272819099112121131140232241250142[[#This Row],[Columna2]]</f>
        <v>4165.8333333399996</v>
      </c>
      <c r="I64" s="4"/>
      <c r="J64" s="8" t="s">
        <v>13</v>
      </c>
      <c r="K64" s="15">
        <f>+K62+K63</f>
        <v>50071.307608014002</v>
      </c>
    </row>
    <row r="65" spans="1:13" x14ac:dyDescent="0.3">
      <c r="B65" s="10" t="s">
        <v>146</v>
      </c>
      <c r="C65" s="11" t="s">
        <v>67</v>
      </c>
      <c r="D65" s="12">
        <v>120</v>
      </c>
      <c r="E65" s="12">
        <v>0</v>
      </c>
      <c r="F65" s="12">
        <v>120</v>
      </c>
      <c r="G65" s="13">
        <f>+VLOOKUP(Tabla11034534544554564793639496272819099112121131140232241250142[[#This Row],[Ingrediente]],Tabla34[#All],3,0)</f>
        <v>11.36127894</v>
      </c>
      <c r="H65" s="14">
        <f>+Tabla11034534544554564793639496272819099112121131140232241250142[[#This Row],[Costo]]*Tabla11034534544554564793639496272819099112121131140232241250142[[#This Row],[Columna2]]</f>
        <v>1363.3534728</v>
      </c>
      <c r="I65" s="4"/>
      <c r="J65" s="20" t="s">
        <v>14</v>
      </c>
      <c r="K65" s="21">
        <v>163000</v>
      </c>
    </row>
    <row r="66" spans="1:13" x14ac:dyDescent="0.3">
      <c r="B66" s="10" t="s">
        <v>168</v>
      </c>
      <c r="C66" s="11" t="s">
        <v>67</v>
      </c>
      <c r="D66" s="12">
        <v>60</v>
      </c>
      <c r="E66" s="12">
        <v>0</v>
      </c>
      <c r="F66" s="12">
        <v>60</v>
      </c>
      <c r="G66" s="13">
        <f>+VLOOKUP(Tabla11034534544554564793639496272819099112121131140232241250142[[#This Row],[Ingrediente]],Tabla34[#All],3,0)</f>
        <v>10.86600002</v>
      </c>
      <c r="H66" s="14">
        <f>+Tabla11034534544554564793639496272819099112121131140232241250142[[#This Row],[Costo]]*Tabla11034534544554564793639496272819099112121131140232241250142[[#This Row],[Columna2]]</f>
        <v>651.96000119999997</v>
      </c>
      <c r="I66" s="4"/>
      <c r="J66" s="8" t="s">
        <v>15</v>
      </c>
      <c r="K66" s="15">
        <f>+K65/1.08*0.08</f>
        <v>12074.074074074075</v>
      </c>
    </row>
    <row r="67" spans="1:13" x14ac:dyDescent="0.3">
      <c r="B67" s="10" t="s">
        <v>134</v>
      </c>
      <c r="C67" s="11" t="s">
        <v>67</v>
      </c>
      <c r="D67" s="12">
        <v>60</v>
      </c>
      <c r="E67" s="12">
        <v>0</v>
      </c>
      <c r="F67" s="12">
        <v>60</v>
      </c>
      <c r="G67" s="13">
        <f>+VLOOKUP(Tabla11034534544554564793639496272819099112121131140232241250142[[#This Row],[Ingrediente]],Tabla34[#All],3,0)</f>
        <v>5.7702915900000002</v>
      </c>
      <c r="H67" s="14">
        <f>+Tabla11034534544554564793639496272819099112121131140232241250142[[#This Row],[Costo]]*Tabla11034534544554564793639496272819099112121131140232241250142[[#This Row],[Columna2]]</f>
        <v>346.21749540000002</v>
      </c>
      <c r="I67" s="4"/>
      <c r="J67" s="8" t="s">
        <v>16</v>
      </c>
      <c r="K67" s="15">
        <f>+K65-K66</f>
        <v>150925.92592592593</v>
      </c>
    </row>
    <row r="68" spans="1:13" x14ac:dyDescent="0.3">
      <c r="B68" s="10" t="s">
        <v>799</v>
      </c>
      <c r="C68" s="11" t="s">
        <v>67</v>
      </c>
      <c r="D68" s="12">
        <v>55</v>
      </c>
      <c r="E68" s="12">
        <v>5</v>
      </c>
      <c r="F68" s="12">
        <v>57.895000000000003</v>
      </c>
      <c r="G68" s="13">
        <f>+VLOOKUP(Tabla11034534544554564793639496272819099112121131140232241250142[[#This Row],[Ingrediente]],Tabla34[#All],3,0)</f>
        <v>12.5</v>
      </c>
      <c r="H68" s="14">
        <f>+Tabla11034534544554564793639496272819099112121131140232241250142[[#This Row],[Costo]]*Tabla11034534544554564793639496272819099112121131140232241250142[[#This Row],[Columna2]]</f>
        <v>723.6875</v>
      </c>
      <c r="I68" s="4"/>
      <c r="J68" s="8" t="s">
        <v>17</v>
      </c>
      <c r="K68" s="22">
        <f>+K64/K67</f>
        <v>0.33176081114512346</v>
      </c>
    </row>
    <row r="69" spans="1:13" x14ac:dyDescent="0.3">
      <c r="B69" s="24" t="s">
        <v>722</v>
      </c>
      <c r="C69" s="11" t="s">
        <v>67</v>
      </c>
      <c r="D69" s="12">
        <v>55</v>
      </c>
      <c r="E69" s="12">
        <v>5</v>
      </c>
      <c r="F69" s="12">
        <v>57.895000000000003</v>
      </c>
      <c r="G69" s="13">
        <f>+VLOOKUP(Tabla11034534544554564793639496272819099112121131140232241250142[[#This Row],[Ingrediente]],Tabla34[#All],3,0)</f>
        <v>6.25</v>
      </c>
      <c r="H69" s="14">
        <f>+Tabla11034534544554564793639496272819099112121131140232241250142[[#This Row],[Costo]]*Tabla11034534544554564793639496272819099112121131140232241250142[[#This Row],[Columna2]]</f>
        <v>361.84375</v>
      </c>
      <c r="I69" s="4"/>
      <c r="J69" s="8" t="s">
        <v>18</v>
      </c>
      <c r="K69" s="23">
        <f>+K67-K64</f>
        <v>100854.61831791193</v>
      </c>
    </row>
    <row r="70" spans="1:13" x14ac:dyDescent="0.3">
      <c r="B70" s="10" t="s">
        <v>733</v>
      </c>
      <c r="C70" s="11" t="s">
        <v>67</v>
      </c>
      <c r="D70" s="12">
        <v>55</v>
      </c>
      <c r="E70" s="12">
        <v>5</v>
      </c>
      <c r="F70" s="12">
        <v>57.895000000000003</v>
      </c>
      <c r="G70" s="13">
        <f>+VLOOKUP(Tabla11034534544554564793639496272819099112121131140232241250142[[#This Row],[Ingrediente]],Tabla34[#All],3,0)</f>
        <v>5</v>
      </c>
      <c r="H70" s="14">
        <f>+Tabla11034534544554564793639496272819099112121131140232241250142[[#This Row],[Costo]]*Tabla11034534544554564793639496272819099112121131140232241250142[[#This Row],[Columna2]]</f>
        <v>289.47500000000002</v>
      </c>
      <c r="I70" s="4"/>
      <c r="J70" s="8" t="s">
        <v>19</v>
      </c>
      <c r="K70" s="25">
        <f>+K69/K64</f>
        <v>2.0142197824641985</v>
      </c>
    </row>
    <row r="71" spans="1:13" x14ac:dyDescent="0.3">
      <c r="B71" s="16"/>
      <c r="C71" s="17"/>
      <c r="D71" s="17"/>
      <c r="E71" s="17"/>
      <c r="F71" s="17"/>
      <c r="G71" s="18"/>
      <c r="H71" s="18">
        <f>SUBTOTAL(109,Tabla11034534544554564793639496272819099112121131140232241250142[Total costo])</f>
        <v>45519.370552740002</v>
      </c>
      <c r="I71" s="4"/>
    </row>
    <row r="72" spans="1:13" x14ac:dyDescent="0.3">
      <c r="B72" s="32"/>
      <c r="C72" s="33"/>
      <c r="D72" s="33"/>
      <c r="E72" s="34"/>
      <c r="F72" s="34"/>
      <c r="G72" s="4"/>
      <c r="H72" s="28"/>
      <c r="I72" s="27"/>
    </row>
    <row r="73" spans="1:13" ht="15.6" x14ac:dyDescent="0.3">
      <c r="G73" s="4"/>
      <c r="I73" s="4"/>
      <c r="J73" s="399" t="s">
        <v>0</v>
      </c>
      <c r="K73" s="399"/>
      <c r="M73" s="377" t="s">
        <v>1394</v>
      </c>
    </row>
    <row r="74" spans="1:13" x14ac:dyDescent="0.3">
      <c r="A74" s="285"/>
      <c r="B74" s="1" t="s">
        <v>1339</v>
      </c>
      <c r="C74" s="2"/>
      <c r="D74" s="2"/>
      <c r="E74" s="3"/>
      <c r="F74" s="3"/>
      <c r="G74" s="3"/>
      <c r="H74" s="3"/>
      <c r="J74" s="8" t="s">
        <v>6</v>
      </c>
      <c r="K74" s="9">
        <f>SUM(Tabla11034534544554564793646596978879610911812813722923824731378[Total costo])</f>
        <v>9878.553540885001</v>
      </c>
      <c r="M74" s="346"/>
    </row>
    <row r="75" spans="1:13" x14ac:dyDescent="0.3">
      <c r="B75" s="5" t="s">
        <v>1</v>
      </c>
      <c r="C75" s="6" t="s">
        <v>2</v>
      </c>
      <c r="D75" s="6" t="s">
        <v>3</v>
      </c>
      <c r="E75" s="6" t="s">
        <v>920</v>
      </c>
      <c r="F75" s="6" t="s">
        <v>319</v>
      </c>
      <c r="G75" s="7" t="s">
        <v>4</v>
      </c>
      <c r="H75" s="7" t="s">
        <v>5</v>
      </c>
      <c r="I75" s="4"/>
      <c r="J75" s="8" t="s">
        <v>12</v>
      </c>
      <c r="K75" s="15">
        <f>+K74*10%</f>
        <v>987.85535408850012</v>
      </c>
    </row>
    <row r="76" spans="1:13" x14ac:dyDescent="0.3">
      <c r="B76" s="10" t="s">
        <v>239</v>
      </c>
      <c r="C76" s="11" t="s">
        <v>847</v>
      </c>
      <c r="D76" s="12">
        <v>1</v>
      </c>
      <c r="E76" s="12">
        <v>0</v>
      </c>
      <c r="F76" s="12">
        <v>1</v>
      </c>
      <c r="G76" s="13">
        <f>+VLOOKUP(Tabla11034534544554564793646596978879610911812813722923824731378[[#This Row],[Ingrediente]],Tabla34[#All],3,0)</f>
        <v>4005.4</v>
      </c>
      <c r="H76" s="14">
        <f>+Tabla11034534544554564793646596978879610911812813722923824731378[[#This Row],[Costo]]*Tabla11034534544554564793646596978879610911812813722923824731378[[#This Row],[Columna2]]</f>
        <v>4005.4</v>
      </c>
      <c r="I76" s="4"/>
      <c r="J76" s="8" t="s">
        <v>13</v>
      </c>
      <c r="K76" s="15">
        <f>+K74+K75</f>
        <v>10866.408894973501</v>
      </c>
    </row>
    <row r="77" spans="1:13" x14ac:dyDescent="0.3">
      <c r="B77" s="10" t="s">
        <v>660</v>
      </c>
      <c r="C77" s="11" t="s">
        <v>605</v>
      </c>
      <c r="D77" s="12">
        <v>0.5</v>
      </c>
      <c r="E77" s="12">
        <v>0</v>
      </c>
      <c r="F77" s="12">
        <v>0.5</v>
      </c>
      <c r="G77" s="13">
        <f>+VLOOKUP(Tabla11034534544554564793646596978879610911812813722923824731378[[#This Row],[Ingrediente]],Tabla34[#All],3,0)</f>
        <v>3359</v>
      </c>
      <c r="H77" s="14">
        <f>+Tabla11034534544554564793646596978879610911812813722923824731378[[#This Row],[Costo]]*Tabla11034534544554564793646596978879610911812813722923824731378[[#This Row],[Columna2]]</f>
        <v>1679.5</v>
      </c>
      <c r="J77" s="20" t="s">
        <v>14</v>
      </c>
      <c r="K77" s="21">
        <v>42000</v>
      </c>
    </row>
    <row r="78" spans="1:13" x14ac:dyDescent="0.3">
      <c r="B78" s="10" t="s">
        <v>102</v>
      </c>
      <c r="C78" s="11" t="s">
        <v>605</v>
      </c>
      <c r="D78" s="12">
        <v>0.5</v>
      </c>
      <c r="E78" s="12">
        <v>0</v>
      </c>
      <c r="F78" s="12">
        <v>0.5</v>
      </c>
      <c r="G78" s="13">
        <f>+VLOOKUP(Tabla11034534544554564793646596978879610911812813722923824731378[[#This Row],[Ingrediente]],Tabla34[#All],3,0)</f>
        <v>2471.7916666699998</v>
      </c>
      <c r="H78" s="14">
        <f>+Tabla11034534544554564793646596978879610911812813722923824731378[[#This Row],[Costo]]*Tabla11034534544554564793646596978879610911812813722923824731378[[#This Row],[Columna2]]</f>
        <v>1235.8958333349999</v>
      </c>
      <c r="I78" s="4"/>
      <c r="J78" s="8" t="s">
        <v>15</v>
      </c>
      <c r="K78" s="15">
        <f>+K77/1.08*0.08</f>
        <v>3111.1111111111109</v>
      </c>
    </row>
    <row r="79" spans="1:13" x14ac:dyDescent="0.3">
      <c r="B79" s="10" t="s">
        <v>1232</v>
      </c>
      <c r="C79" s="11" t="s">
        <v>67</v>
      </c>
      <c r="D79" s="12">
        <v>20</v>
      </c>
      <c r="E79" s="12">
        <v>0</v>
      </c>
      <c r="F79" s="12">
        <v>20</v>
      </c>
      <c r="G79" s="13">
        <f>+VLOOKUP(Tabla11034534544554564793646596978879610911812813722923824731378[[#This Row],[Ingrediente]],Tabla34[#All],3,0)</f>
        <v>13</v>
      </c>
      <c r="H79" s="14">
        <f>+Tabla11034534544554564793646596978879610911812813722923824731378[[#This Row],[Costo]]*Tabla11034534544554564793646596978879610911812813722923824731378[[#This Row],[Columna2]]</f>
        <v>260</v>
      </c>
      <c r="I79" s="4"/>
      <c r="J79" s="8" t="s">
        <v>16</v>
      </c>
      <c r="K79" s="15">
        <f>+K77-K78</f>
        <v>38888.888888888891</v>
      </c>
    </row>
    <row r="80" spans="1:13" x14ac:dyDescent="0.3">
      <c r="B80" s="10" t="s">
        <v>168</v>
      </c>
      <c r="C80" s="11" t="s">
        <v>67</v>
      </c>
      <c r="D80" s="12">
        <v>15</v>
      </c>
      <c r="E80" s="12">
        <v>0</v>
      </c>
      <c r="F80" s="12">
        <v>15</v>
      </c>
      <c r="G80" s="13">
        <f>+VLOOKUP(Tabla11034534544554564793646596978879610911812813722923824731378[[#This Row],[Ingrediente]],Tabla34[#All],3,0)</f>
        <v>10.86600002</v>
      </c>
      <c r="H80" s="14">
        <f>+Tabla11034534544554564793646596978879610911812813722923824731378[[#This Row],[Costo]]*Tabla11034534544554564793646596978879610911812813722923824731378[[#This Row],[Columna2]]</f>
        <v>162.99000029999999</v>
      </c>
      <c r="I80" s="4"/>
      <c r="J80" s="8" t="s">
        <v>17</v>
      </c>
      <c r="K80" s="22">
        <f>+K76/K79</f>
        <v>0.27942194301360429</v>
      </c>
    </row>
    <row r="81" spans="2:13" x14ac:dyDescent="0.3">
      <c r="B81" s="10" t="s">
        <v>134</v>
      </c>
      <c r="C81" s="11" t="s">
        <v>67</v>
      </c>
      <c r="D81" s="12">
        <v>15</v>
      </c>
      <c r="E81" s="12">
        <v>0</v>
      </c>
      <c r="F81" s="12">
        <v>15</v>
      </c>
      <c r="G81" s="13">
        <f>+VLOOKUP(Tabla11034534544554564793646596978879610911812813722923824731378[[#This Row],[Ingrediente]],Tabla34[#All],3,0)</f>
        <v>5.7702915900000002</v>
      </c>
      <c r="H81" s="14">
        <f>+Tabla11034534544554564793646596978879610911812813722923824731378[[#This Row],[Costo]]*Tabla11034534544554564793646596978879610911812813722923824731378[[#This Row],[Columna2]]</f>
        <v>86.554373850000005</v>
      </c>
      <c r="I81" s="4"/>
      <c r="J81" s="8" t="s">
        <v>18</v>
      </c>
      <c r="K81" s="23">
        <f>+K79-K76</f>
        <v>28022.479993915389</v>
      </c>
    </row>
    <row r="82" spans="2:13" x14ac:dyDescent="0.3">
      <c r="B82" s="24" t="s">
        <v>96</v>
      </c>
      <c r="C82" s="11" t="s">
        <v>847</v>
      </c>
      <c r="D82" s="12">
        <v>0.28000000000000003</v>
      </c>
      <c r="E82" s="12">
        <v>0</v>
      </c>
      <c r="F82" s="12">
        <v>0.28000000000000003</v>
      </c>
      <c r="G82" s="13">
        <f>+VLOOKUP(Tabla11034534544554564793646596978879610911812813722923824731378[[#This Row],[Ingrediente]],Tabla34[#All],3,0)</f>
        <v>4986</v>
      </c>
      <c r="H82" s="14">
        <f>+Tabla11034534544554564793646596978879610911812813722923824731378[[#This Row],[Costo]]*Tabla11034534544554564793646596978879610911812813722923824731378[[#This Row],[Columna2]]</f>
        <v>1396.0800000000002</v>
      </c>
      <c r="I82" s="4"/>
      <c r="J82" s="8" t="s">
        <v>19</v>
      </c>
      <c r="K82" s="25">
        <f>+K81/K76</f>
        <v>2.5788170006079754</v>
      </c>
    </row>
    <row r="83" spans="2:13" x14ac:dyDescent="0.3">
      <c r="B83" s="10" t="s">
        <v>449</v>
      </c>
      <c r="C83" s="11" t="s">
        <v>67</v>
      </c>
      <c r="D83" s="12">
        <v>20</v>
      </c>
      <c r="E83" s="12">
        <v>0</v>
      </c>
      <c r="F83" s="12">
        <v>20</v>
      </c>
      <c r="G83" s="13">
        <f>+VLOOKUP(Tabla11034534544554564793646596978879610911812813722923824731378[[#This Row],[Ingrediente]],Tabla34[#All],3,0)</f>
        <v>46.669166670000003</v>
      </c>
      <c r="H83" s="14">
        <f>+Tabla11034534544554564793646596978879610911812813722923824731378[[#This Row],[Costo]]*Tabla11034534544554564793646596978879610911812813722923824731378[[#This Row],[Columna2]]</f>
        <v>933.38333340000008</v>
      </c>
      <c r="I83" s="4"/>
    </row>
    <row r="84" spans="2:13" x14ac:dyDescent="0.3">
      <c r="B84" s="10" t="s">
        <v>799</v>
      </c>
      <c r="C84" s="11" t="s">
        <v>67</v>
      </c>
      <c r="D84" s="12">
        <v>5</v>
      </c>
      <c r="E84" s="12">
        <v>0</v>
      </c>
      <c r="F84" s="12">
        <v>5</v>
      </c>
      <c r="G84" s="13">
        <f>+VLOOKUP(Tabla11034534544554564793646596978879610911812813722923824731378[[#This Row],[Ingrediente]],Tabla34[#All],3,0)</f>
        <v>12.5</v>
      </c>
      <c r="H84" s="14">
        <f>+Tabla11034534544554564793646596978879610911812813722923824731378[[#This Row],[Costo]]*Tabla11034534544554564793646596978879610911812813722923824731378[[#This Row],[Columna2]]</f>
        <v>62.5</v>
      </c>
      <c r="I84" s="4"/>
    </row>
    <row r="85" spans="2:13" x14ac:dyDescent="0.3">
      <c r="B85" s="10" t="s">
        <v>722</v>
      </c>
      <c r="C85" s="11" t="s">
        <v>67</v>
      </c>
      <c r="D85" s="12">
        <v>5</v>
      </c>
      <c r="E85" s="12">
        <v>0</v>
      </c>
      <c r="F85" s="12">
        <v>5</v>
      </c>
      <c r="G85" s="13">
        <f>+VLOOKUP(Tabla11034534544554564793646596978879610911812813722923824731378[[#This Row],[Ingrediente]],Tabla34[#All],3,0)</f>
        <v>6.25</v>
      </c>
      <c r="H85" s="14">
        <f>+Tabla11034534544554564793646596978879610911812813722923824731378[[#This Row],[Costo]]*Tabla11034534544554564793646596978879610911812813722923824731378[[#This Row],[Columna2]]</f>
        <v>31.25</v>
      </c>
      <c r="I85" s="4"/>
    </row>
    <row r="86" spans="2:13" x14ac:dyDescent="0.3">
      <c r="B86" s="10" t="s">
        <v>733</v>
      </c>
      <c r="C86" s="11" t="s">
        <v>67</v>
      </c>
      <c r="D86" s="12">
        <v>5</v>
      </c>
      <c r="E86" s="12">
        <v>0</v>
      </c>
      <c r="F86" s="12">
        <v>5</v>
      </c>
      <c r="G86" s="13">
        <f>+VLOOKUP(Tabla11034534544554564793646596978879610911812813722923824731378[[#This Row],[Ingrediente]],Tabla34[#All],3,0)</f>
        <v>5</v>
      </c>
      <c r="H86" s="14">
        <f>+Tabla11034534544554564793646596978879610911812813722923824731378[[#This Row],[Costo]]*Tabla11034534544554564793646596978879610911812813722923824731378[[#This Row],[Columna2]]</f>
        <v>25</v>
      </c>
      <c r="I86" s="4"/>
    </row>
    <row r="87" spans="2:13" x14ac:dyDescent="0.3">
      <c r="B87" s="16"/>
      <c r="C87" s="17"/>
      <c r="D87" s="17"/>
      <c r="E87" s="17"/>
      <c r="F87" s="17"/>
      <c r="G87" s="18"/>
      <c r="H87" s="18">
        <f>SUBTOTAL(109,Tabla11034534544554564793646596978879610911812813722923824731378[Total costo])</f>
        <v>9878.553540885001</v>
      </c>
      <c r="I87" s="4"/>
    </row>
    <row r="88" spans="2:13" s="28" customFormat="1" x14ac:dyDescent="0.3">
      <c r="B88" s="32"/>
      <c r="C88" s="33"/>
      <c r="D88" s="33"/>
      <c r="E88" s="33"/>
      <c r="F88" s="33"/>
      <c r="G88" s="34"/>
      <c r="H88" s="34"/>
      <c r="I88" s="4"/>
    </row>
    <row r="89" spans="2:13" ht="15.6" x14ac:dyDescent="0.3">
      <c r="B89" s="19" t="s">
        <v>1342</v>
      </c>
      <c r="C89" s="2"/>
      <c r="D89" s="2"/>
      <c r="E89" s="3"/>
      <c r="F89" s="3"/>
      <c r="G89" s="3"/>
      <c r="H89" s="3"/>
      <c r="J89" s="399" t="s">
        <v>0</v>
      </c>
      <c r="K89" s="399"/>
      <c r="M89" s="377" t="s">
        <v>1394</v>
      </c>
    </row>
    <row r="90" spans="2:13" x14ac:dyDescent="0.3">
      <c r="B90" s="5" t="s">
        <v>1</v>
      </c>
      <c r="C90" s="6" t="s">
        <v>2</v>
      </c>
      <c r="D90" s="6" t="s">
        <v>3</v>
      </c>
      <c r="E90" s="6" t="s">
        <v>920</v>
      </c>
      <c r="F90" s="6" t="s">
        <v>319</v>
      </c>
      <c r="G90" s="7" t="s">
        <v>4</v>
      </c>
      <c r="H90" s="7" t="s">
        <v>5</v>
      </c>
      <c r="J90" s="8" t="s">
        <v>6</v>
      </c>
      <c r="K90" s="9">
        <f>SUM(Tabla110345345445545647936405063738291100113122132141233242251143379[Total costo])</f>
        <v>6797.3160756900006</v>
      </c>
      <c r="M90" s="346"/>
    </row>
    <row r="91" spans="2:13" x14ac:dyDescent="0.3">
      <c r="B91" s="10" t="s">
        <v>240</v>
      </c>
      <c r="C91" s="11" t="s">
        <v>847</v>
      </c>
      <c r="D91" s="12">
        <v>1</v>
      </c>
      <c r="E91" s="12">
        <v>0</v>
      </c>
      <c r="F91" s="12">
        <v>1</v>
      </c>
      <c r="G91" s="13">
        <f>+VLOOKUP(Tabla110345345445545647936405063738291100113122132141233242251143379[[#This Row],[Ingrediente]],Tabla34[#All],3,0)</f>
        <v>4005.2666666700002</v>
      </c>
      <c r="H91" s="14">
        <f>+Tabla110345345445545647936405063738291100113122132141233242251143379[[#This Row],[Costo]]*Tabla110345345445545647936405063738291100113122132141233242251143379[[#This Row],[Columna2]]</f>
        <v>4005.2666666700002</v>
      </c>
      <c r="J91" s="8" t="s">
        <v>12</v>
      </c>
      <c r="K91" s="15">
        <f>+K90*10%</f>
        <v>679.73160756900006</v>
      </c>
    </row>
    <row r="92" spans="2:13" x14ac:dyDescent="0.3">
      <c r="B92" s="10" t="s">
        <v>665</v>
      </c>
      <c r="C92" s="11" t="s">
        <v>605</v>
      </c>
      <c r="D92" s="12">
        <v>1</v>
      </c>
      <c r="E92" s="12">
        <v>0</v>
      </c>
      <c r="F92" s="12">
        <v>1</v>
      </c>
      <c r="G92" s="13">
        <f>+VLOOKUP(Tabla110345345445545647936405063738291100113122132141233242251143379[[#This Row],[Ingrediente]],Tabla34[#All],3,0)</f>
        <v>2082.9166666699998</v>
      </c>
      <c r="H92" s="14">
        <f>+Tabla110345345445545647936405063738291100113122132141233242251143379[[#This Row],[Costo]]*Tabla110345345445545647936405063738291100113122132141233242251143379[[#This Row],[Columna2]]</f>
        <v>2082.9166666699998</v>
      </c>
      <c r="J92" s="8" t="s">
        <v>13</v>
      </c>
      <c r="K92" s="15">
        <f>+K90+K91</f>
        <v>7477.0476832590011</v>
      </c>
    </row>
    <row r="93" spans="2:13" x14ac:dyDescent="0.3">
      <c r="B93" s="10" t="s">
        <v>146</v>
      </c>
      <c r="C93" s="11" t="s">
        <v>67</v>
      </c>
      <c r="D93" s="12">
        <v>30</v>
      </c>
      <c r="E93" s="12">
        <v>0</v>
      </c>
      <c r="F93" s="12">
        <v>30</v>
      </c>
      <c r="G93" s="13">
        <f>+VLOOKUP(Tabla110345345445545647936405063738291100113122132141233242251143379[[#This Row],[Ingrediente]],Tabla34[#All],3,0)</f>
        <v>11.36127894</v>
      </c>
      <c r="H93" s="14">
        <f>+Tabla110345345445545647936405063738291100113122132141233242251143379[[#This Row],[Costo]]*Tabla110345345445545647936405063738291100113122132141233242251143379[[#This Row],[Columna2]]</f>
        <v>340.83836819999999</v>
      </c>
      <c r="J93" s="20" t="s">
        <v>14</v>
      </c>
      <c r="K93" s="21">
        <v>42000</v>
      </c>
    </row>
    <row r="94" spans="2:13" x14ac:dyDescent="0.3">
      <c r="B94" s="10" t="s">
        <v>168</v>
      </c>
      <c r="C94" s="11" t="s">
        <v>67</v>
      </c>
      <c r="D94" s="12">
        <v>15</v>
      </c>
      <c r="E94" s="12">
        <v>0</v>
      </c>
      <c r="F94" s="12">
        <v>15</v>
      </c>
      <c r="G94" s="13">
        <f>+VLOOKUP(Tabla110345345445545647936405063738291100113122132141233242251143379[[#This Row],[Ingrediente]],Tabla34[#All],3,0)</f>
        <v>10.86600002</v>
      </c>
      <c r="H94" s="14">
        <f>+Tabla110345345445545647936405063738291100113122132141233242251143379[[#This Row],[Costo]]*Tabla110345345445545647936405063738291100113122132141233242251143379[[#This Row],[Columna2]]</f>
        <v>162.99000029999999</v>
      </c>
      <c r="I94" s="28"/>
      <c r="J94" s="8" t="s">
        <v>15</v>
      </c>
      <c r="K94" s="15">
        <f>+K93/1.08*0.08</f>
        <v>3111.1111111111109</v>
      </c>
    </row>
    <row r="95" spans="2:13" x14ac:dyDescent="0.3">
      <c r="B95" s="10" t="s">
        <v>134</v>
      </c>
      <c r="C95" s="11" t="s">
        <v>67</v>
      </c>
      <c r="D95" s="12">
        <v>15</v>
      </c>
      <c r="E95" s="12">
        <v>0</v>
      </c>
      <c r="F95" s="12">
        <v>15</v>
      </c>
      <c r="G95" s="13">
        <f>+VLOOKUP(Tabla110345345445545647936405063738291100113122132141233242251143379[[#This Row],[Ingrediente]],Tabla34[#All],3,0)</f>
        <v>5.7702915900000002</v>
      </c>
      <c r="H95" s="14">
        <f>+Tabla110345345445545647936405063738291100113122132141233242251143379[[#This Row],[Costo]]*Tabla110345345445545647936405063738291100113122132141233242251143379[[#This Row],[Columna2]]</f>
        <v>86.554373850000005</v>
      </c>
      <c r="I95" s="4"/>
      <c r="J95" s="8" t="s">
        <v>16</v>
      </c>
      <c r="K95" s="15">
        <f>+K93-K94</f>
        <v>38888.888888888891</v>
      </c>
    </row>
    <row r="96" spans="2:13" x14ac:dyDescent="0.3">
      <c r="B96" s="10" t="s">
        <v>799</v>
      </c>
      <c r="C96" s="11" t="s">
        <v>67</v>
      </c>
      <c r="D96" s="12">
        <v>5</v>
      </c>
      <c r="E96" s="12">
        <v>0</v>
      </c>
      <c r="F96" s="12">
        <v>5</v>
      </c>
      <c r="G96" s="13">
        <f>+VLOOKUP(Tabla110345345445545647936405063738291100113122132141233242251143379[[#This Row],[Ingrediente]],Tabla34[#All],3,0)</f>
        <v>12.5</v>
      </c>
      <c r="H96" s="14">
        <f>+Tabla110345345445545647936405063738291100113122132141233242251143379[[#This Row],[Costo]]*Tabla110345345445545647936405063738291100113122132141233242251143379[[#This Row],[Columna2]]</f>
        <v>62.5</v>
      </c>
      <c r="I96" s="4"/>
      <c r="J96" s="8" t="s">
        <v>17</v>
      </c>
      <c r="K96" s="22">
        <f>+K92/K95</f>
        <v>0.19226694042666001</v>
      </c>
    </row>
    <row r="97" spans="2:13" x14ac:dyDescent="0.3">
      <c r="B97" s="10" t="s">
        <v>722</v>
      </c>
      <c r="C97" s="11" t="s">
        <v>67</v>
      </c>
      <c r="D97" s="12">
        <v>5</v>
      </c>
      <c r="E97" s="12">
        <v>0</v>
      </c>
      <c r="F97" s="12">
        <v>5</v>
      </c>
      <c r="G97" s="13">
        <f>+VLOOKUP(Tabla110345345445545647936405063738291100113122132141233242251143379[[#This Row],[Ingrediente]],Tabla34[#All],3,0)</f>
        <v>6.25</v>
      </c>
      <c r="H97" s="14">
        <f>+Tabla110345345445545647936405063738291100113122132141233242251143379[[#This Row],[Costo]]*Tabla110345345445545647936405063738291100113122132141233242251143379[[#This Row],[Columna2]]</f>
        <v>31.25</v>
      </c>
      <c r="I97" s="4"/>
      <c r="J97" s="8" t="s">
        <v>18</v>
      </c>
      <c r="K97" s="23">
        <f>+K95-K92</f>
        <v>31411.841205629891</v>
      </c>
    </row>
    <row r="98" spans="2:13" x14ac:dyDescent="0.3">
      <c r="B98" s="24" t="s">
        <v>733</v>
      </c>
      <c r="C98" s="11" t="s">
        <v>67</v>
      </c>
      <c r="D98" s="12">
        <v>5</v>
      </c>
      <c r="E98" s="12">
        <v>0</v>
      </c>
      <c r="F98" s="12">
        <v>5</v>
      </c>
      <c r="G98" s="13">
        <f>+VLOOKUP(Tabla110345345445545647936405063738291100113122132141233242251143379[[#This Row],[Ingrediente]],Tabla34[#All],3,0)</f>
        <v>5</v>
      </c>
      <c r="H98" s="14">
        <f>+Tabla110345345445545647936405063738291100113122132141233242251143379[[#This Row],[Costo]]*Tabla110345345445545647936405063738291100113122132141233242251143379[[#This Row],[Columna2]]</f>
        <v>25</v>
      </c>
      <c r="I98" s="4"/>
      <c r="J98" s="8" t="s">
        <v>19</v>
      </c>
      <c r="K98" s="25">
        <f>+K97/K92</f>
        <v>4.2011021644225348</v>
      </c>
    </row>
    <row r="99" spans="2:13" x14ac:dyDescent="0.3">
      <c r="B99" s="16"/>
      <c r="C99" s="17"/>
      <c r="D99" s="17"/>
      <c r="E99" s="17"/>
      <c r="F99" s="17"/>
      <c r="G99" s="18"/>
      <c r="H99" s="18">
        <f>SUBTOTAL(109,Tabla110345345445545647936405063738291100113122132141233242251143379[Total costo])</f>
        <v>6797.3160756900006</v>
      </c>
      <c r="I99" s="4"/>
      <c r="J99" s="27"/>
      <c r="K99" s="27"/>
    </row>
    <row r="100" spans="2:13" x14ac:dyDescent="0.3">
      <c r="G100" s="4"/>
      <c r="I100" s="4"/>
    </row>
    <row r="101" spans="2:13" x14ac:dyDescent="0.3">
      <c r="G101" s="4"/>
      <c r="I101" s="4"/>
    </row>
    <row r="102" spans="2:13" ht="15.6" x14ac:dyDescent="0.3">
      <c r="B102" s="1" t="s">
        <v>1279</v>
      </c>
      <c r="C102" s="2"/>
      <c r="D102" s="2"/>
      <c r="E102" s="3"/>
      <c r="F102" s="3"/>
      <c r="G102" s="3"/>
      <c r="H102" s="3"/>
      <c r="I102" s="4"/>
      <c r="J102" s="399" t="s">
        <v>0</v>
      </c>
      <c r="K102" s="399"/>
      <c r="M102" s="377" t="s">
        <v>1394</v>
      </c>
    </row>
    <row r="103" spans="2:13" x14ac:dyDescent="0.3">
      <c r="B103" s="5" t="s">
        <v>1</v>
      </c>
      <c r="C103" s="6" t="s">
        <v>2</v>
      </c>
      <c r="D103" s="6" t="s">
        <v>3</v>
      </c>
      <c r="E103" s="6" t="s">
        <v>920</v>
      </c>
      <c r="F103" s="6" t="s">
        <v>319</v>
      </c>
      <c r="G103" s="7" t="s">
        <v>4</v>
      </c>
      <c r="H103" s="7" t="s">
        <v>5</v>
      </c>
      <c r="I103" s="4"/>
      <c r="J103" s="8" t="s">
        <v>6</v>
      </c>
      <c r="K103" s="9">
        <f>SUM(Tabla1103453454455456479455868778695108117127136228237246273[Total costo])</f>
        <v>44817.681759539992</v>
      </c>
      <c r="M103" s="346"/>
    </row>
    <row r="104" spans="2:13" x14ac:dyDescent="0.3">
      <c r="B104" s="10" t="s">
        <v>1280</v>
      </c>
      <c r="C104" s="11" t="s">
        <v>847</v>
      </c>
      <c r="D104" s="12">
        <v>1</v>
      </c>
      <c r="E104" s="12">
        <v>0</v>
      </c>
      <c r="F104" s="12">
        <v>1</v>
      </c>
      <c r="G104" s="13">
        <f>+VLOOKUP(Tabla1103453454455456479455868778695108117127136228237246273[[#This Row],[Ingrediente]],Tabla34[#All],3,0)</f>
        <v>37617</v>
      </c>
      <c r="H104" s="14">
        <f>+Tabla1103453454455456479455868778695108117127136228237246273[[#This Row],[Costo]]*Tabla1103453454455456479455868778695108117127136228237246273[[#This Row],[Columna2]]</f>
        <v>37617</v>
      </c>
      <c r="I104" s="4"/>
      <c r="J104" s="8" t="s">
        <v>12</v>
      </c>
      <c r="K104" s="15">
        <f>+K103*10%</f>
        <v>4481.7681759539992</v>
      </c>
    </row>
    <row r="105" spans="2:13" x14ac:dyDescent="0.3">
      <c r="B105" s="10" t="s">
        <v>965</v>
      </c>
      <c r="C105" s="11" t="s">
        <v>605</v>
      </c>
      <c r="D105" s="12">
        <v>1</v>
      </c>
      <c r="E105" s="12">
        <v>0</v>
      </c>
      <c r="F105" s="12">
        <v>1</v>
      </c>
      <c r="G105" s="13">
        <f>+VLOOKUP(Tabla1103453454455456479455868778695108117127136228237246273[[#This Row],[Ingrediente]],Tabla34[#All],3,0)</f>
        <v>1729.16666667</v>
      </c>
      <c r="H105" s="14">
        <f>+Tabla1103453454455456479455868778695108117127136228237246273[[#This Row],[Costo]]*Tabla1103453454455456479455868778695108117127136228237246273[[#This Row],[Columna2]]</f>
        <v>1729.16666667</v>
      </c>
      <c r="I105" s="4"/>
      <c r="J105" s="8" t="s">
        <v>13</v>
      </c>
      <c r="K105" s="15">
        <f>+K103+K104</f>
        <v>49299.449935493991</v>
      </c>
    </row>
    <row r="106" spans="2:13" x14ac:dyDescent="0.3">
      <c r="B106" s="10" t="s">
        <v>644</v>
      </c>
      <c r="C106" s="11" t="s">
        <v>605</v>
      </c>
      <c r="D106" s="12">
        <v>1</v>
      </c>
      <c r="E106" s="12">
        <v>0</v>
      </c>
      <c r="F106" s="12">
        <v>1</v>
      </c>
      <c r="G106" s="13">
        <f>+VLOOKUP(Tabla1103453454455456479455868778695108117127136228237246273[[#This Row],[Ingrediente]],Tabla34[#All],3,0)</f>
        <v>2082.9166666699998</v>
      </c>
      <c r="H106" s="14">
        <f>+Tabla1103453454455456479455868778695108117127136228237246273[[#This Row],[Costo]]*Tabla1103453454455456479455868778695108117127136228237246273[[#This Row],[Columna2]]</f>
        <v>2082.9166666699998</v>
      </c>
      <c r="I106" s="4"/>
      <c r="J106" s="20" t="s">
        <v>14</v>
      </c>
      <c r="K106" s="21">
        <v>150000</v>
      </c>
    </row>
    <row r="107" spans="2:13" x14ac:dyDescent="0.3">
      <c r="B107" s="10" t="s">
        <v>1278</v>
      </c>
      <c r="C107" s="11" t="s">
        <v>847</v>
      </c>
      <c r="D107" s="12">
        <v>1</v>
      </c>
      <c r="E107" s="12">
        <v>0</v>
      </c>
      <c r="F107" s="12">
        <v>1</v>
      </c>
      <c r="G107" s="13">
        <f>+VLOOKUP(Tabla1103453454455456479455868778695108117127136228237246273[[#This Row],[Ingrediente]],Tabla34[#All],3,0)</f>
        <v>1654</v>
      </c>
      <c r="H107" s="14">
        <f>+Tabla1103453454455456479455868778695108117127136228237246273[[#This Row],[Costo]]*Tabla1103453454455456479455868778695108117127136228237246273[[#This Row],[Columna2]]</f>
        <v>1654</v>
      </c>
      <c r="I107" s="4"/>
      <c r="J107" s="8" t="s">
        <v>15</v>
      </c>
      <c r="K107" s="15">
        <f>+K106/1.08*0.08</f>
        <v>11111.111111111109</v>
      </c>
    </row>
    <row r="108" spans="2:13" x14ac:dyDescent="0.3">
      <c r="B108" s="10" t="s">
        <v>799</v>
      </c>
      <c r="C108" s="11" t="s">
        <v>67</v>
      </c>
      <c r="D108" s="12">
        <v>15.0000003</v>
      </c>
      <c r="E108" s="12">
        <v>5</v>
      </c>
      <c r="F108" s="12">
        <v>15.789474</v>
      </c>
      <c r="G108" s="13">
        <f>+VLOOKUP(Tabla1103453454455456479455868778695108117127136228237246273[[#This Row],[Ingrediente]],Tabla34[#All],3,0)</f>
        <v>12.5</v>
      </c>
      <c r="H108" s="14">
        <f>+Tabla1103453454455456479455868778695108117127136228237246273[[#This Row],[Costo]]*Tabla1103453454455456479455868778695108117127136228237246273[[#This Row],[Columna2]]</f>
        <v>197.368425</v>
      </c>
      <c r="I108" s="4"/>
      <c r="J108" s="8" t="s">
        <v>16</v>
      </c>
      <c r="K108" s="15">
        <f>+K106-K107</f>
        <v>138888.88888888888</v>
      </c>
    </row>
    <row r="109" spans="2:13" x14ac:dyDescent="0.3">
      <c r="B109" s="10" t="s">
        <v>733</v>
      </c>
      <c r="C109" s="11" t="s">
        <v>67</v>
      </c>
      <c r="D109" s="12">
        <v>15</v>
      </c>
      <c r="E109" s="12">
        <v>0</v>
      </c>
      <c r="F109" s="12">
        <v>15</v>
      </c>
      <c r="G109" s="13">
        <f>+VLOOKUP(Tabla1103453454455456479455868778695108117127136228237246273[[#This Row],[Ingrediente]],Tabla34[#All],3,0)</f>
        <v>5</v>
      </c>
      <c r="H109" s="14">
        <f>+Tabla1103453454455456479455868778695108117127136228237246273[[#This Row],[Costo]]*Tabla1103453454455456479455868778695108117127136228237246273[[#This Row],[Columna2]]</f>
        <v>75</v>
      </c>
      <c r="I109" s="4"/>
      <c r="J109" s="8" t="s">
        <v>17</v>
      </c>
      <c r="K109" s="22">
        <f>+K105/K108</f>
        <v>0.35495603953555677</v>
      </c>
    </row>
    <row r="110" spans="2:13" x14ac:dyDescent="0.3">
      <c r="B110" s="10" t="s">
        <v>722</v>
      </c>
      <c r="C110" s="11" t="s">
        <v>67</v>
      </c>
      <c r="D110" s="12">
        <v>15</v>
      </c>
      <c r="E110" s="12">
        <v>0</v>
      </c>
      <c r="F110" s="12">
        <v>15</v>
      </c>
      <c r="G110" s="13">
        <f>+VLOOKUP(Tabla1103453454455456479455868778695108117127136228237246273[[#This Row],[Ingrediente]],Tabla34[#All],3,0)</f>
        <v>6.25</v>
      </c>
      <c r="H110" s="14">
        <f>+Tabla1103453454455456479455868778695108117127136228237246273[[#This Row],[Costo]]*Tabla1103453454455456479455868778695108117127136228237246273[[#This Row],[Columna2]]</f>
        <v>93.75</v>
      </c>
      <c r="I110" s="4"/>
      <c r="J110" s="8" t="s">
        <v>18</v>
      </c>
      <c r="K110" s="23">
        <f>+K108-K105</f>
        <v>89589.438953394885</v>
      </c>
    </row>
    <row r="111" spans="2:13" x14ac:dyDescent="0.3">
      <c r="B111" s="10" t="s">
        <v>168</v>
      </c>
      <c r="C111" s="11" t="s">
        <v>67</v>
      </c>
      <c r="D111" s="12">
        <v>60</v>
      </c>
      <c r="E111" s="12">
        <v>0</v>
      </c>
      <c r="F111" s="12">
        <v>60</v>
      </c>
      <c r="G111" s="13">
        <f>+VLOOKUP(Tabla1103453454455456479455868778695108117127136228237246273[[#This Row],[Ingrediente]],Tabla34[#All],3,0)</f>
        <v>10.86600002</v>
      </c>
      <c r="H111" s="14">
        <f>+Tabla1103453454455456479455868778695108117127136228237246273[[#This Row],[Costo]]*Tabla1103453454455456479455868778695108117127136228237246273[[#This Row],[Columna2]]</f>
        <v>651.96000119999997</v>
      </c>
      <c r="I111" s="4"/>
      <c r="J111" s="8" t="s">
        <v>19</v>
      </c>
      <c r="K111" s="25">
        <f>+K110/K105</f>
        <v>1.8172502750156128</v>
      </c>
    </row>
    <row r="112" spans="2:13" x14ac:dyDescent="0.3">
      <c r="B112" s="10" t="s">
        <v>1281</v>
      </c>
      <c r="C112" s="11" t="s">
        <v>67</v>
      </c>
      <c r="D112" s="12">
        <v>60</v>
      </c>
      <c r="E112" s="12">
        <v>0</v>
      </c>
      <c r="F112" s="12">
        <v>60</v>
      </c>
      <c r="G112" s="13">
        <f>+VLOOKUP(Tabla1103453454455456479455868778695108117127136228237246273[[#This Row],[Ingrediente]],Tabla34[#All],3,0)</f>
        <v>11.942</v>
      </c>
      <c r="H112" s="14">
        <f>+Tabla1103453454455456479455868778695108117127136228237246273[[#This Row],[Costo]]*Tabla1103453454455456479455868778695108117127136228237246273[[#This Row],[Columna2]]</f>
        <v>716.52</v>
      </c>
      <c r="I112" s="31"/>
    </row>
    <row r="113" spans="2:13" x14ac:dyDescent="0.3">
      <c r="B113" s="16"/>
      <c r="C113" s="17"/>
      <c r="D113" s="17"/>
      <c r="E113" s="17"/>
      <c r="F113" s="17"/>
      <c r="G113" s="18"/>
      <c r="H113" s="18">
        <f>SUBTOTAL(109,Tabla1103453454455456479455868778695108117127136228237246273[Total costo])</f>
        <v>44817.681759539992</v>
      </c>
      <c r="I113" s="4"/>
    </row>
    <row r="116" spans="2:13" ht="15.6" x14ac:dyDescent="0.3">
      <c r="B116" s="1" t="s">
        <v>1344</v>
      </c>
      <c r="C116" s="2"/>
      <c r="D116" s="2"/>
      <c r="E116" s="3"/>
      <c r="F116" s="3"/>
      <c r="G116" s="3"/>
      <c r="H116" s="3"/>
      <c r="I116" s="4"/>
      <c r="J116" s="399" t="s">
        <v>0</v>
      </c>
      <c r="K116" s="399"/>
      <c r="M116" s="377" t="s">
        <v>1394</v>
      </c>
    </row>
    <row r="117" spans="2:13" x14ac:dyDescent="0.3">
      <c r="B117" s="5" t="s">
        <v>1</v>
      </c>
      <c r="C117" s="6" t="s">
        <v>2</v>
      </c>
      <c r="D117" s="6" t="s">
        <v>3</v>
      </c>
      <c r="E117" s="6" t="s">
        <v>920</v>
      </c>
      <c r="F117" s="6" t="s">
        <v>319</v>
      </c>
      <c r="G117" s="7" t="s">
        <v>4</v>
      </c>
      <c r="H117" s="7" t="s">
        <v>5</v>
      </c>
      <c r="I117" s="4"/>
      <c r="J117" s="8" t="s">
        <v>6</v>
      </c>
      <c r="K117" s="9">
        <f>SUM(Tabla11034534544554564794558687786951081171271362282372462738[Total costo])</f>
        <v>8916.443900010001</v>
      </c>
      <c r="M117" s="346"/>
    </row>
    <row r="118" spans="2:13" x14ac:dyDescent="0.3">
      <c r="B118" s="10" t="s">
        <v>722</v>
      </c>
      <c r="C118" s="11" t="s">
        <v>67</v>
      </c>
      <c r="D118" s="12">
        <v>5</v>
      </c>
      <c r="E118" s="12">
        <v>5</v>
      </c>
      <c r="F118" s="12">
        <v>5.2629999999999999</v>
      </c>
      <c r="G118" s="13">
        <f>+VLOOKUP(Tabla11034534544554564794558687786951081171271362282372462738[[#This Row],[Ingrediente]],Tabla34[#All],3,0)</f>
        <v>6.25</v>
      </c>
      <c r="H118" s="14">
        <f>+Tabla11034534544554564794558687786951081171271362282372462738[[#This Row],[Costo]]*Tabla11034534544554564794558687786951081171271362282372462738[[#This Row],[Columna2]]</f>
        <v>32.893749999999997</v>
      </c>
      <c r="I118" s="4"/>
      <c r="J118" s="8" t="s">
        <v>12</v>
      </c>
      <c r="K118" s="15">
        <f>+K117*10%</f>
        <v>891.64439000100015</v>
      </c>
    </row>
    <row r="119" spans="2:13" x14ac:dyDescent="0.3">
      <c r="B119" s="10" t="s">
        <v>134</v>
      </c>
      <c r="C119" s="11" t="s">
        <v>67</v>
      </c>
      <c r="D119" s="12">
        <v>15</v>
      </c>
      <c r="E119" s="12">
        <v>0</v>
      </c>
      <c r="F119" s="12">
        <v>15</v>
      </c>
      <c r="G119" s="13">
        <f>+VLOOKUP(Tabla11034534544554564794558687786951081171271362282372462738[[#This Row],[Ingrediente]],Tabla34[#All],3,0)</f>
        <v>5.7702915900000002</v>
      </c>
      <c r="H119" s="14">
        <f>+Tabla11034534544554564794558687786951081171271362282372462738[[#This Row],[Costo]]*Tabla11034534544554564794558687786951081171271362282372462738[[#This Row],[Columna2]]</f>
        <v>86.554373850000005</v>
      </c>
      <c r="I119" s="4"/>
      <c r="J119" s="8" t="s">
        <v>13</v>
      </c>
      <c r="K119" s="15">
        <f>+K117+K118</f>
        <v>9808.0882900110009</v>
      </c>
    </row>
    <row r="120" spans="2:13" x14ac:dyDescent="0.3">
      <c r="B120" s="10" t="s">
        <v>733</v>
      </c>
      <c r="C120" s="11" t="s">
        <v>67</v>
      </c>
      <c r="D120" s="12">
        <v>4.75</v>
      </c>
      <c r="E120" s="12">
        <v>5</v>
      </c>
      <c r="F120" s="12">
        <v>5</v>
      </c>
      <c r="G120" s="13">
        <f>+VLOOKUP(Tabla11034534544554564794558687786951081171271362282372462738[[#This Row],[Ingrediente]],Tabla34[#All],3,0)</f>
        <v>5</v>
      </c>
      <c r="H120" s="14">
        <f>+Tabla11034534544554564794558687786951081171271362282372462738[[#This Row],[Costo]]*Tabla11034534544554564794558687786951081171271362282372462738[[#This Row],[Columna2]]</f>
        <v>25</v>
      </c>
      <c r="I120" s="4"/>
      <c r="J120" s="20" t="s">
        <v>14</v>
      </c>
      <c r="K120" s="21">
        <v>42000</v>
      </c>
    </row>
    <row r="121" spans="2:13" x14ac:dyDescent="0.3">
      <c r="B121" s="10" t="s">
        <v>799</v>
      </c>
      <c r="C121" s="11" t="s">
        <v>67</v>
      </c>
      <c r="D121" s="12">
        <v>5</v>
      </c>
      <c r="E121" s="12">
        <v>5</v>
      </c>
      <c r="F121" s="12">
        <v>5.2629999999999999</v>
      </c>
      <c r="G121" s="13">
        <f>+VLOOKUP(Tabla11034534544554564794558687786951081171271362282372462738[[#This Row],[Ingrediente]],Tabla34[#All],3,0)</f>
        <v>12.5</v>
      </c>
      <c r="H121" s="14">
        <f>+Tabla11034534544554564794558687786951081171271362282372462738[[#This Row],[Costo]]*Tabla11034534544554564794558687786951081171271362282372462738[[#This Row],[Columna2]]</f>
        <v>65.787499999999994</v>
      </c>
      <c r="I121" s="4"/>
      <c r="J121" s="8" t="s">
        <v>15</v>
      </c>
      <c r="K121" s="15">
        <f>+K120/1.08*0.08</f>
        <v>3111.1111111111109</v>
      </c>
    </row>
    <row r="122" spans="2:13" x14ac:dyDescent="0.3">
      <c r="B122" s="10" t="s">
        <v>168</v>
      </c>
      <c r="C122" s="11" t="s">
        <v>67</v>
      </c>
      <c r="D122" s="12">
        <v>15</v>
      </c>
      <c r="E122" s="12">
        <v>0</v>
      </c>
      <c r="F122" s="12">
        <v>15</v>
      </c>
      <c r="G122" s="13">
        <f>+VLOOKUP(Tabla11034534544554564794558687786951081171271362282372462738[[#This Row],[Ingrediente]],Tabla34[#All],3,0)</f>
        <v>10.86600002</v>
      </c>
      <c r="H122" s="14">
        <f>+Tabla11034534544554564794558687786951081171271362282372462738[[#This Row],[Costo]]*Tabla11034534544554564794558687786951081171271362282372462738[[#This Row],[Columna2]]</f>
        <v>162.99000029999999</v>
      </c>
      <c r="I122" s="4"/>
      <c r="J122" s="8" t="s">
        <v>16</v>
      </c>
      <c r="K122" s="15">
        <f>+K120-K121</f>
        <v>38888.888888888891</v>
      </c>
    </row>
    <row r="123" spans="2:13" x14ac:dyDescent="0.3">
      <c r="B123" s="10" t="s">
        <v>177</v>
      </c>
      <c r="C123" s="11" t="s">
        <v>847</v>
      </c>
      <c r="D123" s="12">
        <v>0.28000000000000003</v>
      </c>
      <c r="E123" s="12">
        <v>0</v>
      </c>
      <c r="F123" s="12">
        <v>0.28000000000000003</v>
      </c>
      <c r="G123" s="13">
        <f>+VLOOKUP(Tabla11034534544554564794558687786951081171271362282372462738[[#This Row],[Ingrediente]],Tabla34[#All],3,0)</f>
        <v>5132.75</v>
      </c>
      <c r="H123" s="14">
        <f>+Tabla11034534544554564794558687786951081171271362282372462738[[#This Row],[Costo]]*Tabla11034534544554564794558687786951081171271362282372462738[[#This Row],[Columna2]]</f>
        <v>1437.17</v>
      </c>
      <c r="I123" s="4"/>
      <c r="J123" s="8" t="s">
        <v>17</v>
      </c>
      <c r="K123" s="22">
        <f>+K119/K122</f>
        <v>0.25220798460028288</v>
      </c>
    </row>
    <row r="124" spans="2:13" x14ac:dyDescent="0.3">
      <c r="B124" s="10" t="s">
        <v>651</v>
      </c>
      <c r="C124" s="11" t="s">
        <v>605</v>
      </c>
      <c r="D124" s="12">
        <v>1</v>
      </c>
      <c r="E124" s="12">
        <v>0</v>
      </c>
      <c r="F124" s="12">
        <v>1</v>
      </c>
      <c r="G124" s="13">
        <f>+VLOOKUP(Tabla11034534544554564794558687786951081171271362282372462738[[#This Row],[Ingrediente]],Tabla34[#All],3,0)</f>
        <v>3103.4482758600002</v>
      </c>
      <c r="H124" s="14">
        <f>+Tabla11034534544554564794558687786951081171271362282372462738[[#This Row],[Costo]]*Tabla11034534544554564794558687786951081171271362282372462738[[#This Row],[Columna2]]</f>
        <v>3103.4482758600002</v>
      </c>
      <c r="I124" s="4"/>
      <c r="J124" s="8" t="s">
        <v>18</v>
      </c>
      <c r="K124" s="23">
        <f>+K122-K119</f>
        <v>29080.80059887789</v>
      </c>
    </row>
    <row r="125" spans="2:13" x14ac:dyDescent="0.3">
      <c r="B125" s="10" t="s">
        <v>109</v>
      </c>
      <c r="C125" s="11" t="s">
        <v>847</v>
      </c>
      <c r="D125" s="12">
        <v>1</v>
      </c>
      <c r="E125" s="12">
        <v>0</v>
      </c>
      <c r="F125" s="12">
        <v>1</v>
      </c>
      <c r="G125" s="13">
        <f>+VLOOKUP(Tabla11034534544554564794558687786951081171271362282372462738[[#This Row],[Ingrediente]],Tabla34[#All],3,0)</f>
        <v>4002.6</v>
      </c>
      <c r="H125" s="14">
        <f>+Tabla11034534544554564794558687786951081171271362282372462738[[#This Row],[Costo]]*Tabla11034534544554564794558687786951081171271362282372462738[[#This Row],[Columna2]]</f>
        <v>4002.6</v>
      </c>
      <c r="I125" s="4"/>
      <c r="J125" s="8" t="s">
        <v>19</v>
      </c>
      <c r="K125" s="25">
        <f>+K124/K119</f>
        <v>2.9649815273884808</v>
      </c>
    </row>
    <row r="126" spans="2:13" x14ac:dyDescent="0.3">
      <c r="B126" s="16"/>
      <c r="C126" s="17"/>
      <c r="D126" s="17"/>
      <c r="E126" s="17"/>
      <c r="F126" s="17"/>
      <c r="G126" s="18"/>
      <c r="H126" s="18">
        <f>SUBTOTAL(109,Tabla11034534544554564794558687786951081171271362282372462738[Total costo])</f>
        <v>8916.443900010001</v>
      </c>
      <c r="I126" s="4"/>
    </row>
    <row r="129" spans="2:13" ht="15.6" x14ac:dyDescent="0.3">
      <c r="B129" s="1" t="s">
        <v>1353</v>
      </c>
      <c r="C129" s="2"/>
      <c r="D129" s="2"/>
      <c r="E129" s="3"/>
      <c r="F129" s="3"/>
      <c r="G129" s="3"/>
      <c r="H129" s="3"/>
      <c r="I129" s="4"/>
      <c r="J129" s="399" t="s">
        <v>0</v>
      </c>
      <c r="K129" s="399"/>
      <c r="M129" s="377" t="s">
        <v>1394</v>
      </c>
    </row>
    <row r="130" spans="2:13" x14ac:dyDescent="0.3">
      <c r="B130" s="5" t="s">
        <v>1</v>
      </c>
      <c r="C130" s="6" t="s">
        <v>2</v>
      </c>
      <c r="D130" s="6" t="s">
        <v>3</v>
      </c>
      <c r="E130" s="6" t="s">
        <v>920</v>
      </c>
      <c r="F130" s="6" t="s">
        <v>319</v>
      </c>
      <c r="G130" s="7" t="s">
        <v>4</v>
      </c>
      <c r="H130" s="7" t="s">
        <v>5</v>
      </c>
      <c r="I130" s="4"/>
      <c r="J130" s="8" t="s">
        <v>6</v>
      </c>
      <c r="K130" s="9">
        <f>SUM(Tabla110345345445545647945586877869510811712713622823724627389[Total costo])</f>
        <v>11512.63741008</v>
      </c>
      <c r="M130" s="346"/>
    </row>
    <row r="131" spans="2:13" x14ac:dyDescent="0.3">
      <c r="B131" s="10" t="s">
        <v>240</v>
      </c>
      <c r="C131" s="11" t="s">
        <v>847</v>
      </c>
      <c r="D131" s="12">
        <v>1</v>
      </c>
      <c r="E131" s="12">
        <v>0</v>
      </c>
      <c r="F131" s="12">
        <v>1</v>
      </c>
      <c r="G131" s="13">
        <f>+VLOOKUP(Tabla110345345445545647945586877869510811712713622823724627389[[#This Row],[Ingrediente]],Tabla34[#All],3,0)</f>
        <v>4005.2666666700002</v>
      </c>
      <c r="H131" s="14">
        <f>+Tabla110345345445545647945586877869510811712713622823724627389[[#This Row],[Costo]]*Tabla110345345445545647945586877869510811712713622823724627389[[#This Row],[Columna2]]</f>
        <v>4005.2666666700002</v>
      </c>
      <c r="I131" s="4"/>
      <c r="J131" s="8" t="s">
        <v>12</v>
      </c>
      <c r="K131" s="15">
        <f>+K130*10%</f>
        <v>1151.2637410080001</v>
      </c>
    </row>
    <row r="132" spans="2:13" x14ac:dyDescent="0.3">
      <c r="B132" s="10" t="s">
        <v>582</v>
      </c>
      <c r="C132" s="11" t="s">
        <v>605</v>
      </c>
      <c r="D132" s="12">
        <v>1</v>
      </c>
      <c r="E132" s="12">
        <v>0</v>
      </c>
      <c r="F132" s="12">
        <v>1</v>
      </c>
      <c r="G132" s="13">
        <f>+VLOOKUP(Tabla110345345445545647945586877869510811712713622823724627389[[#This Row],[Ingrediente]],Tabla34[#All],3,0)</f>
        <v>6045</v>
      </c>
      <c r="H132" s="14">
        <f>+Tabla110345345445545647945586877869510811712713622823724627389[[#This Row],[Costo]]*Tabla110345345445545647945586877869510811712713622823724627389[[#This Row],[Columna2]]</f>
        <v>6045</v>
      </c>
      <c r="I132" s="4"/>
      <c r="J132" s="8" t="s">
        <v>13</v>
      </c>
      <c r="K132" s="15">
        <f>+K130+K131</f>
        <v>12663.901151088001</v>
      </c>
    </row>
    <row r="133" spans="2:13" x14ac:dyDescent="0.3">
      <c r="B133" s="10" t="s">
        <v>1130</v>
      </c>
      <c r="C133" s="11" t="s">
        <v>67</v>
      </c>
      <c r="D133" s="12">
        <v>15</v>
      </c>
      <c r="E133" s="12">
        <v>0</v>
      </c>
      <c r="F133" s="12">
        <v>15</v>
      </c>
      <c r="G133" s="13">
        <f>+VLOOKUP(Tabla110345345445545647945586877869510811712713622823724627389[[#This Row],[Ingrediente]],Tabla34[#All],3,0)</f>
        <v>4.2533333300000002</v>
      </c>
      <c r="H133" s="14">
        <f>+Tabla110345345445545647945586877869510811712713622823724627389[[#This Row],[Costo]]*Tabla110345345445545647945586877869510811712713622823724627389[[#This Row],[Columna2]]</f>
        <v>63.79999995</v>
      </c>
      <c r="I133" s="4"/>
      <c r="J133" s="20" t="s">
        <v>14</v>
      </c>
      <c r="K133" s="21">
        <v>42000</v>
      </c>
    </row>
    <row r="134" spans="2:13" x14ac:dyDescent="0.3">
      <c r="B134" s="10" t="s">
        <v>134</v>
      </c>
      <c r="C134" s="11" t="s">
        <v>67</v>
      </c>
      <c r="D134" s="12">
        <v>15</v>
      </c>
      <c r="E134" s="12">
        <v>0</v>
      </c>
      <c r="F134" s="12">
        <v>15</v>
      </c>
      <c r="G134" s="13">
        <f>+VLOOKUP(Tabla110345345445545647945586877869510811712713622823724627389[[#This Row],[Ingrediente]],Tabla34[#All],3,0)</f>
        <v>5.7702915900000002</v>
      </c>
      <c r="H134" s="14">
        <f>+Tabla110345345445545647945586877869510811712713622823724627389[[#This Row],[Costo]]*Tabla110345345445545647945586877869510811712713622823724627389[[#This Row],[Columna2]]</f>
        <v>86.554373850000005</v>
      </c>
      <c r="I134" s="4"/>
      <c r="J134" s="8" t="s">
        <v>15</v>
      </c>
      <c r="K134" s="15">
        <f>+K133/1.08*0.08</f>
        <v>3111.1111111111109</v>
      </c>
    </row>
    <row r="135" spans="2:13" x14ac:dyDescent="0.3">
      <c r="B135" s="10" t="s">
        <v>186</v>
      </c>
      <c r="C135" s="11" t="s">
        <v>67</v>
      </c>
      <c r="D135" s="12">
        <v>5</v>
      </c>
      <c r="E135" s="12">
        <v>0</v>
      </c>
      <c r="F135" s="12">
        <v>5</v>
      </c>
      <c r="G135" s="13">
        <f>+VLOOKUP(Tabla110345345445545647945586877869510811712713622823724627389[[#This Row],[Ingrediente]],Tabla34[#All],3,0)</f>
        <v>233.07427392</v>
      </c>
      <c r="H135" s="14">
        <f>+Tabla110345345445545647945586877869510811712713622823724627389[[#This Row],[Costo]]*Tabla110345345445545647945586877869510811712713622823724627389[[#This Row],[Columna2]]</f>
        <v>1165.3713696</v>
      </c>
      <c r="I135" s="4"/>
      <c r="J135" s="8" t="s">
        <v>16</v>
      </c>
      <c r="K135" s="15">
        <f>+K133-K134</f>
        <v>38888.888888888891</v>
      </c>
    </row>
    <row r="136" spans="2:13" x14ac:dyDescent="0.3">
      <c r="B136" s="10" t="s">
        <v>989</v>
      </c>
      <c r="C136" s="11" t="s">
        <v>67</v>
      </c>
      <c r="D136" s="12">
        <v>1</v>
      </c>
      <c r="E136" s="12">
        <v>0</v>
      </c>
      <c r="F136" s="12">
        <v>1</v>
      </c>
      <c r="G136" s="13">
        <f>+VLOOKUP(Tabla110345345445545647945586877869510811712713622823724627389[[#This Row],[Ingrediente]],Tabla34[#All],3,0)</f>
        <v>100</v>
      </c>
      <c r="H136" s="14">
        <f>+Tabla110345345445545647945586877869510811712713622823724627389[[#This Row],[Costo]]*Tabla110345345445545647945586877869510811712713622823724627389[[#This Row],[Columna2]]</f>
        <v>100</v>
      </c>
      <c r="I136" s="4"/>
      <c r="J136" s="8" t="s">
        <v>17</v>
      </c>
      <c r="K136" s="22">
        <f>+K132/K135</f>
        <v>0.32564317245654856</v>
      </c>
    </row>
    <row r="137" spans="2:13" x14ac:dyDescent="0.3">
      <c r="B137" s="10" t="s">
        <v>709</v>
      </c>
      <c r="C137" s="11" t="s">
        <v>67</v>
      </c>
      <c r="D137" s="12">
        <v>10</v>
      </c>
      <c r="E137" s="12">
        <v>0</v>
      </c>
      <c r="F137" s="12">
        <v>10</v>
      </c>
      <c r="G137" s="13">
        <f>+VLOOKUP(Tabla110345345445545647945586877869510811712713622823724627389[[#This Row],[Ingrediente]],Tabla34[#All],3,0)</f>
        <v>3.2</v>
      </c>
      <c r="H137" s="14">
        <f>+Tabla110345345445545647945586877869510811712713622823724627389[[#This Row],[Costo]]*Tabla110345345445545647945586877869510811712713622823724627389[[#This Row],[Columna2]]</f>
        <v>32</v>
      </c>
      <c r="I137" s="4"/>
      <c r="J137" s="8" t="s">
        <v>18</v>
      </c>
      <c r="K137" s="23">
        <f>+K135-K132</f>
        <v>26224.98773780089</v>
      </c>
    </row>
    <row r="138" spans="2:13" x14ac:dyDescent="0.3">
      <c r="B138" s="10" t="s">
        <v>85</v>
      </c>
      <c r="C138" s="11" t="s">
        <v>67</v>
      </c>
      <c r="D138" s="12">
        <v>3</v>
      </c>
      <c r="E138" s="12">
        <v>0</v>
      </c>
      <c r="F138" s="12">
        <v>3</v>
      </c>
      <c r="G138" s="13">
        <f>+VLOOKUP(Tabla110345345445545647945586877869510811712713622823724627389[[#This Row],[Ingrediente]],Tabla34[#All],3,0)</f>
        <v>4.8816666700000004</v>
      </c>
      <c r="H138" s="14">
        <f>+Tabla110345345445545647945586877869510811712713622823724627389[[#This Row],[Costo]]*Tabla110345345445545647945586877869510811712713622823724627389[[#This Row],[Columna2]]</f>
        <v>14.64500001</v>
      </c>
      <c r="I138" s="4"/>
      <c r="J138" s="8" t="s">
        <v>19</v>
      </c>
      <c r="K138" s="25">
        <f>+K137/K132</f>
        <v>2.0708458969255146</v>
      </c>
    </row>
    <row r="139" spans="2:13" x14ac:dyDescent="0.3">
      <c r="B139" s="16"/>
      <c r="C139" s="17"/>
      <c r="D139" s="17"/>
      <c r="E139" s="17"/>
      <c r="F139" s="17"/>
      <c r="G139" s="18"/>
      <c r="H139" s="18">
        <f>SUBTOTAL(109,Tabla110345345445545647945586877869510811712713622823724627389[Total costo])</f>
        <v>11512.63741008</v>
      </c>
      <c r="I139" s="4"/>
    </row>
    <row r="142" spans="2:13" ht="15.6" x14ac:dyDescent="0.3">
      <c r="B142" s="1" t="s">
        <v>1355</v>
      </c>
      <c r="C142" s="2"/>
      <c r="D142" s="2"/>
      <c r="E142" s="3"/>
      <c r="F142" s="3"/>
      <c r="G142" s="3"/>
      <c r="H142" s="3"/>
      <c r="I142" s="4"/>
      <c r="J142" s="399" t="s">
        <v>0</v>
      </c>
      <c r="K142" s="399"/>
      <c r="M142" s="377" t="s">
        <v>1394</v>
      </c>
    </row>
    <row r="143" spans="2:13" x14ac:dyDescent="0.3">
      <c r="B143" s="5" t="s">
        <v>1</v>
      </c>
      <c r="C143" s="6" t="s">
        <v>2</v>
      </c>
      <c r="D143" s="6" t="s">
        <v>3</v>
      </c>
      <c r="E143" s="6" t="s">
        <v>920</v>
      </c>
      <c r="F143" s="6" t="s">
        <v>319</v>
      </c>
      <c r="G143" s="7" t="s">
        <v>4</v>
      </c>
      <c r="H143" s="7" t="s">
        <v>5</v>
      </c>
      <c r="I143" s="4"/>
      <c r="J143" s="8" t="s">
        <v>6</v>
      </c>
      <c r="K143" s="9">
        <f>SUM(Tabla11034534544554564794558687786951081171271362282372462738910[Total costo])</f>
        <v>5481.3835404699994</v>
      </c>
      <c r="M143" s="346"/>
    </row>
    <row r="144" spans="2:13" x14ac:dyDescent="0.3">
      <c r="B144" s="10" t="s">
        <v>240</v>
      </c>
      <c r="C144" s="11" t="s">
        <v>847</v>
      </c>
      <c r="D144" s="12">
        <v>1</v>
      </c>
      <c r="E144" s="12">
        <v>0</v>
      </c>
      <c r="F144" s="12">
        <v>1</v>
      </c>
      <c r="G144" s="13">
        <f>+VLOOKUP(Tabla11034534544554564794558687786951081171271362282372462738910[[#This Row],[Ingrediente]],Tabla34[#All],3,0)</f>
        <v>4005.2666666700002</v>
      </c>
      <c r="H144" s="14">
        <f>+Tabla11034534544554564794558687786951081171271362282372462738910[[#This Row],[Costo]]*Tabla11034534544554564794558687786951081171271362282372462738910[[#This Row],[Columna2]]</f>
        <v>4005.2666666700002</v>
      </c>
      <c r="I144" s="4"/>
      <c r="J144" s="8" t="s">
        <v>12</v>
      </c>
      <c r="K144" s="15">
        <f>+K143*10%</f>
        <v>548.13835404700001</v>
      </c>
    </row>
    <row r="145" spans="2:11" x14ac:dyDescent="0.3">
      <c r="B145" s="10" t="s">
        <v>1130</v>
      </c>
      <c r="C145" s="11" t="s">
        <v>67</v>
      </c>
      <c r="D145" s="12">
        <v>15</v>
      </c>
      <c r="E145" s="12">
        <v>0</v>
      </c>
      <c r="F145" s="12">
        <v>15</v>
      </c>
      <c r="G145" s="13">
        <f>+VLOOKUP(Tabla11034534544554564794558687786951081171271362282372462738910[[#This Row],[Ingrediente]],Tabla34[#All],3,0)</f>
        <v>4.2533333300000002</v>
      </c>
      <c r="H145" s="14">
        <f>+Tabla11034534544554564794558687786951081171271362282372462738910[[#This Row],[Costo]]*Tabla11034534544554564794558687786951081171271362282372462738910[[#This Row],[Columna2]]</f>
        <v>63.79999995</v>
      </c>
      <c r="I145" s="4"/>
      <c r="J145" s="8" t="s">
        <v>13</v>
      </c>
      <c r="K145" s="15">
        <f>+K143+K144</f>
        <v>6029.5218945169991</v>
      </c>
    </row>
    <row r="146" spans="2:11" x14ac:dyDescent="0.3">
      <c r="B146" s="10" t="s">
        <v>134</v>
      </c>
      <c r="C146" s="11" t="s">
        <v>67</v>
      </c>
      <c r="D146" s="12">
        <v>15</v>
      </c>
      <c r="E146" s="12">
        <v>0</v>
      </c>
      <c r="F146" s="12">
        <v>15</v>
      </c>
      <c r="G146" s="13">
        <f>+VLOOKUP(Tabla11034534544554564794558687786951081171271362282372462738910[[#This Row],[Ingrediente]],Tabla34[#All],3,0)</f>
        <v>5.7702915900000002</v>
      </c>
      <c r="H146" s="14">
        <f>+Tabla11034534544554564794558687786951081171271362282372462738910[[#This Row],[Costo]]*Tabla11034534544554564794558687786951081171271362282372462738910[[#This Row],[Columna2]]</f>
        <v>86.554373850000005</v>
      </c>
      <c r="I146" s="4"/>
      <c r="J146" s="20" t="s">
        <v>14</v>
      </c>
      <c r="K146" s="21">
        <v>42000</v>
      </c>
    </row>
    <row r="147" spans="2:11" x14ac:dyDescent="0.3">
      <c r="B147" s="10" t="s">
        <v>1354</v>
      </c>
      <c r="C147" s="11" t="s">
        <v>605</v>
      </c>
      <c r="D147" s="12">
        <v>0.5</v>
      </c>
      <c r="E147" s="12">
        <v>0</v>
      </c>
      <c r="F147" s="12">
        <v>0.5</v>
      </c>
      <c r="G147" s="13">
        <f>+VLOOKUP(Tabla11034534544554564794558687786951081171271362282372462738910[[#This Row],[Ingrediente]],Tabla34[#All],3,0)</f>
        <v>1739</v>
      </c>
      <c r="H147" s="14">
        <f>+Tabla11034534544554564794558687786951081171271362282372462738910[[#This Row],[Costo]]*Tabla11034534544554564794558687786951081171271362282372462738910[[#This Row],[Columna2]]</f>
        <v>869.5</v>
      </c>
      <c r="I147" s="4"/>
      <c r="J147" s="8" t="s">
        <v>15</v>
      </c>
      <c r="K147" s="15">
        <f>+K146/1.08*0.08</f>
        <v>3111.1111111111109</v>
      </c>
    </row>
    <row r="148" spans="2:11" x14ac:dyDescent="0.3">
      <c r="B148" s="10" t="s">
        <v>709</v>
      </c>
      <c r="C148" s="11" t="s">
        <v>67</v>
      </c>
      <c r="D148" s="12">
        <v>5</v>
      </c>
      <c r="E148" s="12">
        <v>0</v>
      </c>
      <c r="F148" s="12">
        <v>5</v>
      </c>
      <c r="G148" s="13">
        <f>+VLOOKUP(Tabla11034534544554564794558687786951081171271362282372462738910[[#This Row],[Ingrediente]],Tabla34[#All],3,0)</f>
        <v>3.2</v>
      </c>
      <c r="H148" s="14">
        <f>+Tabla11034534544554564794558687786951081171271362282372462738910[[#This Row],[Costo]]*Tabla11034534544554564794558687786951081171271362282372462738910[[#This Row],[Columna2]]</f>
        <v>16</v>
      </c>
      <c r="I148" s="4"/>
      <c r="J148" s="8" t="s">
        <v>16</v>
      </c>
      <c r="K148" s="15">
        <f>+K146-K147</f>
        <v>38888.888888888891</v>
      </c>
    </row>
    <row r="149" spans="2:11" x14ac:dyDescent="0.3">
      <c r="B149" s="10" t="s">
        <v>751</v>
      </c>
      <c r="C149" s="11" t="s">
        <v>67</v>
      </c>
      <c r="D149" s="12">
        <v>3</v>
      </c>
      <c r="E149" s="12">
        <v>0</v>
      </c>
      <c r="F149" s="12">
        <v>3</v>
      </c>
      <c r="G149" s="13">
        <f>+VLOOKUP(Tabla11034534544554564794558687786951081171271362282372462738910[[#This Row],[Ingrediente]],Tabla34[#All],3,0)</f>
        <v>16</v>
      </c>
      <c r="H149" s="14">
        <f>+Tabla11034534544554564794558687786951081171271362282372462738910[[#This Row],[Costo]]*Tabla11034534544554564794558687786951081171271362282372462738910[[#This Row],[Columna2]]</f>
        <v>48</v>
      </c>
      <c r="I149" s="4"/>
      <c r="J149" s="8" t="s">
        <v>17</v>
      </c>
      <c r="K149" s="22">
        <f>+K145/K148</f>
        <v>0.1550448487161514</v>
      </c>
    </row>
    <row r="150" spans="2:11" x14ac:dyDescent="0.3">
      <c r="B150" s="10" t="s">
        <v>228</v>
      </c>
      <c r="C150" s="11" t="s">
        <v>847</v>
      </c>
      <c r="D150" s="12">
        <v>0.25</v>
      </c>
      <c r="E150" s="12">
        <v>0</v>
      </c>
      <c r="F150" s="12">
        <v>0.25</v>
      </c>
      <c r="G150" s="13">
        <f>+VLOOKUP(Tabla11034534544554564794558687786951081171271362282372462738910[[#This Row],[Ingrediente]],Tabla34[#All],3,0)</f>
        <v>1569.05</v>
      </c>
      <c r="H150" s="14">
        <f>+Tabla11034534544554564794558687786951081171271362282372462738910[[#This Row],[Costo]]*Tabla11034534544554564794558687786951081171271362282372462738910[[#This Row],[Columna2]]</f>
        <v>392.26249999999999</v>
      </c>
      <c r="I150" s="4"/>
      <c r="J150" s="8" t="s">
        <v>18</v>
      </c>
      <c r="K150" s="23">
        <f>+K148-K145</f>
        <v>32859.366994371892</v>
      </c>
    </row>
    <row r="151" spans="2:11" x14ac:dyDescent="0.3">
      <c r="B151" s="16"/>
      <c r="C151" s="17"/>
      <c r="D151" s="17"/>
      <c r="E151" s="17"/>
      <c r="F151" s="17"/>
      <c r="G151" s="18"/>
      <c r="H151" s="76">
        <f>SUBTOTAL(109,Tabla11034534544554564794558687786951081171271362282372462738910[Total costo])</f>
        <v>5481.3835404699994</v>
      </c>
      <c r="I151" s="4"/>
      <c r="J151" s="8" t="s">
        <v>19</v>
      </c>
      <c r="K151" s="25">
        <f>+K150/K145</f>
        <v>5.4497466912348154</v>
      </c>
    </row>
    <row r="152" spans="2:11" x14ac:dyDescent="0.3">
      <c r="I152" s="4"/>
    </row>
  </sheetData>
  <mergeCells count="11">
    <mergeCell ref="J129:K129"/>
    <mergeCell ref="J142:K142"/>
    <mergeCell ref="J116:K116"/>
    <mergeCell ref="J6:K6"/>
    <mergeCell ref="J21:K21"/>
    <mergeCell ref="J36:K36"/>
    <mergeCell ref="J48:K48"/>
    <mergeCell ref="J61:K61"/>
    <mergeCell ref="J102:K102"/>
    <mergeCell ref="J73:K73"/>
    <mergeCell ref="J89:K89"/>
  </mergeCells>
  <phoneticPr fontId="16" type="noConversion"/>
  <conditionalFormatting sqref="K13">
    <cfRule type="cellIs" dxfId="2335" priority="33" operator="lessThan">
      <formula>0.3</formula>
    </cfRule>
    <cfRule type="cellIs" dxfId="2334" priority="34" operator="greaterThan">
      <formula>0.3</formula>
    </cfRule>
  </conditionalFormatting>
  <conditionalFormatting sqref="K28">
    <cfRule type="cellIs" dxfId="2333" priority="31" operator="lessThan">
      <formula>0.3</formula>
    </cfRule>
    <cfRule type="cellIs" dxfId="2332" priority="32" operator="greaterThan">
      <formula>0.3</formula>
    </cfRule>
  </conditionalFormatting>
  <conditionalFormatting sqref="K43">
    <cfRule type="cellIs" dxfId="2331" priority="29" operator="lessThan">
      <formula>0.3</formula>
    </cfRule>
    <cfRule type="cellIs" dxfId="2330" priority="30" operator="greaterThan">
      <formula>0.3</formula>
    </cfRule>
  </conditionalFormatting>
  <conditionalFormatting sqref="K55">
    <cfRule type="cellIs" dxfId="2329" priority="27" operator="lessThan">
      <formula>0.3</formula>
    </cfRule>
    <cfRule type="cellIs" dxfId="2328" priority="28" operator="greaterThan">
      <formula>0.3</formula>
    </cfRule>
  </conditionalFormatting>
  <conditionalFormatting sqref="K68">
    <cfRule type="cellIs" dxfId="2327" priority="25" operator="lessThan">
      <formula>0.3</formula>
    </cfRule>
    <cfRule type="cellIs" dxfId="2326" priority="26" operator="greaterThan">
      <formula>0.3</formula>
    </cfRule>
  </conditionalFormatting>
  <conditionalFormatting sqref="K80">
    <cfRule type="cellIs" dxfId="2325" priority="13" operator="lessThan">
      <formula>0.3</formula>
    </cfRule>
    <cfRule type="cellIs" dxfId="2324" priority="14" operator="greaterThan">
      <formula>0.3</formula>
    </cfRule>
  </conditionalFormatting>
  <conditionalFormatting sqref="K96">
    <cfRule type="cellIs" dxfId="2323" priority="11" operator="lessThan">
      <formula>0.3</formula>
    </cfRule>
    <cfRule type="cellIs" dxfId="2322" priority="12" operator="greaterThan">
      <formula>0.3</formula>
    </cfRule>
  </conditionalFormatting>
  <conditionalFormatting sqref="K109">
    <cfRule type="cellIs" dxfId="2321" priority="9" operator="lessThan">
      <formula>0.3</formula>
    </cfRule>
    <cfRule type="cellIs" dxfId="2320" priority="10" operator="greaterThan">
      <formula>0.3</formula>
    </cfRule>
  </conditionalFormatting>
  <conditionalFormatting sqref="K123">
    <cfRule type="cellIs" dxfId="2319" priority="5" operator="lessThan">
      <formula>0.3</formula>
    </cfRule>
    <cfRule type="cellIs" dxfId="2318" priority="6" operator="greaterThan">
      <formula>0.3</formula>
    </cfRule>
  </conditionalFormatting>
  <conditionalFormatting sqref="K136">
    <cfRule type="cellIs" dxfId="2317" priority="3" operator="lessThan">
      <formula>0.3</formula>
    </cfRule>
    <cfRule type="cellIs" dxfId="2316" priority="4" operator="greaterThan">
      <formula>0.3</formula>
    </cfRule>
  </conditionalFormatting>
  <conditionalFormatting sqref="K149">
    <cfRule type="cellIs" dxfId="2315" priority="1" operator="lessThan">
      <formula>0.3</formula>
    </cfRule>
    <cfRule type="cellIs" dxfId="2314" priority="2" operator="greaterThan">
      <formula>0.3</formula>
    </cfRule>
  </conditionalFormatting>
  <pageMargins left="0.7" right="0.7" top="0.75" bottom="0.75" header="0.3" footer="0.3"/>
  <pageSetup orientation="portrait" horizontalDpi="360" verticalDpi="360" r:id="rId1"/>
  <drawing r:id="rId2"/>
  <tableParts count="2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7CA8-6943-426A-8548-F8646E39C8F3}">
  <dimension ref="B6:M346"/>
  <sheetViews>
    <sheetView showGridLines="0" topLeftCell="A337" zoomScaleNormal="100" workbookViewId="0">
      <selection activeCell="M329" sqref="M329:M330"/>
    </sheetView>
  </sheetViews>
  <sheetFormatPr baseColWidth="10" defaultRowHeight="13.8" x14ac:dyDescent="0.25"/>
  <cols>
    <col min="1" max="1" width="4" style="84" customWidth="1"/>
    <col min="2" max="2" width="42.6640625" style="84" customWidth="1"/>
    <col min="3" max="3" width="9.44140625" style="84" customWidth="1"/>
    <col min="4" max="4" width="10.33203125" style="84" customWidth="1"/>
    <col min="5" max="5" width="8.5546875" style="84" customWidth="1"/>
    <col min="6" max="6" width="8.77734375" style="84" customWidth="1"/>
    <col min="7" max="7" width="9.33203125" style="84" customWidth="1"/>
    <col min="8" max="8" width="11.77734375" style="84" customWidth="1"/>
    <col min="9" max="9" width="3.77734375" style="84" customWidth="1"/>
    <col min="10" max="10" width="27.21875" style="84" bestFit="1" customWidth="1"/>
    <col min="11" max="11" width="13.21875" style="84" bestFit="1" customWidth="1"/>
    <col min="12" max="12" width="19.33203125" style="84" bestFit="1" customWidth="1"/>
    <col min="13" max="16384" width="11.5546875" style="84"/>
  </cols>
  <sheetData>
    <row r="6" spans="2:13" x14ac:dyDescent="0.25">
      <c r="G6" s="89"/>
      <c r="H6" s="89"/>
      <c r="I6" s="31"/>
    </row>
    <row r="7" spans="2:13" ht="15.6" x14ac:dyDescent="0.3">
      <c r="B7" s="251" t="s">
        <v>253</v>
      </c>
      <c r="C7" s="87"/>
      <c r="D7" s="87"/>
      <c r="E7" s="88"/>
      <c r="F7" s="88"/>
      <c r="G7" s="88"/>
      <c r="H7" s="88"/>
      <c r="I7" s="89"/>
      <c r="J7" s="403" t="s">
        <v>0</v>
      </c>
      <c r="K7" s="403"/>
      <c r="M7" s="377" t="s">
        <v>1394</v>
      </c>
    </row>
    <row r="8" spans="2:13" x14ac:dyDescent="0.25">
      <c r="B8" s="90" t="s">
        <v>1</v>
      </c>
      <c r="C8" s="91" t="s">
        <v>2</v>
      </c>
      <c r="D8" s="91" t="s">
        <v>3</v>
      </c>
      <c r="E8" s="91" t="s">
        <v>920</v>
      </c>
      <c r="F8" s="91" t="s">
        <v>319</v>
      </c>
      <c r="G8" s="92" t="s">
        <v>4</v>
      </c>
      <c r="H8" s="92" t="s">
        <v>5</v>
      </c>
      <c r="I8" s="89"/>
      <c r="J8" s="93" t="s">
        <v>6</v>
      </c>
      <c r="K8" s="94">
        <f>SUM(Tabla110345345445545647936465969788796109118128137229238460250[Total costo])</f>
        <v>10992.418112564999</v>
      </c>
      <c r="M8" s="346"/>
    </row>
    <row r="9" spans="2:13" x14ac:dyDescent="0.25">
      <c r="B9" s="95" t="s">
        <v>105</v>
      </c>
      <c r="C9" s="96" t="s">
        <v>847</v>
      </c>
      <c r="D9" s="101">
        <v>0.5</v>
      </c>
      <c r="E9" s="101">
        <v>0</v>
      </c>
      <c r="F9" s="101">
        <v>0.5</v>
      </c>
      <c r="G9" s="98">
        <f>+VLOOKUP(Tabla110345345445545647936465969788796109118128137229238460250[[#This Row],[Ingrediente]],Tabla34[#All],3,0)</f>
        <v>2714.2857142900002</v>
      </c>
      <c r="H9" s="99">
        <f>+Tabla110345345445545647936465969788796109118128137229238460250[[#This Row],[Costo]]*Tabla110345345445545647936465969788796109118128137229238460250[[#This Row],[Columna2]]</f>
        <v>1357.1428571450001</v>
      </c>
      <c r="I9" s="89"/>
      <c r="J9" s="93" t="s">
        <v>12</v>
      </c>
      <c r="K9" s="100">
        <f>+K8*10%</f>
        <v>1099.2418112564999</v>
      </c>
    </row>
    <row r="10" spans="2:13" x14ac:dyDescent="0.25">
      <c r="B10" s="95" t="s">
        <v>223</v>
      </c>
      <c r="C10" s="96" t="s">
        <v>67</v>
      </c>
      <c r="D10" s="101">
        <v>2</v>
      </c>
      <c r="E10" s="101">
        <v>0</v>
      </c>
      <c r="F10" s="101">
        <v>2</v>
      </c>
      <c r="G10" s="98">
        <f>+VLOOKUP(Tabla110345345445545647936465969788796109118128137229238460250[[#This Row],[Ingrediente]],Tabla34[#All],3,0)</f>
        <v>61.682499999999997</v>
      </c>
      <c r="H10" s="99">
        <f>+Tabla110345345445545647936465969788796109118128137229238460250[[#This Row],[Costo]]*Tabla110345345445545647936465969788796109118128137229238460250[[#This Row],[Columna2]]</f>
        <v>123.36499999999999</v>
      </c>
      <c r="I10" s="89"/>
      <c r="J10" s="93" t="s">
        <v>13</v>
      </c>
      <c r="K10" s="100">
        <f>+K8+K9</f>
        <v>12091.659923821499</v>
      </c>
    </row>
    <row r="11" spans="2:13" x14ac:dyDescent="0.25">
      <c r="B11" s="95" t="s">
        <v>1319</v>
      </c>
      <c r="C11" s="96" t="s">
        <v>605</v>
      </c>
      <c r="D11" s="101">
        <v>1</v>
      </c>
      <c r="E11" s="101">
        <v>0</v>
      </c>
      <c r="F11" s="101">
        <v>1</v>
      </c>
      <c r="G11" s="98">
        <f>+VLOOKUP(Tabla110345345445545647936465969788796109118128137229238460250[[#This Row],[Ingrediente]],Tabla34[#All],3,0)</f>
        <v>1750</v>
      </c>
      <c r="H11" s="99">
        <f>+Tabla110345345445545647936465969788796109118128137229238460250[[#This Row],[Costo]]*Tabla110345345445545647936465969788796109118128137229238460250[[#This Row],[Columna2]]</f>
        <v>1750</v>
      </c>
      <c r="I11" s="89"/>
      <c r="J11" s="102" t="s">
        <v>14</v>
      </c>
      <c r="K11" s="103">
        <v>43500</v>
      </c>
    </row>
    <row r="12" spans="2:13" x14ac:dyDescent="0.25">
      <c r="B12" s="95" t="s">
        <v>587</v>
      </c>
      <c r="C12" s="96" t="s">
        <v>847</v>
      </c>
      <c r="D12" s="101">
        <v>1</v>
      </c>
      <c r="E12" s="101">
        <v>0</v>
      </c>
      <c r="F12" s="101">
        <v>1</v>
      </c>
      <c r="G12" s="98">
        <f>+VLOOKUP(Tabla110345345445545647936465969788796109118128137229238460250[[#This Row],[Ingrediente]],Tabla34[#All],3,0)</f>
        <v>91.930254820000002</v>
      </c>
      <c r="H12" s="99">
        <f>+Tabla110345345445545647936465969788796109118128137229238460250[[#This Row],[Costo]]*Tabla110345345445545647936465969788796109118128137229238460250[[#This Row],[Columna2]]</f>
        <v>91.930254820000002</v>
      </c>
      <c r="I12" s="89"/>
      <c r="J12" s="93" t="s">
        <v>15</v>
      </c>
      <c r="K12" s="100">
        <f>+K11/1.08*0.08</f>
        <v>3222.2222222222222</v>
      </c>
    </row>
    <row r="13" spans="2:13" x14ac:dyDescent="0.25">
      <c r="B13" s="95" t="s">
        <v>168</v>
      </c>
      <c r="C13" s="96" t="s">
        <v>67</v>
      </c>
      <c r="D13" s="101">
        <v>30</v>
      </c>
      <c r="E13" s="101">
        <v>0</v>
      </c>
      <c r="F13" s="101">
        <v>30</v>
      </c>
      <c r="G13" s="98">
        <f>+VLOOKUP(Tabla110345345445545647936465969788796109118128137229238460250[[#This Row],[Ingrediente]],Tabla34[#All],3,0)</f>
        <v>10.86600002</v>
      </c>
      <c r="H13" s="99">
        <f>+Tabla110345345445545647936465969788796109118128137229238460250[[#This Row],[Costo]]*Tabla110345345445545647936465969788796109118128137229238460250[[#This Row],[Columna2]]</f>
        <v>325.98000059999998</v>
      </c>
      <c r="I13" s="89"/>
      <c r="J13" s="93" t="s">
        <v>16</v>
      </c>
      <c r="K13" s="100">
        <f>+K11-K12</f>
        <v>40277.777777777781</v>
      </c>
    </row>
    <row r="14" spans="2:13" x14ac:dyDescent="0.25">
      <c r="B14" s="95" t="s">
        <v>1318</v>
      </c>
      <c r="C14" s="96" t="s">
        <v>605</v>
      </c>
      <c r="D14" s="101">
        <v>2</v>
      </c>
      <c r="E14" s="101">
        <v>0</v>
      </c>
      <c r="F14" s="101">
        <v>2</v>
      </c>
      <c r="G14" s="98">
        <f>+VLOOKUP(Tabla110345345445545647936465969788796109118128137229238460250[[#This Row],[Ingrediente]],Tabla34[#All],3,0)</f>
        <v>3672</v>
      </c>
      <c r="H14" s="99">
        <f>+Tabla110345345445545647936465969788796109118128137229238460250[[#This Row],[Costo]]*Tabla110345345445545647936465969788796109118128137229238460250[[#This Row],[Columna2]]</f>
        <v>7344</v>
      </c>
      <c r="I14" s="89"/>
      <c r="J14" s="93" t="s">
        <v>17</v>
      </c>
      <c r="K14" s="22">
        <f>+K10/K13</f>
        <v>0.30020672914315444</v>
      </c>
    </row>
    <row r="15" spans="2:13" x14ac:dyDescent="0.25">
      <c r="B15" s="104"/>
      <c r="C15" s="105"/>
      <c r="D15" s="105"/>
      <c r="E15" s="105"/>
      <c r="F15" s="105"/>
      <c r="G15" s="106"/>
      <c r="H15" s="106">
        <f>SUBTOTAL(109,Tabla110345345445545647936465969788796109118128137229238460250[Total costo])</f>
        <v>10992.418112564999</v>
      </c>
      <c r="I15" s="89"/>
      <c r="J15" s="93" t="s">
        <v>18</v>
      </c>
      <c r="K15" s="23">
        <f>+K13-K10</f>
        <v>28186.117853956282</v>
      </c>
    </row>
    <row r="16" spans="2:13" x14ac:dyDescent="0.25">
      <c r="G16" s="89"/>
    </row>
    <row r="17" spans="2:13" ht="15.6" x14ac:dyDescent="0.3">
      <c r="B17" s="251" t="s">
        <v>295</v>
      </c>
      <c r="C17" s="87"/>
      <c r="D17" s="87"/>
      <c r="E17" s="88"/>
      <c r="F17" s="88"/>
      <c r="G17" s="88"/>
      <c r="H17" s="88"/>
      <c r="I17" s="325"/>
      <c r="J17" s="403" t="s">
        <v>0</v>
      </c>
      <c r="K17" s="403"/>
      <c r="M17" s="377" t="s">
        <v>1394</v>
      </c>
    </row>
    <row r="18" spans="2:13" x14ac:dyDescent="0.25">
      <c r="B18" s="104" t="s">
        <v>857</v>
      </c>
      <c r="C18" s="104" t="s">
        <v>895</v>
      </c>
      <c r="D18" s="104" t="s">
        <v>892</v>
      </c>
      <c r="E18" s="104" t="s">
        <v>893</v>
      </c>
      <c r="F18" s="104" t="s">
        <v>894</v>
      </c>
      <c r="G18" s="104" t="s">
        <v>901</v>
      </c>
      <c r="H18" s="104" t="s">
        <v>902</v>
      </c>
      <c r="I18" s="89"/>
      <c r="J18" s="93" t="s">
        <v>6</v>
      </c>
      <c r="K18" s="94">
        <f>SUM(Tabla11034534544554564793639496272819099112121131140232241[Coste LÃ­nea])</f>
        <v>9572.5496698999996</v>
      </c>
      <c r="M18" s="346"/>
    </row>
    <row r="19" spans="2:13" x14ac:dyDescent="0.25">
      <c r="B19" s="95" t="s">
        <v>89</v>
      </c>
      <c r="C19" s="96" t="s">
        <v>67</v>
      </c>
      <c r="D19" s="101">
        <v>1</v>
      </c>
      <c r="E19" s="101">
        <v>0</v>
      </c>
      <c r="F19" s="101">
        <v>1</v>
      </c>
      <c r="G19" s="98">
        <f>+VLOOKUP(Tabla11034534544554564793639496272819099112121131140232241[[#This Row],[ArtÃ­culo]],Tabla34[#All],3,0)</f>
        <v>2.4009999999999998</v>
      </c>
      <c r="H19" s="99">
        <f>+Tabla11034534544554564793639496272819099112121131140232241[[#This Row],[Coste Componente]]*Tabla11034534544554564793639496272819099112121131140232241[[#This Row],[Unidades]]</f>
        <v>2.4009999999999998</v>
      </c>
      <c r="I19" s="89"/>
      <c r="J19" s="93" t="s">
        <v>12</v>
      </c>
      <c r="K19" s="100">
        <f>+K18*10%</f>
        <v>957.25496698999996</v>
      </c>
    </row>
    <row r="20" spans="2:13" x14ac:dyDescent="0.25">
      <c r="B20" s="95" t="s">
        <v>887</v>
      </c>
      <c r="C20" s="96" t="s">
        <v>67</v>
      </c>
      <c r="D20" s="101">
        <v>2</v>
      </c>
      <c r="E20" s="101">
        <v>0</v>
      </c>
      <c r="F20" s="101">
        <v>2</v>
      </c>
      <c r="G20" s="98">
        <f>+VLOOKUP(Tabla11034534544554564793639496272819099112121131140232241[[#This Row],[ArtÃ­culo]],Tabla34[#All],3,0)</f>
        <v>46.232876699999998</v>
      </c>
      <c r="H20" s="99">
        <f>+Tabla11034534544554564793639496272819099112121131140232241[[#This Row],[Coste Componente]]*Tabla11034534544554564793639496272819099112121131140232241[[#This Row],[Unidades]]</f>
        <v>92.465753399999997</v>
      </c>
      <c r="I20" s="89"/>
      <c r="J20" s="93" t="s">
        <v>13</v>
      </c>
      <c r="K20" s="100">
        <f>+K18+K19</f>
        <v>10529.80463689</v>
      </c>
    </row>
    <row r="21" spans="2:13" x14ac:dyDescent="0.25">
      <c r="B21" s="95" t="s">
        <v>134</v>
      </c>
      <c r="C21" s="96" t="s">
        <v>67</v>
      </c>
      <c r="D21" s="101">
        <v>10</v>
      </c>
      <c r="E21" s="101">
        <v>0</v>
      </c>
      <c r="F21" s="101">
        <v>10</v>
      </c>
      <c r="G21" s="98">
        <f>+VLOOKUP(Tabla11034534544554564793639496272819099112121131140232241[[#This Row],[ArtÃ­culo]],Tabla34[#All],3,0)</f>
        <v>5.7702915900000002</v>
      </c>
      <c r="H21" s="99">
        <f>+Tabla11034534544554564793639496272819099112121131140232241[[#This Row],[Coste Componente]]*Tabla11034534544554564793639496272819099112121131140232241[[#This Row],[Unidades]]</f>
        <v>57.702915900000001</v>
      </c>
      <c r="I21" s="89"/>
      <c r="J21" s="102" t="s">
        <v>14</v>
      </c>
      <c r="K21" s="103">
        <v>41500</v>
      </c>
    </row>
    <row r="22" spans="2:13" x14ac:dyDescent="0.25">
      <c r="B22" s="95" t="s">
        <v>168</v>
      </c>
      <c r="C22" s="96" t="s">
        <v>67</v>
      </c>
      <c r="D22" s="101">
        <v>30</v>
      </c>
      <c r="E22" s="101">
        <v>0</v>
      </c>
      <c r="F22" s="101">
        <v>30</v>
      </c>
      <c r="G22" s="98">
        <f>+VLOOKUP(Tabla11034534544554564793639496272819099112121131140232241[[#This Row],[ArtÃ­culo]],Tabla34[#All],3,0)</f>
        <v>10.86600002</v>
      </c>
      <c r="H22" s="99">
        <f>+Tabla11034534544554564793639496272819099112121131140232241[[#This Row],[Coste Componente]]*Tabla11034534544554564793639496272819099112121131140232241[[#This Row],[Unidades]]</f>
        <v>325.98000059999998</v>
      </c>
      <c r="I22" s="89"/>
      <c r="J22" s="93" t="s">
        <v>15</v>
      </c>
      <c r="K22" s="100">
        <f>+K21/1.08*0.08</f>
        <v>3074.0740740740744</v>
      </c>
    </row>
    <row r="23" spans="2:13" x14ac:dyDescent="0.25">
      <c r="B23" s="95" t="s">
        <v>1319</v>
      </c>
      <c r="C23" s="96" t="s">
        <v>605</v>
      </c>
      <c r="D23" s="101">
        <v>1</v>
      </c>
      <c r="E23" s="101">
        <v>0</v>
      </c>
      <c r="F23" s="101">
        <v>1</v>
      </c>
      <c r="G23" s="98">
        <f>+VLOOKUP(Tabla11034534544554564793639496272819099112121131140232241[[#This Row],[ArtÃ­culo]],Tabla34[#All],3,0)</f>
        <v>1750</v>
      </c>
      <c r="H23" s="99">
        <f>+Tabla11034534544554564793639496272819099112121131140232241[[#This Row],[Coste Componente]]*Tabla11034534544554564793639496272819099112121131140232241[[#This Row],[Unidades]]</f>
        <v>1750</v>
      </c>
      <c r="I23" s="89"/>
      <c r="J23" s="93" t="s">
        <v>16</v>
      </c>
      <c r="K23" s="100">
        <f>+K21-K22</f>
        <v>38425.925925925927</v>
      </c>
    </row>
    <row r="24" spans="2:13" x14ac:dyDescent="0.25">
      <c r="B24" s="95" t="s">
        <v>1318</v>
      </c>
      <c r="C24" s="96" t="s">
        <v>605</v>
      </c>
      <c r="D24" s="101">
        <v>2</v>
      </c>
      <c r="E24" s="101">
        <v>0</v>
      </c>
      <c r="F24" s="101">
        <v>2</v>
      </c>
      <c r="G24" s="98">
        <f>+VLOOKUP(Tabla11034534544554564793639496272819099112121131140232241[[#This Row],[ArtÃ­culo]],Tabla34[#All],3,0)</f>
        <v>3672</v>
      </c>
      <c r="H24" s="99">
        <f>+Tabla11034534544554564793639496272819099112121131140232241[[#This Row],[Coste Componente]]*Tabla11034534544554564793639496272819099112121131140232241[[#This Row],[Unidades]]</f>
        <v>7344</v>
      </c>
      <c r="I24" s="89"/>
      <c r="J24" s="93" t="s">
        <v>17</v>
      </c>
      <c r="K24" s="22">
        <f>+K20/K23</f>
        <v>0.27402865079135419</v>
      </c>
    </row>
    <row r="25" spans="2:13" x14ac:dyDescent="0.25">
      <c r="B25" s="104"/>
      <c r="C25" s="105"/>
      <c r="D25" s="105"/>
      <c r="E25" s="105"/>
      <c r="F25" s="105"/>
      <c r="G25" s="106"/>
      <c r="H25" s="106">
        <f>SUBTOTAL(109,Tabla11034534544554564793639496272819099112121131140232241[Coste LÃ­nea])</f>
        <v>9572.5496698999996</v>
      </c>
      <c r="I25" s="89"/>
      <c r="J25" s="93" t="s">
        <v>18</v>
      </c>
      <c r="K25" s="23">
        <f>+K23-K20</f>
        <v>27896.121289035927</v>
      </c>
    </row>
    <row r="26" spans="2:13" x14ac:dyDescent="0.25">
      <c r="I26" s="89"/>
      <c r="J26" s="93" t="s">
        <v>19</v>
      </c>
      <c r="K26" s="25">
        <f>+K25/K20</f>
        <v>2.6492534525574167</v>
      </c>
    </row>
    <row r="27" spans="2:13" x14ac:dyDescent="0.25">
      <c r="G27" s="89"/>
      <c r="H27" s="89"/>
      <c r="I27" s="107"/>
    </row>
    <row r="28" spans="2:13" ht="15.6" x14ac:dyDescent="0.3">
      <c r="B28" s="86" t="s">
        <v>296</v>
      </c>
      <c r="C28" s="87"/>
      <c r="D28" s="87"/>
      <c r="E28" s="88"/>
      <c r="F28" s="88"/>
      <c r="G28" s="88"/>
      <c r="H28" s="88"/>
      <c r="I28" s="85"/>
      <c r="J28" s="403" t="s">
        <v>0</v>
      </c>
      <c r="K28" s="403"/>
      <c r="M28" s="377" t="s">
        <v>1394</v>
      </c>
    </row>
    <row r="29" spans="2:13" x14ac:dyDescent="0.25">
      <c r="B29" s="90" t="s">
        <v>1</v>
      </c>
      <c r="C29" s="91" t="s">
        <v>2</v>
      </c>
      <c r="D29" s="91" t="s">
        <v>3</v>
      </c>
      <c r="E29" s="91" t="s">
        <v>920</v>
      </c>
      <c r="F29" s="91" t="s">
        <v>319</v>
      </c>
      <c r="G29" s="92" t="s">
        <v>4</v>
      </c>
      <c r="H29" s="92" t="s">
        <v>5</v>
      </c>
      <c r="I29" s="252"/>
      <c r="J29" s="93" t="s">
        <v>6</v>
      </c>
      <c r="K29" s="94">
        <f>SUM(Tabla110345345445545647936405063738291100113122132141233242[Total costo])</f>
        <v>7988.6207984699995</v>
      </c>
      <c r="M29" s="346"/>
    </row>
    <row r="30" spans="2:13" x14ac:dyDescent="0.25">
      <c r="B30" s="95" t="s">
        <v>1258</v>
      </c>
      <c r="C30" s="96" t="s">
        <v>605</v>
      </c>
      <c r="D30" s="101">
        <v>2</v>
      </c>
      <c r="E30" s="101">
        <v>0</v>
      </c>
      <c r="F30" s="101">
        <v>2</v>
      </c>
      <c r="G30" s="98">
        <f>+VLOOKUP(Tabla110345345445545647936405063738291100113122132141233242[[#This Row],[Ingrediente]],Tabla34[#All],3,0)</f>
        <v>2796.5</v>
      </c>
      <c r="H30" s="99">
        <f>+Tabla110345345445545647936405063738291100113122132141233242[[#This Row],[Costo]]*Tabla110345345445545647936405063738291100113122132141233242[[#This Row],[Columna2]]</f>
        <v>5593</v>
      </c>
      <c r="I30" s="89"/>
      <c r="J30" s="93" t="s">
        <v>12</v>
      </c>
      <c r="K30" s="100">
        <f>+K29*10%</f>
        <v>798.86207984700002</v>
      </c>
    </row>
    <row r="31" spans="2:13" x14ac:dyDescent="0.25">
      <c r="B31" s="95" t="s">
        <v>168</v>
      </c>
      <c r="C31" s="96" t="s">
        <v>67</v>
      </c>
      <c r="D31" s="101">
        <v>30</v>
      </c>
      <c r="E31" s="101">
        <v>0</v>
      </c>
      <c r="F31" s="101">
        <v>30</v>
      </c>
      <c r="G31" s="98">
        <f>+VLOOKUP(Tabla110345345445545647936405063738291100113122132141233242[[#This Row],[Ingrediente]],Tabla34[#All],3,0)</f>
        <v>10.86600002</v>
      </c>
      <c r="H31" s="99">
        <f>+Tabla110345345445545647936405063738291100113122132141233242[[#This Row],[Costo]]*Tabla110345345445545647936405063738291100113122132141233242[[#This Row],[Columna2]]</f>
        <v>325.98000059999998</v>
      </c>
      <c r="I31" s="89"/>
      <c r="J31" s="93" t="s">
        <v>13</v>
      </c>
      <c r="K31" s="100">
        <f>+K29+K30</f>
        <v>8787.4828783169996</v>
      </c>
    </row>
    <row r="32" spans="2:13" x14ac:dyDescent="0.25">
      <c r="B32" s="95" t="s">
        <v>887</v>
      </c>
      <c r="C32" s="96" t="s">
        <v>67</v>
      </c>
      <c r="D32" s="101">
        <v>5</v>
      </c>
      <c r="E32" s="101">
        <v>0</v>
      </c>
      <c r="F32" s="101">
        <v>5</v>
      </c>
      <c r="G32" s="98">
        <f>+VLOOKUP(Tabla110345345445545647936405063738291100113122132141233242[[#This Row],[Ingrediente]],Tabla34[#All],3,0)</f>
        <v>46.232876699999998</v>
      </c>
      <c r="H32" s="99">
        <f>+Tabla110345345445545647936405063738291100113122132141233242[[#This Row],[Costo]]*Tabla110345345445545647936405063738291100113122132141233242[[#This Row],[Columna2]]</f>
        <v>231.16438349999999</v>
      </c>
      <c r="I32" s="89"/>
      <c r="J32" s="102" t="s">
        <v>14</v>
      </c>
      <c r="K32" s="103">
        <v>40500</v>
      </c>
    </row>
    <row r="33" spans="2:13" x14ac:dyDescent="0.25">
      <c r="B33" s="95" t="s">
        <v>134</v>
      </c>
      <c r="C33" s="96" t="s">
        <v>67</v>
      </c>
      <c r="D33" s="101">
        <v>30</v>
      </c>
      <c r="E33" s="101">
        <v>0</v>
      </c>
      <c r="F33" s="101">
        <v>30</v>
      </c>
      <c r="G33" s="98">
        <f>+VLOOKUP(Tabla110345345445545647936405063738291100113122132141233242[[#This Row],[Ingrediente]],Tabla34[#All],3,0)</f>
        <v>5.7702915900000002</v>
      </c>
      <c r="H33" s="99">
        <f>+Tabla110345345445545647936405063738291100113122132141233242[[#This Row],[Costo]]*Tabla110345345445545647936405063738291100113122132141233242[[#This Row],[Columna2]]</f>
        <v>173.10874770000001</v>
      </c>
      <c r="I33" s="89"/>
      <c r="J33" s="93" t="s">
        <v>15</v>
      </c>
      <c r="K33" s="100">
        <f>+K32/1.08*0.08</f>
        <v>3000</v>
      </c>
    </row>
    <row r="34" spans="2:13" x14ac:dyDescent="0.25">
      <c r="B34" s="95" t="s">
        <v>226</v>
      </c>
      <c r="C34" s="96" t="s">
        <v>847</v>
      </c>
      <c r="D34" s="101">
        <v>1</v>
      </c>
      <c r="E34" s="101">
        <v>0</v>
      </c>
      <c r="F34" s="101">
        <v>1</v>
      </c>
      <c r="G34" s="98">
        <f>+VLOOKUP(Tabla110345345445545647936405063738291100113122132141233242[[#This Row],[Ingrediente]],Tabla34[#All],3,0)</f>
        <v>1497.59166667</v>
      </c>
      <c r="H34" s="99">
        <f>+Tabla110345345445545647936405063738291100113122132141233242[[#This Row],[Costo]]*Tabla110345345445545647936405063738291100113122132141233242[[#This Row],[Columna2]]</f>
        <v>1497.59166667</v>
      </c>
      <c r="I34" s="89"/>
      <c r="J34" s="93" t="s">
        <v>16</v>
      </c>
      <c r="K34" s="100">
        <f>+K32-K33</f>
        <v>37500</v>
      </c>
    </row>
    <row r="35" spans="2:13" x14ac:dyDescent="0.25">
      <c r="B35" s="95" t="s">
        <v>751</v>
      </c>
      <c r="C35" s="96" t="s">
        <v>67</v>
      </c>
      <c r="D35" s="101">
        <v>1</v>
      </c>
      <c r="E35" s="101">
        <v>10</v>
      </c>
      <c r="F35" s="101">
        <v>1.111</v>
      </c>
      <c r="G35" s="98">
        <f>+VLOOKUP(Tabla110345345445545647936405063738291100113122132141233242[[#This Row],[Ingrediente]],Tabla34[#All],3,0)</f>
        <v>16</v>
      </c>
      <c r="H35" s="99">
        <f>+Tabla110345345445545647936405063738291100113122132141233242[[#This Row],[Costo]]*Tabla110345345445545647936405063738291100113122132141233242[[#This Row],[Columna2]]</f>
        <v>17.776</v>
      </c>
      <c r="I35" s="89"/>
      <c r="J35" s="93" t="s">
        <v>17</v>
      </c>
      <c r="K35" s="22">
        <f>+K31/K34</f>
        <v>0.23433287675511999</v>
      </c>
    </row>
    <row r="36" spans="2:13" x14ac:dyDescent="0.25">
      <c r="B36" s="95" t="s">
        <v>183</v>
      </c>
      <c r="C36" s="96" t="s">
        <v>67</v>
      </c>
      <c r="D36" s="101">
        <v>150</v>
      </c>
      <c r="E36" s="101">
        <v>0</v>
      </c>
      <c r="F36" s="101">
        <v>150</v>
      </c>
      <c r="G36" s="98">
        <f>+VLOOKUP(Tabla110345345445545647936405063738291100113122132141233242[[#This Row],[Ingrediente]],Tabla34[#All],3,0)</f>
        <v>1</v>
      </c>
      <c r="H36" s="99">
        <f>+Tabla110345345445545647936405063738291100113122132141233242[[#This Row],[Costo]]*Tabla110345345445545647936405063738291100113122132141233242[[#This Row],[Columna2]]</f>
        <v>150</v>
      </c>
      <c r="I36" s="89"/>
      <c r="J36" s="93" t="s">
        <v>18</v>
      </c>
      <c r="K36" s="23">
        <f>+K34-K31</f>
        <v>28712.517121682999</v>
      </c>
    </row>
    <row r="37" spans="2:13" x14ac:dyDescent="0.25">
      <c r="B37" s="104"/>
      <c r="C37" s="105"/>
      <c r="D37" s="105"/>
      <c r="E37" s="105"/>
      <c r="F37" s="105"/>
      <c r="G37" s="106"/>
      <c r="H37" s="106">
        <f>SUBTOTAL(109,Tabla110345345445545647936405063738291100113122132141233242[Total costo])</f>
        <v>7988.6207984699995</v>
      </c>
      <c r="I37" s="89"/>
      <c r="J37" s="93" t="s">
        <v>19</v>
      </c>
      <c r="K37" s="25">
        <f>+K36/K31</f>
        <v>3.2674336347818969</v>
      </c>
    </row>
    <row r="38" spans="2:13" x14ac:dyDescent="0.25">
      <c r="G38" s="89"/>
      <c r="H38" s="89"/>
      <c r="I38" s="107"/>
    </row>
    <row r="39" spans="2:13" x14ac:dyDescent="0.25">
      <c r="G39" s="89"/>
      <c r="I39" s="107"/>
    </row>
    <row r="40" spans="2:13" ht="15.6" x14ac:dyDescent="0.3">
      <c r="B40" s="86" t="s">
        <v>1331</v>
      </c>
      <c r="C40" s="87"/>
      <c r="D40" s="87"/>
      <c r="E40" s="88"/>
      <c r="F40" s="88"/>
      <c r="G40" s="88"/>
      <c r="H40" s="88"/>
      <c r="J40" s="403" t="s">
        <v>0</v>
      </c>
      <c r="K40" s="403"/>
      <c r="M40" s="377" t="s">
        <v>1394</v>
      </c>
    </row>
    <row r="41" spans="2:13" x14ac:dyDescent="0.25">
      <c r="B41" s="90" t="s">
        <v>1</v>
      </c>
      <c r="C41" s="91" t="s">
        <v>2</v>
      </c>
      <c r="D41" s="91" t="s">
        <v>3</v>
      </c>
      <c r="E41" s="91" t="s">
        <v>920</v>
      </c>
      <c r="F41" s="91" t="s">
        <v>319</v>
      </c>
      <c r="G41" s="92" t="s">
        <v>4</v>
      </c>
      <c r="H41" s="92" t="s">
        <v>5</v>
      </c>
      <c r="I41" s="89"/>
      <c r="J41" s="93" t="s">
        <v>6</v>
      </c>
      <c r="K41" s="94">
        <f>SUM(Tabla110345345445545647936435265758493102115124134143235244[Total costo])</f>
        <v>8481.0264338399975</v>
      </c>
      <c r="L41" s="252" t="s">
        <v>1264</v>
      </c>
      <c r="M41" s="346"/>
    </row>
    <row r="42" spans="2:13" x14ac:dyDescent="0.25">
      <c r="B42" s="95" t="s">
        <v>102</v>
      </c>
      <c r="C42" s="96" t="s">
        <v>605</v>
      </c>
      <c r="D42" s="101">
        <v>2</v>
      </c>
      <c r="E42" s="101">
        <v>0</v>
      </c>
      <c r="F42" s="101">
        <v>2</v>
      </c>
      <c r="G42" s="98">
        <f>+VLOOKUP(Tabla110345345445545647936435265758493102115124134143235244[[#This Row],[Ingrediente]],Tabla34[#All],3,0)</f>
        <v>2471.7916666699998</v>
      </c>
      <c r="H42" s="99">
        <f>+Tabla110345345445545647936435265758493102115124134143235244[[#This Row],[Costo]]*Tabla110345345445545647936435265758493102115124134143235244[[#This Row],[Columna2]]</f>
        <v>4943.5833333399996</v>
      </c>
      <c r="I42" s="89"/>
      <c r="J42" s="93" t="s">
        <v>12</v>
      </c>
      <c r="K42" s="100">
        <f>+K41*10%</f>
        <v>848.10264338399975</v>
      </c>
    </row>
    <row r="43" spans="2:13" x14ac:dyDescent="0.25">
      <c r="B43" s="95" t="s">
        <v>606</v>
      </c>
      <c r="C43" s="96" t="s">
        <v>67</v>
      </c>
      <c r="D43" s="101">
        <v>50</v>
      </c>
      <c r="E43" s="101">
        <v>0</v>
      </c>
      <c r="F43" s="101">
        <v>50</v>
      </c>
      <c r="G43" s="98">
        <f>+VLOOKUP(Tabla110345345445545647936435265758493102115124134143235244[[#This Row],[Ingrediente]],Tabla34[#All],3,0)</f>
        <v>4.5</v>
      </c>
      <c r="H43" s="99">
        <f>+Tabla110345345445545647936435265758493102115124134143235244[[#This Row],[Costo]]*Tabla110345345445545647936435265758493102115124134143235244[[#This Row],[Columna2]]</f>
        <v>225</v>
      </c>
      <c r="I43" s="85"/>
      <c r="J43" s="93" t="s">
        <v>13</v>
      </c>
      <c r="K43" s="100">
        <f>+K41+K42</f>
        <v>9329.1290772239972</v>
      </c>
    </row>
    <row r="44" spans="2:13" x14ac:dyDescent="0.25">
      <c r="B44" s="95" t="s">
        <v>1317</v>
      </c>
      <c r="C44" s="96" t="s">
        <v>67</v>
      </c>
      <c r="D44" s="101">
        <v>45</v>
      </c>
      <c r="E44" s="101">
        <v>0</v>
      </c>
      <c r="F44" s="101">
        <v>45</v>
      </c>
      <c r="G44" s="98">
        <f>+VLOOKUP(Tabla110345345445545647936435265758493102115124134143235244[[#This Row],[Ingrediente]],Tabla34[#All],3,0)</f>
        <v>4.1835440000000004</v>
      </c>
      <c r="H44" s="99">
        <f>+Tabla110345345445545647936435265758493102115124134143235244[[#This Row],[Costo]]*Tabla110345345445545647936435265758493102115124134143235244[[#This Row],[Columna2]]</f>
        <v>188.25948000000002</v>
      </c>
      <c r="J44" s="102" t="s">
        <v>14</v>
      </c>
      <c r="K44" s="103">
        <v>38500</v>
      </c>
    </row>
    <row r="45" spans="2:13" x14ac:dyDescent="0.25">
      <c r="B45" s="95" t="s">
        <v>168</v>
      </c>
      <c r="C45" s="96" t="s">
        <v>67</v>
      </c>
      <c r="D45" s="101">
        <v>30</v>
      </c>
      <c r="E45" s="101">
        <v>0</v>
      </c>
      <c r="F45" s="101">
        <v>30</v>
      </c>
      <c r="G45" s="98">
        <f>+VLOOKUP(Tabla110345345445545647936435265758493102115124134143235244[[#This Row],[Ingrediente]],Tabla34[#All],3,0)</f>
        <v>10.86600002</v>
      </c>
      <c r="H45" s="99">
        <f>+Tabla110345345445545647936435265758493102115124134143235244[[#This Row],[Costo]]*Tabla110345345445545647936435265758493102115124134143235244[[#This Row],[Columna2]]</f>
        <v>325.98000059999998</v>
      </c>
      <c r="I45" s="89"/>
      <c r="J45" s="93" t="s">
        <v>15</v>
      </c>
      <c r="K45" s="100">
        <f>+K44/1.08*0.08</f>
        <v>2851.8518518518517</v>
      </c>
    </row>
    <row r="46" spans="2:13" x14ac:dyDescent="0.25">
      <c r="B46" s="95" t="s">
        <v>96</v>
      </c>
      <c r="C46" s="96" t="s">
        <v>847</v>
      </c>
      <c r="D46" s="101">
        <v>0.5</v>
      </c>
      <c r="E46" s="101">
        <v>0</v>
      </c>
      <c r="F46" s="101">
        <v>0.5</v>
      </c>
      <c r="G46" s="98">
        <f>+VLOOKUP(Tabla110345345445545647936435265758493102115124134143235244[[#This Row],[Ingrediente]],Tabla34[#All],3,0)</f>
        <v>4986</v>
      </c>
      <c r="H46" s="99">
        <f>+Tabla110345345445545647936435265758493102115124134143235244[[#This Row],[Costo]]*Tabla110345345445545647936435265758493102115124134143235244[[#This Row],[Columna2]]</f>
        <v>2493</v>
      </c>
      <c r="I46" s="89"/>
      <c r="J46" s="93" t="s">
        <v>16</v>
      </c>
      <c r="K46" s="100">
        <f>+K44-K45</f>
        <v>35648.148148148146</v>
      </c>
    </row>
    <row r="47" spans="2:13" x14ac:dyDescent="0.25">
      <c r="B47" s="95" t="s">
        <v>751</v>
      </c>
      <c r="C47" s="96" t="s">
        <v>67</v>
      </c>
      <c r="D47" s="101">
        <v>5</v>
      </c>
      <c r="E47" s="101">
        <v>0</v>
      </c>
      <c r="F47" s="101">
        <v>5</v>
      </c>
      <c r="G47" s="98">
        <f>+VLOOKUP(Tabla110345345445545647936435265758493102115124134143235244[[#This Row],[Ingrediente]],Tabla34[#All],3,0)</f>
        <v>16</v>
      </c>
      <c r="H47" s="99">
        <f>+Tabla110345345445545647936435265758493102115124134143235244[[#This Row],[Costo]]*Tabla110345345445545647936435265758493102115124134143235244[[#This Row],[Columna2]]</f>
        <v>80</v>
      </c>
      <c r="I47" s="89"/>
      <c r="J47" s="93" t="s">
        <v>17</v>
      </c>
      <c r="K47" s="22">
        <f>+K43/K46</f>
        <v>0.26170024424420563</v>
      </c>
    </row>
    <row r="48" spans="2:13" x14ac:dyDescent="0.25">
      <c r="B48" s="95" t="s">
        <v>816</v>
      </c>
      <c r="C48" s="96" t="s">
        <v>67</v>
      </c>
      <c r="D48" s="101">
        <v>5</v>
      </c>
      <c r="E48" s="101">
        <v>0</v>
      </c>
      <c r="F48" s="101">
        <v>5</v>
      </c>
      <c r="G48" s="98">
        <f>+VLOOKUP(Tabla110345345445545647936435265758493102115124134143235244[[#This Row],[Ingrediente]],Tabla34[#All],3,0)</f>
        <v>45.040723980000003</v>
      </c>
      <c r="H48" s="99">
        <f>+Tabla110345345445545647936435265758493102115124134143235244[[#This Row],[Costo]]*Tabla110345345445545647936435265758493102115124134143235244[[#This Row],[Columna2]]</f>
        <v>225.20361990000001</v>
      </c>
      <c r="I48" s="89"/>
      <c r="J48" s="93" t="s">
        <v>18</v>
      </c>
      <c r="K48" s="23">
        <f>+K46-K43</f>
        <v>26319.019070924151</v>
      </c>
    </row>
    <row r="49" spans="2:13" x14ac:dyDescent="0.25">
      <c r="B49" s="104"/>
      <c r="C49" s="105"/>
      <c r="D49" s="105"/>
      <c r="E49" s="105"/>
      <c r="F49" s="105"/>
      <c r="G49" s="106"/>
      <c r="H49" s="106">
        <f>SUBTOTAL(109,Tabla110345345445545647936435265758493102115124134143235244[Total costo])</f>
        <v>8481.0264338399975</v>
      </c>
      <c r="I49" s="89"/>
      <c r="J49" s="93" t="s">
        <v>19</v>
      </c>
      <c r="K49" s="25">
        <f>+K48/K43</f>
        <v>2.8211657115109521</v>
      </c>
    </row>
    <row r="50" spans="2:13" x14ac:dyDescent="0.25">
      <c r="G50" s="89"/>
      <c r="H50" s="89"/>
      <c r="I50" s="89"/>
    </row>
    <row r="51" spans="2:13" x14ac:dyDescent="0.25">
      <c r="G51" s="89"/>
      <c r="H51" s="89"/>
      <c r="I51" s="107"/>
    </row>
    <row r="52" spans="2:13" ht="15.6" x14ac:dyDescent="0.3">
      <c r="B52" s="86" t="s">
        <v>444</v>
      </c>
      <c r="C52" s="87"/>
      <c r="D52" s="87"/>
      <c r="E52" s="88"/>
      <c r="F52" s="88"/>
      <c r="G52" s="88"/>
      <c r="H52" s="88"/>
      <c r="I52" s="107"/>
      <c r="J52" s="403" t="s">
        <v>0</v>
      </c>
      <c r="K52" s="403"/>
      <c r="M52" s="377" t="s">
        <v>1394</v>
      </c>
    </row>
    <row r="53" spans="2:13" x14ac:dyDescent="0.25">
      <c r="B53" s="90" t="s">
        <v>857</v>
      </c>
      <c r="C53" s="91" t="s">
        <v>895</v>
      </c>
      <c r="D53" s="91" t="s">
        <v>892</v>
      </c>
      <c r="E53" s="91" t="s">
        <v>893</v>
      </c>
      <c r="F53" s="91" t="s">
        <v>894</v>
      </c>
      <c r="G53" s="92" t="s">
        <v>901</v>
      </c>
      <c r="H53" s="92" t="s">
        <v>902</v>
      </c>
      <c r="I53" s="326"/>
      <c r="J53" s="93" t="s">
        <v>6</v>
      </c>
      <c r="K53" s="94">
        <f>SUM(Tabla110345345445545647936435265758493102115124134143235244360[Coste LÃ­nea])</f>
        <v>6417.9446160499992</v>
      </c>
      <c r="M53" s="346"/>
    </row>
    <row r="54" spans="2:13" x14ac:dyDescent="0.25">
      <c r="B54" s="95" t="s">
        <v>183</v>
      </c>
      <c r="C54" s="96" t="s">
        <v>67</v>
      </c>
      <c r="D54" s="101">
        <v>145</v>
      </c>
      <c r="E54" s="101">
        <v>0</v>
      </c>
      <c r="F54" s="101">
        <v>145</v>
      </c>
      <c r="G54" s="98">
        <f>+VLOOKUP(Tabla110345345445545647936435265758493102115124134143235244360[[#This Row],[ArtÃ­culo]],Tabla34[#All],3,0)</f>
        <v>1</v>
      </c>
      <c r="H54" s="99">
        <f>+Tabla110345345445545647936435265758493102115124134143235244360[[#This Row],[Coste Componente]]*Tabla110345345445545647936435265758493102115124134143235244360[[#This Row],[Unidades]]</f>
        <v>145</v>
      </c>
      <c r="I54" s="107"/>
      <c r="J54" s="93" t="s">
        <v>12</v>
      </c>
      <c r="K54" s="100">
        <f>+K53*10%</f>
        <v>641.79446160499992</v>
      </c>
    </row>
    <row r="55" spans="2:13" x14ac:dyDescent="0.25">
      <c r="B55" s="95" t="s">
        <v>923</v>
      </c>
      <c r="C55" s="96" t="s">
        <v>67</v>
      </c>
      <c r="D55" s="101">
        <v>10</v>
      </c>
      <c r="E55" s="101">
        <v>40</v>
      </c>
      <c r="F55" s="101">
        <v>16.667000000000002</v>
      </c>
      <c r="G55" s="98">
        <f>+VLOOKUP(Tabla110345345445545647936435265758493102115124134143235244360[[#This Row],[ArtÃ­culo]],Tabla34[#All],3,0)</f>
        <v>25</v>
      </c>
      <c r="H55" s="99">
        <f>+Tabla110345345445545647936435265758493102115124134143235244360[[#This Row],[Coste Componente]]*Tabla110345345445545647936435265758493102115124134143235244360[[#This Row],[Unidades]]</f>
        <v>416.67500000000007</v>
      </c>
      <c r="I55" s="89"/>
      <c r="J55" s="93" t="s">
        <v>13</v>
      </c>
      <c r="K55" s="100">
        <f>+K53+K54</f>
        <v>7059.7390776549992</v>
      </c>
    </row>
    <row r="56" spans="2:13" x14ac:dyDescent="0.25">
      <c r="B56" s="95" t="s">
        <v>606</v>
      </c>
      <c r="C56" s="96" t="s">
        <v>67</v>
      </c>
      <c r="D56" s="101">
        <v>50</v>
      </c>
      <c r="E56" s="101">
        <v>0</v>
      </c>
      <c r="F56" s="101">
        <v>50</v>
      </c>
      <c r="G56" s="98">
        <f>+VLOOKUP(Tabla110345345445545647936435265758493102115124134143235244360[[#This Row],[ArtÃ­culo]],Tabla34[#All],3,0)</f>
        <v>4.5</v>
      </c>
      <c r="H56" s="99">
        <f>+Tabla110345345445545647936435265758493102115124134143235244360[[#This Row],[Coste Componente]]*Tabla110345345445545647936435265758493102115124134143235244360[[#This Row],[Unidades]]</f>
        <v>225</v>
      </c>
      <c r="I56" s="89"/>
      <c r="J56" s="102" t="s">
        <v>14</v>
      </c>
      <c r="K56" s="103">
        <v>38500</v>
      </c>
    </row>
    <row r="57" spans="2:13" x14ac:dyDescent="0.25">
      <c r="B57" s="95" t="s">
        <v>1215</v>
      </c>
      <c r="C57" s="96" t="s">
        <v>605</v>
      </c>
      <c r="D57" s="101">
        <v>2</v>
      </c>
      <c r="E57" s="101">
        <v>0</v>
      </c>
      <c r="F57" s="101">
        <v>2</v>
      </c>
      <c r="G57" s="98">
        <f>+VLOOKUP(Tabla110345345445545647936435265758493102115124134143235244360[[#This Row],[ArtÃ­culo]],Tabla34[#All],3,0)</f>
        <v>1934.05172414</v>
      </c>
      <c r="H57" s="99">
        <f>+Tabla110345345445545647936435265758493102115124134143235244360[[#This Row],[Coste Componente]]*Tabla110345345445545647936435265758493102115124134143235244360[[#This Row],[Unidades]]</f>
        <v>3868.1034482800001</v>
      </c>
      <c r="I57" s="85"/>
      <c r="J57" s="93" t="s">
        <v>15</v>
      </c>
      <c r="K57" s="100">
        <f>+K56/1.08*0.08</f>
        <v>2851.8518518518517</v>
      </c>
    </row>
    <row r="58" spans="2:13" x14ac:dyDescent="0.25">
      <c r="B58" s="95" t="s">
        <v>226</v>
      </c>
      <c r="C58" s="96" t="s">
        <v>847</v>
      </c>
      <c r="D58" s="101">
        <v>1</v>
      </c>
      <c r="E58" s="101">
        <v>0</v>
      </c>
      <c r="F58" s="101">
        <v>1</v>
      </c>
      <c r="G58" s="98">
        <f>+VLOOKUP(Tabla110345345445545647936435265758493102115124134143235244360[[#This Row],[ArtÃ­culo]],Tabla34[#All],3,0)</f>
        <v>1497.59166667</v>
      </c>
      <c r="H58" s="99">
        <f>+Tabla110345345445545647936435265758493102115124134143235244360[[#This Row],[Coste Componente]]*Tabla110345345445545647936435265758493102115124134143235244360[[#This Row],[Unidades]]</f>
        <v>1497.59166667</v>
      </c>
      <c r="J58" s="93" t="s">
        <v>16</v>
      </c>
      <c r="K58" s="100">
        <f>+K56-K57</f>
        <v>35648.148148148146</v>
      </c>
    </row>
    <row r="59" spans="2:13" x14ac:dyDescent="0.25">
      <c r="B59" s="95" t="s">
        <v>134</v>
      </c>
      <c r="C59" s="96" t="s">
        <v>67</v>
      </c>
      <c r="D59" s="101">
        <v>30</v>
      </c>
      <c r="E59" s="101">
        <v>0</v>
      </c>
      <c r="F59" s="101">
        <v>30</v>
      </c>
      <c r="G59" s="98">
        <f>+VLOOKUP(Tabla110345345445545647936435265758493102115124134143235244360[[#This Row],[ArtÃ­culo]],Tabla34[#All],3,0)</f>
        <v>5.7702915900000002</v>
      </c>
      <c r="H59" s="99">
        <f>+Tabla110345345445545647936435265758493102115124134143235244360[[#This Row],[Coste Componente]]*Tabla110345345445545647936435265758493102115124134143235244360[[#This Row],[Unidades]]</f>
        <v>173.10874770000001</v>
      </c>
      <c r="I59" s="89"/>
      <c r="J59" s="93" t="s">
        <v>17</v>
      </c>
      <c r="K59" s="22">
        <f>+K55/K58</f>
        <v>0.19803943386668571</v>
      </c>
    </row>
    <row r="60" spans="2:13" x14ac:dyDescent="0.25">
      <c r="B60" s="95" t="s">
        <v>887</v>
      </c>
      <c r="C60" s="96" t="s">
        <v>67</v>
      </c>
      <c r="D60" s="101">
        <v>2</v>
      </c>
      <c r="E60" s="101">
        <v>0</v>
      </c>
      <c r="F60" s="101">
        <v>2</v>
      </c>
      <c r="G60" s="98">
        <f>+VLOOKUP(Tabla110345345445545647936435265758493102115124134143235244360[[#This Row],[ArtÃ­culo]],Tabla34[#All],3,0)</f>
        <v>46.232876699999998</v>
      </c>
      <c r="H60" s="99">
        <f>+Tabla110345345445545647936435265758493102115124134143235244360[[#This Row],[Coste Componente]]*Tabla110345345445545647936435265758493102115124134143235244360[[#This Row],[Unidades]]</f>
        <v>92.465753399999997</v>
      </c>
      <c r="I60" s="89"/>
      <c r="J60" s="93" t="s">
        <v>18</v>
      </c>
      <c r="K60" s="23">
        <f>+K58-K55</f>
        <v>28588.409070493148</v>
      </c>
    </row>
    <row r="61" spans="2:13" x14ac:dyDescent="0.25">
      <c r="B61" s="104"/>
      <c r="C61" s="105"/>
      <c r="D61" s="105"/>
      <c r="E61" s="105"/>
      <c r="F61" s="105"/>
      <c r="G61" s="106"/>
      <c r="H61" s="106">
        <f>SUBTOTAL(109,Tabla110345345445545647936435265758493102115124134143235244360[Coste LÃ­nea])</f>
        <v>6417.9446160499992</v>
      </c>
      <c r="I61" s="89"/>
      <c r="J61" s="93" t="s">
        <v>19</v>
      </c>
      <c r="K61" s="25">
        <f>+K60/K55</f>
        <v>4.0494993874460903</v>
      </c>
    </row>
    <row r="62" spans="2:13" x14ac:dyDescent="0.25">
      <c r="G62" s="89"/>
      <c r="H62" s="89"/>
      <c r="I62" s="89"/>
    </row>
    <row r="63" spans="2:13" x14ac:dyDescent="0.25">
      <c r="G63" s="89"/>
      <c r="H63" s="89"/>
      <c r="I63" s="89"/>
    </row>
    <row r="64" spans="2:13" ht="15.6" x14ac:dyDescent="0.3">
      <c r="B64" s="86" t="s">
        <v>297</v>
      </c>
      <c r="C64" s="87"/>
      <c r="D64" s="87"/>
      <c r="E64" s="88"/>
      <c r="F64" s="88"/>
      <c r="G64" s="88"/>
      <c r="H64" s="88"/>
      <c r="I64" s="89"/>
      <c r="J64" s="403" t="s">
        <v>0</v>
      </c>
      <c r="K64" s="403"/>
      <c r="M64" s="377" t="s">
        <v>1394</v>
      </c>
    </row>
    <row r="65" spans="2:13" x14ac:dyDescent="0.25">
      <c r="B65" s="90" t="s">
        <v>1</v>
      </c>
      <c r="C65" s="91" t="s">
        <v>2</v>
      </c>
      <c r="D65" s="91" t="s">
        <v>3</v>
      </c>
      <c r="E65" s="91" t="s">
        <v>920</v>
      </c>
      <c r="F65" s="91" t="s">
        <v>319</v>
      </c>
      <c r="G65" s="92" t="s">
        <v>4</v>
      </c>
      <c r="H65" s="92" t="s">
        <v>5</v>
      </c>
      <c r="I65" s="107"/>
      <c r="J65" s="93" t="s">
        <v>6</v>
      </c>
      <c r="K65" s="94">
        <f>SUM(Tabla110345345445545647936445366768594103116125135144236245[Total costo])</f>
        <v>10537.296395654999</v>
      </c>
      <c r="M65" s="346"/>
    </row>
    <row r="66" spans="2:13" x14ac:dyDescent="0.25">
      <c r="B66" s="95" t="s">
        <v>651</v>
      </c>
      <c r="C66" s="96" t="s">
        <v>605</v>
      </c>
      <c r="D66" s="101">
        <v>2</v>
      </c>
      <c r="E66" s="101">
        <v>0</v>
      </c>
      <c r="F66" s="101">
        <v>2</v>
      </c>
      <c r="G66" s="98">
        <f>+VLOOKUP(Tabla110345345445545647936445366768594103116125135144236245[[#This Row],[Ingrediente]],Tabla34[#All],3,0)</f>
        <v>3103.4482758600002</v>
      </c>
      <c r="H66" s="99">
        <f>+Tabla110345345445545647936445366768594103116125135144236245[[#This Row],[Costo]]*Tabla110345345445545647936445366768594103116125135144236245[[#This Row],[Columna2]]</f>
        <v>6206.8965517200004</v>
      </c>
      <c r="I66" s="107"/>
      <c r="J66" s="93" t="s">
        <v>12</v>
      </c>
      <c r="K66" s="100">
        <f>+K65*10%</f>
        <v>1053.7296395655001</v>
      </c>
    </row>
    <row r="67" spans="2:13" x14ac:dyDescent="0.25">
      <c r="B67" s="95" t="s">
        <v>146</v>
      </c>
      <c r="C67" s="96" t="s">
        <v>67</v>
      </c>
      <c r="D67" s="101">
        <v>60</v>
      </c>
      <c r="E67" s="101">
        <v>0</v>
      </c>
      <c r="F67" s="101">
        <v>60</v>
      </c>
      <c r="G67" s="98">
        <f>+VLOOKUP(Tabla110345345445545647936445366768594103116125135144236245[[#This Row],[Ingrediente]],Tabla34[#All],3,0)</f>
        <v>11.36127894</v>
      </c>
      <c r="H67" s="99">
        <f>+Tabla110345345445545647936445366768594103116125135144236245[[#This Row],[Costo]]*Tabla110345345445545647936445366768594103116125135144236245[[#This Row],[Columna2]]</f>
        <v>681.67673639999998</v>
      </c>
      <c r="I67" s="89"/>
      <c r="J67" s="93" t="s">
        <v>13</v>
      </c>
      <c r="K67" s="100">
        <f>+K65+K66</f>
        <v>11591.026035220499</v>
      </c>
    </row>
    <row r="68" spans="2:13" x14ac:dyDescent="0.25">
      <c r="B68" s="95" t="s">
        <v>168</v>
      </c>
      <c r="C68" s="96" t="s">
        <v>67</v>
      </c>
      <c r="D68" s="101">
        <v>30</v>
      </c>
      <c r="E68" s="101">
        <v>0</v>
      </c>
      <c r="F68" s="101">
        <v>30</v>
      </c>
      <c r="G68" s="98">
        <f>+VLOOKUP(Tabla110345345445545647936445366768594103116125135144236245[[#This Row],[Ingrediente]],Tabla34[#All],3,0)</f>
        <v>10.86600002</v>
      </c>
      <c r="H68" s="99">
        <f>+Tabla110345345445545647936445366768594103116125135144236245[[#This Row],[Costo]]*Tabla110345345445545647936445366768594103116125135144236245[[#This Row],[Columna2]]</f>
        <v>325.98000059999998</v>
      </c>
      <c r="I68" s="89"/>
      <c r="J68" s="102" t="s">
        <v>14</v>
      </c>
      <c r="K68" s="103">
        <v>43500</v>
      </c>
    </row>
    <row r="69" spans="2:13" x14ac:dyDescent="0.25">
      <c r="B69" s="95" t="s">
        <v>1275</v>
      </c>
      <c r="C69" s="96" t="s">
        <v>67</v>
      </c>
      <c r="D69" s="101">
        <v>15</v>
      </c>
      <c r="E69" s="101">
        <v>0</v>
      </c>
      <c r="F69" s="101">
        <v>15</v>
      </c>
      <c r="G69" s="98">
        <f>+VLOOKUP(Tabla110345345445545647936445366768594103116125135144236245[[#This Row],[Ingrediente]],Tabla34[#All],3,0)</f>
        <v>21.91635934</v>
      </c>
      <c r="H69" s="99">
        <f>+Tabla110345345445545647936445366768594103116125135144236245[[#This Row],[Costo]]*Tabla110345345445545647936445366768594103116125135144236245[[#This Row],[Columna2]]</f>
        <v>328.74539010000001</v>
      </c>
      <c r="I69" s="89"/>
      <c r="J69" s="93" t="s">
        <v>15</v>
      </c>
      <c r="K69" s="100">
        <f>+K68/1.08*0.08</f>
        <v>3222.2222222222222</v>
      </c>
    </row>
    <row r="70" spans="2:13" x14ac:dyDescent="0.25">
      <c r="B70" s="95" t="s">
        <v>218</v>
      </c>
      <c r="C70" s="96" t="s">
        <v>67</v>
      </c>
      <c r="D70" s="101">
        <v>20</v>
      </c>
      <c r="E70" s="101">
        <v>0</v>
      </c>
      <c r="F70" s="101">
        <v>20</v>
      </c>
      <c r="G70" s="98">
        <f>+VLOOKUP(Tabla110345345445545647936445366768594103116125135144236245[[#This Row],[Ingrediente]],Tabla34[#All],3,0)</f>
        <v>9</v>
      </c>
      <c r="H70" s="99">
        <f>+Tabla110345345445545647936445366768594103116125135144236245[[#This Row],[Costo]]*Tabla110345345445545647936445366768594103116125135144236245[[#This Row],[Columna2]]</f>
        <v>180</v>
      </c>
      <c r="I70" s="85"/>
      <c r="J70" s="93" t="s">
        <v>16</v>
      </c>
      <c r="K70" s="100">
        <f>+K68-K69</f>
        <v>40277.777777777781</v>
      </c>
    </row>
    <row r="71" spans="2:13" x14ac:dyDescent="0.25">
      <c r="B71" s="95" t="s">
        <v>95</v>
      </c>
      <c r="C71" s="96" t="s">
        <v>847</v>
      </c>
      <c r="D71" s="101">
        <v>0.5</v>
      </c>
      <c r="E71" s="101">
        <v>0</v>
      </c>
      <c r="F71" s="101">
        <v>0.5</v>
      </c>
      <c r="G71" s="98">
        <f>+VLOOKUP(Tabla110345345445545647936445366768594103116125135144236245[[#This Row],[Ingrediente]],Tabla34[#All],3,0)</f>
        <v>5133.6666666700003</v>
      </c>
      <c r="H71" s="99">
        <f>+Tabla110345345445545647936445366768594103116125135144236245[[#This Row],[Costo]]*Tabla110345345445545647936445366768594103116125135144236245[[#This Row],[Columna2]]</f>
        <v>2566.8333333350001</v>
      </c>
      <c r="J71" s="93" t="s">
        <v>17</v>
      </c>
      <c r="K71" s="22">
        <f>+K67/K70</f>
        <v>0.28777719811581925</v>
      </c>
    </row>
    <row r="72" spans="2:13" x14ac:dyDescent="0.25">
      <c r="B72" s="95" t="s">
        <v>751</v>
      </c>
      <c r="C72" s="96" t="s">
        <v>67</v>
      </c>
      <c r="D72" s="101">
        <v>1</v>
      </c>
      <c r="E72" s="101">
        <v>0</v>
      </c>
      <c r="F72" s="101">
        <v>1</v>
      </c>
      <c r="G72" s="98">
        <f>+VLOOKUP(Tabla110345345445545647936445366768594103116125135144236245[[#This Row],[Ingrediente]],Tabla34[#All],3,0)</f>
        <v>16</v>
      </c>
      <c r="H72" s="99">
        <f>+Tabla110345345445545647936445366768594103116125135144236245[[#This Row],[Costo]]*Tabla110345345445545647936445366768594103116125135144236245[[#This Row],[Columna2]]</f>
        <v>16</v>
      </c>
      <c r="I72" s="89"/>
      <c r="J72" s="93" t="s">
        <v>18</v>
      </c>
      <c r="K72" s="23">
        <f>+K70-K67</f>
        <v>28686.751742557281</v>
      </c>
    </row>
    <row r="73" spans="2:13" x14ac:dyDescent="0.25">
      <c r="B73" s="95" t="s">
        <v>887</v>
      </c>
      <c r="C73" s="96" t="s">
        <v>67</v>
      </c>
      <c r="D73" s="101">
        <v>5</v>
      </c>
      <c r="E73" s="101">
        <v>0</v>
      </c>
      <c r="F73" s="101">
        <v>5</v>
      </c>
      <c r="G73" s="98">
        <f>+VLOOKUP(Tabla110345345445545647936445366768594103116125135144236245[[#This Row],[Ingrediente]],Tabla34[#All],3,0)</f>
        <v>46.232876699999998</v>
      </c>
      <c r="H73" s="99">
        <f>+Tabla110345345445545647936445366768594103116125135144236245[[#This Row],[Costo]]*Tabla110345345445545647936445366768594103116125135144236245[[#This Row],[Columna2]]</f>
        <v>231.16438349999999</v>
      </c>
      <c r="I73" s="89"/>
      <c r="J73" s="93" t="s">
        <v>19</v>
      </c>
      <c r="K73" s="25">
        <f>+K72/K67</f>
        <v>2.474910474309151</v>
      </c>
    </row>
    <row r="74" spans="2:13" x14ac:dyDescent="0.25">
      <c r="B74" s="104"/>
      <c r="C74" s="105"/>
      <c r="D74" s="105"/>
      <c r="E74" s="105"/>
      <c r="F74" s="105"/>
      <c r="G74" s="106"/>
      <c r="H74" s="106">
        <f>SUBTOTAL(109,Tabla110345345445545647936445366768594103116125135144236245[Total costo])</f>
        <v>10537.296395654999</v>
      </c>
      <c r="I74" s="89"/>
      <c r="J74" s="253"/>
      <c r="K74" s="31"/>
    </row>
    <row r="75" spans="2:13" x14ac:dyDescent="0.25">
      <c r="G75" s="89"/>
      <c r="H75" s="89"/>
      <c r="I75" s="89"/>
      <c r="K75" s="31"/>
    </row>
    <row r="76" spans="2:13" ht="15.6" x14ac:dyDescent="0.3">
      <c r="B76" s="86" t="s">
        <v>561</v>
      </c>
      <c r="C76" s="87"/>
      <c r="D76" s="87"/>
      <c r="E76" s="88"/>
      <c r="F76" s="88"/>
      <c r="G76" s="88"/>
      <c r="H76" s="88"/>
      <c r="I76" s="89"/>
      <c r="J76" s="403" t="s">
        <v>0</v>
      </c>
      <c r="K76" s="403"/>
      <c r="M76" s="377" t="s">
        <v>1394</v>
      </c>
    </row>
    <row r="77" spans="2:13" x14ac:dyDescent="0.25">
      <c r="B77" s="90" t="s">
        <v>1</v>
      </c>
      <c r="C77" s="91" t="s">
        <v>2</v>
      </c>
      <c r="D77" s="91" t="s">
        <v>3</v>
      </c>
      <c r="E77" s="91" t="s">
        <v>920</v>
      </c>
      <c r="F77" s="91" t="s">
        <v>319</v>
      </c>
      <c r="G77" s="92" t="s">
        <v>4</v>
      </c>
      <c r="H77" s="92" t="s">
        <v>5</v>
      </c>
      <c r="I77" s="89"/>
      <c r="J77" s="93" t="s">
        <v>6</v>
      </c>
      <c r="K77" s="94">
        <f>+Tabla1103453454455456479455868778695108117127136228237352382406240[[#Totals],[Total costo]]</f>
        <v>13053.812982559999</v>
      </c>
      <c r="M77" s="346"/>
    </row>
    <row r="78" spans="2:13" x14ac:dyDescent="0.25">
      <c r="B78" s="95" t="s">
        <v>134</v>
      </c>
      <c r="C78" s="96" t="s">
        <v>67</v>
      </c>
      <c r="D78" s="101">
        <v>10</v>
      </c>
      <c r="E78" s="101">
        <v>0</v>
      </c>
      <c r="F78" s="101">
        <v>10</v>
      </c>
      <c r="G78" s="98">
        <f>+VLOOKUP(Tabla1103453454455456479455868778695108117127136228237352382406240[[#This Row],[Ingrediente]],Tabla34[#All],3,0)</f>
        <v>5.7702915900000002</v>
      </c>
      <c r="H78" s="99">
        <f>+Tabla1103453454455456479455868778695108117127136228237352382406240[[#This Row],[Costo]]*Tabla1103453454455456479455868778695108117127136228237352382406240[[#This Row],[Columna2]]</f>
        <v>57.702915900000001</v>
      </c>
      <c r="I78" s="325"/>
      <c r="J78" s="93" t="s">
        <v>12</v>
      </c>
      <c r="K78" s="100">
        <f>+K77*10%</f>
        <v>1305.381298256</v>
      </c>
    </row>
    <row r="79" spans="2:13" x14ac:dyDescent="0.25">
      <c r="B79" s="95" t="s">
        <v>709</v>
      </c>
      <c r="C79" s="96" t="s">
        <v>67</v>
      </c>
      <c r="D79" s="101">
        <v>2</v>
      </c>
      <c r="E79" s="101">
        <v>0</v>
      </c>
      <c r="F79" s="101">
        <v>2</v>
      </c>
      <c r="G79" s="98">
        <f>+VLOOKUP(Tabla1103453454455456479455868778695108117127136228237352382406240[[#This Row],[Ingrediente]],Tabla34[#All],3,0)</f>
        <v>3.2</v>
      </c>
      <c r="H79" s="99">
        <f>+Tabla1103453454455456479455868778695108117127136228237352382406240[[#This Row],[Costo]]*Tabla1103453454455456479455868778695108117127136228237352382406240[[#This Row],[Columna2]]</f>
        <v>6.4</v>
      </c>
      <c r="I79" s="89"/>
      <c r="J79" s="93" t="s">
        <v>13</v>
      </c>
      <c r="K79" s="100">
        <f>+K77+K78</f>
        <v>14359.194280815998</v>
      </c>
    </row>
    <row r="80" spans="2:13" x14ac:dyDescent="0.25">
      <c r="B80" s="95" t="s">
        <v>661</v>
      </c>
      <c r="C80" s="96" t="s">
        <v>67</v>
      </c>
      <c r="D80" s="101">
        <v>1</v>
      </c>
      <c r="E80" s="101">
        <v>0</v>
      </c>
      <c r="F80" s="101">
        <v>1</v>
      </c>
      <c r="G80" s="98">
        <f>+VLOOKUP(Tabla1103453454455456479455868778695108117127136228237352382406240[[#This Row],[Ingrediente]],Tabla34[#All],3,0)</f>
        <v>358.54340000000002</v>
      </c>
      <c r="H80" s="99">
        <f>+Tabla1103453454455456479455868778695108117127136228237352382406240[[#This Row],[Costo]]*Tabla1103453454455456479455868778695108117127136228237352382406240[[#This Row],[Columna2]]</f>
        <v>358.54340000000002</v>
      </c>
      <c r="I80" s="89"/>
      <c r="J80" s="102" t="s">
        <v>14</v>
      </c>
      <c r="K80" s="103">
        <v>41500</v>
      </c>
    </row>
    <row r="81" spans="2:13" x14ac:dyDescent="0.25">
      <c r="B81" s="95" t="s">
        <v>185</v>
      </c>
      <c r="C81" s="96" t="s">
        <v>605</v>
      </c>
      <c r="D81" s="101">
        <v>2</v>
      </c>
      <c r="E81" s="101">
        <v>0</v>
      </c>
      <c r="F81" s="101">
        <v>2</v>
      </c>
      <c r="G81" s="98">
        <f>+VLOOKUP(Tabla1103453454455456479455868778695108117127136228237352382406240[[#This Row],[Ingrediente]],Tabla34[#All],3,0)</f>
        <v>6245.5833333299997</v>
      </c>
      <c r="H81" s="99">
        <f>+Tabla1103453454455456479455868778695108117127136228237352382406240[[#This Row],[Costo]]*Tabla1103453454455456479455868778695108117127136228237352382406240[[#This Row],[Columna2]]</f>
        <v>12491.166666659999</v>
      </c>
      <c r="I81" s="89"/>
      <c r="J81" s="93" t="s">
        <v>15</v>
      </c>
      <c r="K81" s="100">
        <f>+K80/1.08*0.08</f>
        <v>3074.0740740740744</v>
      </c>
    </row>
    <row r="82" spans="2:13" x14ac:dyDescent="0.25">
      <c r="B82" s="95" t="s">
        <v>183</v>
      </c>
      <c r="C82" s="96" t="s">
        <v>67</v>
      </c>
      <c r="D82" s="101">
        <v>140</v>
      </c>
      <c r="E82" s="101">
        <v>0</v>
      </c>
      <c r="F82" s="101">
        <v>140</v>
      </c>
      <c r="G82" s="98">
        <f>+VLOOKUP(Tabla1103453454455456479455868778695108117127136228237352382406240[[#This Row],[Ingrediente]],Tabla34[#All],3,0)</f>
        <v>1</v>
      </c>
      <c r="H82" s="99">
        <f>+Tabla1103453454455456479455868778695108117127136228237352382406240[[#This Row],[Costo]]*Tabla1103453454455456479455868778695108117127136228237352382406240[[#This Row],[Columna2]]</f>
        <v>140</v>
      </c>
      <c r="I82" s="89"/>
      <c r="J82" s="93" t="s">
        <v>16</v>
      </c>
      <c r="K82" s="100">
        <f>+K80-K81</f>
        <v>38425.925925925927</v>
      </c>
    </row>
    <row r="83" spans="2:13" x14ac:dyDescent="0.25">
      <c r="B83" s="104"/>
      <c r="C83" s="105"/>
      <c r="D83" s="105"/>
      <c r="E83" s="105"/>
      <c r="F83" s="105"/>
      <c r="G83" s="106"/>
      <c r="H83" s="106">
        <f>SUBTOTAL(109,Tabla1103453454455456479455868778695108117127136228237352382406240[Total costo])</f>
        <v>13053.812982559999</v>
      </c>
      <c r="I83" s="89"/>
      <c r="J83" s="93" t="s">
        <v>17</v>
      </c>
      <c r="K83" s="22">
        <f>+K79/K82</f>
        <v>0.37368505598268137</v>
      </c>
    </row>
    <row r="84" spans="2:13" x14ac:dyDescent="0.25">
      <c r="G84" s="89"/>
      <c r="I84" s="89"/>
      <c r="J84" s="93" t="s">
        <v>18</v>
      </c>
      <c r="K84" s="23">
        <f>+K82-K79</f>
        <v>24066.731645109929</v>
      </c>
    </row>
    <row r="85" spans="2:13" x14ac:dyDescent="0.25">
      <c r="G85" s="89"/>
      <c r="I85" s="89"/>
      <c r="J85" s="93" t="s">
        <v>19</v>
      </c>
      <c r="K85" s="25">
        <f>+K84/K79</f>
        <v>1.6760502834941986</v>
      </c>
    </row>
    <row r="86" spans="2:13" x14ac:dyDescent="0.25">
      <c r="G86" s="89"/>
      <c r="I86" s="89"/>
    </row>
    <row r="87" spans="2:13" x14ac:dyDescent="0.25">
      <c r="G87" s="89"/>
      <c r="I87" s="89"/>
    </row>
    <row r="88" spans="2:13" ht="15.6" x14ac:dyDescent="0.3">
      <c r="B88" s="86" t="s">
        <v>1321</v>
      </c>
      <c r="C88" s="87"/>
      <c r="D88" s="87"/>
      <c r="E88" s="88"/>
      <c r="F88" s="88"/>
      <c r="G88" s="88"/>
      <c r="H88" s="88"/>
      <c r="J88" s="249" t="s">
        <v>0</v>
      </c>
      <c r="K88" s="249"/>
      <c r="M88" s="377" t="s">
        <v>1394</v>
      </c>
    </row>
    <row r="89" spans="2:13" x14ac:dyDescent="0.25">
      <c r="B89" s="90" t="s">
        <v>1</v>
      </c>
      <c r="C89" s="91" t="s">
        <v>2</v>
      </c>
      <c r="D89" s="91" t="s">
        <v>3</v>
      </c>
      <c r="E89" s="91" t="s">
        <v>920</v>
      </c>
      <c r="F89" s="91" t="s">
        <v>319</v>
      </c>
      <c r="G89" s="92" t="s">
        <v>4</v>
      </c>
      <c r="H89" s="92" t="s">
        <v>5</v>
      </c>
      <c r="I89" s="252"/>
      <c r="J89" s="93" t="s">
        <v>6</v>
      </c>
      <c r="K89" s="94">
        <f>SUM(Tabla1103453454455456479455868778695108117127136228237352382406240353[Total costo])</f>
        <v>10573.316592650001</v>
      </c>
      <c r="M89" s="346"/>
    </row>
    <row r="90" spans="2:13" x14ac:dyDescent="0.25">
      <c r="B90" s="95" t="s">
        <v>1318</v>
      </c>
      <c r="C90" s="96" t="s">
        <v>605</v>
      </c>
      <c r="D90" s="101">
        <v>2</v>
      </c>
      <c r="E90" s="101">
        <v>0</v>
      </c>
      <c r="F90" s="101">
        <v>2</v>
      </c>
      <c r="G90" s="98">
        <f>+VLOOKUP(Tabla1103453454455456479455868778695108117127136228237352382406240353[[#This Row],[Ingrediente]],Tabla34[#All],3,0)</f>
        <v>3672</v>
      </c>
      <c r="H90" s="99">
        <f>+Tabla1103453454455456479455868778695108117127136228237352382406240353[[#This Row],[Costo]]*Tabla1103453454455456479455868778695108117127136228237352382406240353[[#This Row],[Cant.]]</f>
        <v>7344</v>
      </c>
      <c r="I90" s="89"/>
      <c r="J90" s="93" t="s">
        <v>12</v>
      </c>
      <c r="K90" s="100">
        <f>+K89*10%</f>
        <v>1057.3316592650001</v>
      </c>
    </row>
    <row r="91" spans="2:13" x14ac:dyDescent="0.25">
      <c r="B91" s="95" t="s">
        <v>168</v>
      </c>
      <c r="C91" s="96" t="s">
        <v>67</v>
      </c>
      <c r="D91" s="101">
        <v>15</v>
      </c>
      <c r="E91" s="101">
        <v>0</v>
      </c>
      <c r="F91" s="101">
        <v>15</v>
      </c>
      <c r="G91" s="98">
        <f>+VLOOKUP(Tabla1103453454455456479455868778695108117127136228237352382406240353[[#This Row],[Ingrediente]],Tabla34[#All],3,0)</f>
        <v>10.86600002</v>
      </c>
      <c r="H91" s="99">
        <f>+Tabla1103453454455456479455868778695108117127136228237352382406240353[[#This Row],[Costo]]*Tabla1103453454455456479455868778695108117127136228237352382406240353[[#This Row],[Cant.]]</f>
        <v>162.99000029999999</v>
      </c>
      <c r="I91" s="89"/>
      <c r="J91" s="93" t="s">
        <v>13</v>
      </c>
      <c r="K91" s="100">
        <f>+K89+K90</f>
        <v>11630.648251915001</v>
      </c>
    </row>
    <row r="92" spans="2:13" x14ac:dyDescent="0.25">
      <c r="B92" s="95" t="s">
        <v>801</v>
      </c>
      <c r="C92" s="96" t="s">
        <v>67</v>
      </c>
      <c r="D92" s="101">
        <v>5</v>
      </c>
      <c r="E92" s="101">
        <v>0</v>
      </c>
      <c r="F92" s="101">
        <v>5</v>
      </c>
      <c r="G92" s="98">
        <f>+VLOOKUP(Tabla1103453454455456479455868778695108117127136228237352382406240353[[#This Row],[Ingrediente]],Tabla34[#All],3,0)</f>
        <v>87.08823529</v>
      </c>
      <c r="H92" s="99">
        <f>+Tabla1103453454455456479455868778695108117127136228237352382406240353[[#This Row],[Costo]]*Tabla1103453454455456479455868778695108117127136228237352382406240353[[#This Row],[Cant.]]</f>
        <v>435.44117645</v>
      </c>
      <c r="I92" s="89"/>
      <c r="J92" s="102" t="s">
        <v>14</v>
      </c>
      <c r="K92" s="103">
        <v>45500</v>
      </c>
    </row>
    <row r="93" spans="2:13" x14ac:dyDescent="0.25">
      <c r="B93" s="95" t="s">
        <v>134</v>
      </c>
      <c r="C93" s="96" t="s">
        <v>67</v>
      </c>
      <c r="D93" s="101">
        <v>10</v>
      </c>
      <c r="E93" s="101">
        <v>0</v>
      </c>
      <c r="F93" s="101">
        <v>10</v>
      </c>
      <c r="G93" s="98">
        <f>+VLOOKUP(Tabla1103453454455456479455868778695108117127136228237352382406240353[[#This Row],[Ingrediente]],Tabla34[#All],3,0)</f>
        <v>5.7702915900000002</v>
      </c>
      <c r="H93" s="99">
        <f>+Tabla1103453454455456479455868778695108117127136228237352382406240353[[#This Row],[Costo]]*Tabla1103453454455456479455868778695108117127136228237352382406240353[[#This Row],[Cant.]]</f>
        <v>57.702915900000001</v>
      </c>
      <c r="I93" s="89"/>
      <c r="J93" s="93" t="s">
        <v>15</v>
      </c>
      <c r="K93" s="100">
        <f>+K92/1.08*0.08</f>
        <v>3370.3703703703704</v>
      </c>
    </row>
    <row r="94" spans="2:13" x14ac:dyDescent="0.25">
      <c r="B94" s="95" t="s">
        <v>223</v>
      </c>
      <c r="C94" s="96" t="s">
        <v>67</v>
      </c>
      <c r="D94" s="101">
        <v>1</v>
      </c>
      <c r="E94" s="101">
        <v>0</v>
      </c>
      <c r="F94" s="101">
        <v>1</v>
      </c>
      <c r="G94" s="98">
        <f>+VLOOKUP(Tabla1103453454455456479455868778695108117127136228237352382406240353[[#This Row],[Ingrediente]],Tabla34[#All],3,0)</f>
        <v>61.682499999999997</v>
      </c>
      <c r="H94" s="99">
        <f>+Tabla1103453454455456479455868778695108117127136228237352382406240353[[#This Row],[Costo]]*Tabla1103453454455456479455868778695108117127136228237352382406240353[[#This Row],[Cant.]]</f>
        <v>61.682499999999997</v>
      </c>
      <c r="I94" s="89"/>
      <c r="J94" s="93" t="s">
        <v>16</v>
      </c>
      <c r="K94" s="100">
        <f>+K92-K93</f>
        <v>42129.629629629628</v>
      </c>
    </row>
    <row r="95" spans="2:13" x14ac:dyDescent="0.25">
      <c r="B95" s="95" t="s">
        <v>568</v>
      </c>
      <c r="C95" s="96" t="s">
        <v>847</v>
      </c>
      <c r="D95" s="101">
        <v>0.5</v>
      </c>
      <c r="E95" s="101">
        <v>0</v>
      </c>
      <c r="F95" s="101">
        <v>0.5</v>
      </c>
      <c r="G95" s="98">
        <f>+VLOOKUP(Tabla1103453454455456479455868778695108117127136228237352382406240353[[#This Row],[Ingrediente]],Tabla34[#All],3,0)</f>
        <v>5023</v>
      </c>
      <c r="H95" s="99">
        <f>+Tabla1103453454455456479455868778695108117127136228237352382406240353[[#This Row],[Costo]]*Tabla1103453454455456479455868778695108117127136228237352382406240353[[#This Row],[Cant.]]</f>
        <v>2511.5</v>
      </c>
      <c r="I95" s="89"/>
      <c r="J95" s="93" t="s">
        <v>17</v>
      </c>
      <c r="K95" s="22">
        <f>+K91/K94</f>
        <v>0.27606813433116928</v>
      </c>
    </row>
    <row r="96" spans="2:13" x14ac:dyDescent="0.25">
      <c r="B96" s="104"/>
      <c r="C96" s="105"/>
      <c r="D96" s="105"/>
      <c r="E96" s="105"/>
      <c r="F96" s="105"/>
      <c r="G96" s="106"/>
      <c r="H96" s="106">
        <f>SUBTOTAL(109,Tabla1103453454455456479455868778695108117127136228237352382406240353[Total costo])</f>
        <v>10573.316592650001</v>
      </c>
      <c r="I96" s="89"/>
      <c r="J96" s="93" t="s">
        <v>18</v>
      </c>
      <c r="K96" s="23">
        <f>+K94-K91</f>
        <v>30498.981377714626</v>
      </c>
    </row>
    <row r="97" spans="2:13" x14ac:dyDescent="0.25">
      <c r="G97" s="89"/>
      <c r="I97" s="89"/>
      <c r="J97" s="93" t="s">
        <v>19</v>
      </c>
      <c r="K97" s="25">
        <f>+K96/K91</f>
        <v>2.6222941935066197</v>
      </c>
    </row>
    <row r="98" spans="2:13" x14ac:dyDescent="0.25">
      <c r="G98" s="89"/>
    </row>
    <row r="99" spans="2:13" x14ac:dyDescent="0.25">
      <c r="G99" s="89"/>
    </row>
    <row r="100" spans="2:13" ht="15.6" x14ac:dyDescent="0.3">
      <c r="B100" s="86" t="s">
        <v>562</v>
      </c>
      <c r="C100" s="87"/>
      <c r="D100" s="87"/>
      <c r="E100" s="88"/>
      <c r="F100" s="88"/>
      <c r="G100" s="88"/>
      <c r="H100" s="88"/>
      <c r="I100" s="89"/>
      <c r="J100" s="249" t="s">
        <v>0</v>
      </c>
      <c r="K100" s="249"/>
      <c r="M100" s="377" t="s">
        <v>1394</v>
      </c>
    </row>
    <row r="101" spans="2:13" x14ac:dyDescent="0.25">
      <c r="B101" s="90" t="s">
        <v>857</v>
      </c>
      <c r="C101" s="91" t="s">
        <v>895</v>
      </c>
      <c r="D101" s="91" t="s">
        <v>892</v>
      </c>
      <c r="E101" s="91" t="s">
        <v>893</v>
      </c>
      <c r="F101" s="91" t="s">
        <v>894</v>
      </c>
      <c r="G101" s="92" t="s">
        <v>901</v>
      </c>
      <c r="H101" s="92" t="s">
        <v>902</v>
      </c>
      <c r="I101" s="252"/>
      <c r="J101" s="93" t="s">
        <v>6</v>
      </c>
      <c r="K101" s="94" t="e">
        <f>SUM(Tabla1103453454455456479455868778695108117127136228237352382406240359[Coste LÃ­nea])</f>
        <v>#N/A</v>
      </c>
      <c r="M101" s="346"/>
    </row>
    <row r="102" spans="2:13" x14ac:dyDescent="0.25">
      <c r="B102" s="95" t="s">
        <v>230</v>
      </c>
      <c r="C102" s="96" t="s">
        <v>605</v>
      </c>
      <c r="D102" s="101">
        <v>1</v>
      </c>
      <c r="E102" s="101">
        <v>0</v>
      </c>
      <c r="F102" s="101">
        <v>1</v>
      </c>
      <c r="G102" s="98">
        <f>+VLOOKUP(Tabla1103453454455456479455868778695108117127136228237352382406240359[[#This Row],[ArtÃ­culo]],Tabla34[#All],3,0)</f>
        <v>6567</v>
      </c>
      <c r="H102" s="99">
        <f>+Tabla1103453454455456479455868778695108117127136228237352382406240359[[#This Row],[Coste Componente]]*Tabla1103453454455456479455868778695108117127136228237352382406240359[[#This Row],[Unidades Netas]]</f>
        <v>6567</v>
      </c>
      <c r="I102" s="89"/>
      <c r="J102" s="93" t="s">
        <v>12</v>
      </c>
      <c r="K102" s="100" t="e">
        <f>+K101*10%</f>
        <v>#N/A</v>
      </c>
    </row>
    <row r="103" spans="2:13" x14ac:dyDescent="0.25">
      <c r="B103" s="95" t="s">
        <v>709</v>
      </c>
      <c r="C103" s="96" t="s">
        <v>67</v>
      </c>
      <c r="D103" s="101">
        <v>10</v>
      </c>
      <c r="E103" s="101">
        <v>0</v>
      </c>
      <c r="F103" s="101">
        <v>10</v>
      </c>
      <c r="G103" s="98">
        <f>+VLOOKUP(Tabla1103453454455456479455868778695108117127136228237352382406240359[[#This Row],[ArtÃ­culo]],Tabla34[#All],3,0)</f>
        <v>3.2</v>
      </c>
      <c r="H103" s="99">
        <f>+Tabla1103453454455456479455868778695108117127136228237352382406240359[[#This Row],[Coste Componente]]*Tabla1103453454455456479455868778695108117127136228237352382406240359[[#This Row],[Unidades Netas]]</f>
        <v>32</v>
      </c>
      <c r="I103" s="89"/>
      <c r="J103" s="93" t="s">
        <v>13</v>
      </c>
      <c r="K103" s="100" t="e">
        <f>+K101+K102</f>
        <v>#N/A</v>
      </c>
    </row>
    <row r="104" spans="2:13" x14ac:dyDescent="0.25">
      <c r="B104" s="95" t="s">
        <v>1322</v>
      </c>
      <c r="C104" s="96" t="s">
        <v>605</v>
      </c>
      <c r="D104" s="101">
        <v>1</v>
      </c>
      <c r="E104" s="101">
        <v>0</v>
      </c>
      <c r="F104" s="101">
        <v>1</v>
      </c>
      <c r="G104" s="98" t="e">
        <f>+VLOOKUP(Tabla1103453454455456479455868778695108117127136228237352382406240359[[#This Row],[ArtÃ­culo]],Tabla34[#All],3,0)</f>
        <v>#N/A</v>
      </c>
      <c r="H104" s="99" t="e">
        <f>+Tabla1103453454455456479455868778695108117127136228237352382406240359[[#This Row],[Coste Componente]]*Tabla1103453454455456479455868778695108117127136228237352382406240359[[#This Row],[Unidades Netas]]</f>
        <v>#N/A</v>
      </c>
      <c r="I104" s="89"/>
      <c r="J104" s="102" t="s">
        <v>14</v>
      </c>
      <c r="K104" s="103">
        <v>42500</v>
      </c>
    </row>
    <row r="105" spans="2:13" x14ac:dyDescent="0.25">
      <c r="B105" s="95" t="s">
        <v>570</v>
      </c>
      <c r="C105" s="96" t="s">
        <v>605</v>
      </c>
      <c r="D105" s="101">
        <v>1</v>
      </c>
      <c r="E105" s="101">
        <v>0</v>
      </c>
      <c r="F105" s="101">
        <v>1</v>
      </c>
      <c r="G105" s="98">
        <f>+VLOOKUP(Tabla1103453454455456479455868778695108117127136228237352382406240359[[#This Row],[ArtÃ­culo]],Tabla34[#All],3,0)</f>
        <v>4089.5833333300002</v>
      </c>
      <c r="H105" s="99">
        <f>+Tabla1103453454455456479455868778695108117127136228237352382406240359[[#This Row],[Coste Componente]]*Tabla1103453454455456479455868778695108117127136228237352382406240359[[#This Row],[Unidades Netas]]</f>
        <v>4089.5833333300002</v>
      </c>
      <c r="I105" s="89"/>
      <c r="J105" s="93" t="s">
        <v>15</v>
      </c>
      <c r="K105" s="100">
        <f>+K104/1.08*0.08</f>
        <v>3148.1481481481478</v>
      </c>
    </row>
    <row r="106" spans="2:13" x14ac:dyDescent="0.25">
      <c r="B106" s="95" t="s">
        <v>1137</v>
      </c>
      <c r="C106" s="96" t="s">
        <v>847</v>
      </c>
      <c r="D106" s="101">
        <v>1</v>
      </c>
      <c r="E106" s="101">
        <v>0</v>
      </c>
      <c r="F106" s="101">
        <v>1</v>
      </c>
      <c r="G106" s="98">
        <f>+VLOOKUP(Tabla1103453454455456479455868778695108117127136228237352382406240359[[#This Row],[ArtÃ­culo]],Tabla34[#All],3,0)</f>
        <v>1500</v>
      </c>
      <c r="H106" s="99">
        <f>+Tabla1103453454455456479455868778695108117127136228237352382406240359[[#This Row],[Coste Componente]]*Tabla1103453454455456479455868778695108117127136228237352382406240359[[#This Row],[Unidades Netas]]</f>
        <v>1500</v>
      </c>
      <c r="I106" s="89"/>
      <c r="J106" s="93" t="s">
        <v>16</v>
      </c>
      <c r="K106" s="100">
        <f>+K104-K105</f>
        <v>39351.851851851854</v>
      </c>
    </row>
    <row r="107" spans="2:13" x14ac:dyDescent="0.25">
      <c r="B107" s="104"/>
      <c r="C107" s="105"/>
      <c r="D107" s="105"/>
      <c r="E107" s="105"/>
      <c r="F107" s="105"/>
      <c r="G107" s="106"/>
      <c r="H107" s="106" t="e">
        <f>SUBTOTAL(109,Tabla1103453454455456479455868778695108117127136228237352382406240359[Coste LÃ­nea])</f>
        <v>#N/A</v>
      </c>
      <c r="I107" s="89"/>
      <c r="J107" s="93" t="s">
        <v>17</v>
      </c>
      <c r="K107" s="22" t="e">
        <f>+K103/K106</f>
        <v>#N/A</v>
      </c>
    </row>
    <row r="108" spans="2:13" x14ac:dyDescent="0.25">
      <c r="I108" s="89"/>
      <c r="J108" s="93" t="s">
        <v>18</v>
      </c>
      <c r="K108" s="23" t="e">
        <f>+K106-K103</f>
        <v>#N/A</v>
      </c>
    </row>
    <row r="109" spans="2:13" x14ac:dyDescent="0.25">
      <c r="I109" s="89"/>
      <c r="J109" s="93" t="s">
        <v>19</v>
      </c>
      <c r="K109" s="25" t="e">
        <f>+K108/K103</f>
        <v>#N/A</v>
      </c>
    </row>
    <row r="110" spans="2:13" x14ac:dyDescent="0.25">
      <c r="G110" s="89"/>
    </row>
    <row r="111" spans="2:13" ht="15.6" x14ac:dyDescent="0.3">
      <c r="B111" s="86" t="s">
        <v>1320</v>
      </c>
      <c r="C111" s="87"/>
      <c r="D111" s="87"/>
      <c r="E111" s="88"/>
      <c r="F111" s="88"/>
      <c r="G111" s="88"/>
      <c r="H111" s="88"/>
      <c r="J111" s="249" t="s">
        <v>0</v>
      </c>
      <c r="K111" s="249"/>
      <c r="M111" s="377" t="s">
        <v>1394</v>
      </c>
    </row>
    <row r="112" spans="2:13" x14ac:dyDescent="0.25">
      <c r="B112" s="90" t="s">
        <v>1</v>
      </c>
      <c r="C112" s="91" t="s">
        <v>2</v>
      </c>
      <c r="D112" s="91" t="s">
        <v>3</v>
      </c>
      <c r="E112" s="91" t="s">
        <v>920</v>
      </c>
      <c r="F112" s="91" t="s">
        <v>319</v>
      </c>
      <c r="G112" s="92" t="s">
        <v>4</v>
      </c>
      <c r="H112" s="92" t="s">
        <v>5</v>
      </c>
      <c r="J112" s="93" t="s">
        <v>6</v>
      </c>
      <c r="K112" s="94">
        <f>SUM(Tabla1103453454455456479455868778695108117127136228237352382406240359436476[Total costo])</f>
        <v>14779.769752259999</v>
      </c>
      <c r="M112" s="346"/>
    </row>
    <row r="113" spans="2:13" x14ac:dyDescent="0.25">
      <c r="B113" s="95" t="s">
        <v>168</v>
      </c>
      <c r="C113" s="96" t="s">
        <v>67</v>
      </c>
      <c r="D113" s="101">
        <v>22.5</v>
      </c>
      <c r="E113" s="101">
        <v>0</v>
      </c>
      <c r="F113" s="101">
        <v>22.5</v>
      </c>
      <c r="G113" s="98">
        <f>+VLOOKUP(Tabla1103453454455456479455868778695108117127136228237352382406240359436476[[#This Row],[Ingrediente]],Tabla34[#All],3,0)</f>
        <v>10.86600002</v>
      </c>
      <c r="H113" s="99">
        <f>+Tabla1103453454455456479455868778695108117127136228237352382406240359436476[[#This Row],[Costo]]*Tabla1103453454455456479455868778695108117127136228237352382406240359436476[[#This Row],[Columna2]]</f>
        <v>244.48500045</v>
      </c>
      <c r="J113" s="93" t="s">
        <v>12</v>
      </c>
      <c r="K113" s="100">
        <f>+K112*10%</f>
        <v>1477.9769752259999</v>
      </c>
    </row>
    <row r="114" spans="2:13" x14ac:dyDescent="0.25">
      <c r="B114" s="95" t="s">
        <v>1275</v>
      </c>
      <c r="C114" s="96" t="s">
        <v>67</v>
      </c>
      <c r="D114" s="101">
        <v>22.5</v>
      </c>
      <c r="E114" s="101">
        <v>0</v>
      </c>
      <c r="F114" s="101">
        <v>22.5</v>
      </c>
      <c r="G114" s="98">
        <f>+VLOOKUP(Tabla1103453454455456479455868778695108117127136228237352382406240359436476[[#This Row],[Ingrediente]],Tabla34[#All],3,0)</f>
        <v>21.91635934</v>
      </c>
      <c r="H114" s="99">
        <f>+Tabla1103453454455456479455868778695108117127136228237352382406240359436476[[#This Row],[Costo]]*Tabla1103453454455456479455868778695108117127136228237352382406240359436476[[#This Row],[Columna2]]</f>
        <v>493.11808515000001</v>
      </c>
      <c r="I114" s="325"/>
      <c r="J114" s="93" t="s">
        <v>13</v>
      </c>
      <c r="K114" s="100">
        <f>+K112+K113</f>
        <v>16257.746727485999</v>
      </c>
    </row>
    <row r="115" spans="2:13" x14ac:dyDescent="0.25">
      <c r="B115" s="95" t="s">
        <v>1014</v>
      </c>
      <c r="C115" s="96" t="s">
        <v>67</v>
      </c>
      <c r="D115" s="101">
        <v>5</v>
      </c>
      <c r="E115" s="101">
        <v>0</v>
      </c>
      <c r="F115" s="101">
        <v>5</v>
      </c>
      <c r="G115" s="98">
        <f>+VLOOKUP(Tabla1103453454455456479455868778695108117127136228237352382406240359436476[[#This Row],[Ingrediente]],Tabla34[#All],3,0)</f>
        <v>10.199999999999999</v>
      </c>
      <c r="H115" s="99">
        <f>+Tabla1103453454455456479455868778695108117127136228237352382406240359436476[[#This Row],[Costo]]*Tabla1103453454455456479455868778695108117127136228237352382406240359436476[[#This Row],[Columna2]]</f>
        <v>51</v>
      </c>
      <c r="I115" s="89"/>
      <c r="J115" s="102" t="s">
        <v>14</v>
      </c>
      <c r="K115" s="103">
        <v>48500</v>
      </c>
    </row>
    <row r="116" spans="2:13" x14ac:dyDescent="0.25">
      <c r="B116" s="95" t="s">
        <v>1137</v>
      </c>
      <c r="C116" s="96" t="s">
        <v>847</v>
      </c>
      <c r="D116" s="101">
        <v>1</v>
      </c>
      <c r="E116" s="101">
        <v>0</v>
      </c>
      <c r="F116" s="101">
        <v>1</v>
      </c>
      <c r="G116" s="98">
        <f>+VLOOKUP(Tabla1103453454455456479455868778695108117127136228237352382406240359436476[[#This Row],[Ingrediente]],Tabla34[#All],3,0)</f>
        <v>1500</v>
      </c>
      <c r="H116" s="99">
        <f>+Tabla1103453454455456479455868778695108117127136228237352382406240359436476[[#This Row],[Costo]]*Tabla1103453454455456479455868778695108117127136228237352382406240359436476[[#This Row],[Columna2]]</f>
        <v>1500</v>
      </c>
      <c r="I116" s="89"/>
      <c r="J116" s="93" t="s">
        <v>15</v>
      </c>
      <c r="K116" s="100">
        <f>+K115/1.08*0.08</f>
        <v>3592.5925925925922</v>
      </c>
    </row>
    <row r="117" spans="2:13" x14ac:dyDescent="0.25">
      <c r="B117" s="95" t="s">
        <v>185</v>
      </c>
      <c r="C117" s="96" t="s">
        <v>605</v>
      </c>
      <c r="D117" s="101">
        <v>2</v>
      </c>
      <c r="E117" s="101">
        <v>0</v>
      </c>
      <c r="F117" s="101">
        <v>2</v>
      </c>
      <c r="G117" s="98">
        <f>+VLOOKUP(Tabla1103453454455456479455868778695108117127136228237352382406240359436476[[#This Row],[Ingrediente]],Tabla34[#All],3,0)</f>
        <v>6245.5833333299997</v>
      </c>
      <c r="H117" s="99">
        <f>+Tabla1103453454455456479455868778695108117127136228237352382406240359436476[[#This Row],[Costo]]*Tabla1103453454455456479455868778695108117127136228237352382406240359436476[[#This Row],[Columna2]]</f>
        <v>12491.166666659999</v>
      </c>
      <c r="I117" s="89"/>
      <c r="J117" s="93" t="s">
        <v>16</v>
      </c>
      <c r="K117" s="100">
        <f>+K115-K116</f>
        <v>44907.407407407409</v>
      </c>
    </row>
    <row r="118" spans="2:13" x14ac:dyDescent="0.25">
      <c r="B118" s="104"/>
      <c r="C118" s="105"/>
      <c r="D118" s="105"/>
      <c r="E118" s="105"/>
      <c r="F118" s="105"/>
      <c r="G118" s="106"/>
      <c r="H118" s="106">
        <f>SUBTOTAL(109,Tabla1103453454455456479455868778695108117127136228237352382406240359436476[Total costo])</f>
        <v>14779.769752259999</v>
      </c>
      <c r="I118" s="89"/>
      <c r="J118" s="93" t="s">
        <v>17</v>
      </c>
      <c r="K118" s="22">
        <f>+K114/K117</f>
        <v>0.3620281745502037</v>
      </c>
    </row>
    <row r="119" spans="2:13" x14ac:dyDescent="0.25">
      <c r="I119" s="89"/>
      <c r="J119" s="93" t="s">
        <v>18</v>
      </c>
      <c r="K119" s="23">
        <f>+K117-K114</f>
        <v>28649.66067992141</v>
      </c>
    </row>
    <row r="120" spans="2:13" x14ac:dyDescent="0.25">
      <c r="I120" s="89"/>
      <c r="J120" s="93" t="s">
        <v>19</v>
      </c>
      <c r="K120" s="25">
        <f>+K119/K114</f>
        <v>1.7622159552704277</v>
      </c>
    </row>
    <row r="121" spans="2:13" x14ac:dyDescent="0.25">
      <c r="I121" s="89"/>
    </row>
    <row r="123" spans="2:13" ht="15.6" x14ac:dyDescent="0.3">
      <c r="B123" s="86" t="s">
        <v>1092</v>
      </c>
      <c r="C123" s="87"/>
      <c r="D123" s="87"/>
      <c r="E123" s="88"/>
      <c r="F123" s="88"/>
      <c r="G123" s="88"/>
      <c r="H123" s="88"/>
      <c r="J123" s="249" t="s">
        <v>0</v>
      </c>
      <c r="K123" s="249"/>
      <c r="M123" s="377" t="s">
        <v>1394</v>
      </c>
    </row>
    <row r="124" spans="2:13" x14ac:dyDescent="0.25">
      <c r="B124" s="104" t="s">
        <v>857</v>
      </c>
      <c r="C124" s="104" t="s">
        <v>895</v>
      </c>
      <c r="D124" s="104" t="s">
        <v>892</v>
      </c>
      <c r="E124" s="104" t="s">
        <v>893</v>
      </c>
      <c r="F124" s="104" t="s">
        <v>894</v>
      </c>
      <c r="G124" s="104" t="s">
        <v>901</v>
      </c>
      <c r="H124" s="104" t="s">
        <v>902</v>
      </c>
      <c r="J124" s="93" t="s">
        <v>6</v>
      </c>
      <c r="K124" s="94">
        <f>SUM(Tabla1103453454455456479455868778695108117127136228237352382406240359436476247[Coste LÃ­nea])</f>
        <v>3749.9810502</v>
      </c>
      <c r="M124" s="346"/>
    </row>
    <row r="125" spans="2:13" x14ac:dyDescent="0.25">
      <c r="B125" s="95" t="s">
        <v>887</v>
      </c>
      <c r="C125" s="96" t="s">
        <v>67</v>
      </c>
      <c r="D125" s="101">
        <v>5</v>
      </c>
      <c r="E125" s="101">
        <v>0</v>
      </c>
      <c r="F125" s="101">
        <v>5</v>
      </c>
      <c r="G125" s="98">
        <f>+VLOOKUP(Tabla1103453454455456479455868778695108117127136228237352382406240359436476247[[#This Row],[ArtÃ­culo]],Tabla34[#All],3,0)</f>
        <v>46.232876699999998</v>
      </c>
      <c r="H125" s="99">
        <f>+Tabla1103453454455456479455868778695108117127136228237352382406240359436476247[[#This Row],[Coste Componente]]*Tabla1103453454455456479455868778695108117127136228237352382406240359436476247[[#This Row],[Unidades Netas]]</f>
        <v>231.16438349999999</v>
      </c>
      <c r="I125" s="252"/>
      <c r="J125" s="93" t="s">
        <v>12</v>
      </c>
      <c r="K125" s="100">
        <f>+K124*10%</f>
        <v>374.99810502000003</v>
      </c>
    </row>
    <row r="126" spans="2:13" x14ac:dyDescent="0.25">
      <c r="B126" s="95" t="s">
        <v>606</v>
      </c>
      <c r="C126" s="96" t="s">
        <v>67</v>
      </c>
      <c r="D126" s="101">
        <v>60</v>
      </c>
      <c r="E126" s="101">
        <v>0</v>
      </c>
      <c r="F126" s="101">
        <v>60</v>
      </c>
      <c r="G126" s="98">
        <f>+VLOOKUP(Tabla1103453454455456479455868778695108117127136228237352382406240359436476247[[#This Row],[ArtÃ­culo]],Tabla34[#All],3,0)</f>
        <v>4.5</v>
      </c>
      <c r="H126" s="99">
        <f>+Tabla1103453454455456479455868778695108117127136228237352382406240359436476247[[#This Row],[Coste Componente]]*Tabla1103453454455456479455868778695108117127136228237352382406240359436476247[[#This Row],[Unidades Netas]]</f>
        <v>270</v>
      </c>
      <c r="J126" s="93" t="s">
        <v>13</v>
      </c>
      <c r="K126" s="100">
        <f>+K124+K125</f>
        <v>4124.9791552200004</v>
      </c>
    </row>
    <row r="127" spans="2:13" x14ac:dyDescent="0.25">
      <c r="B127" s="95" t="s">
        <v>900</v>
      </c>
      <c r="C127" s="96" t="s">
        <v>605</v>
      </c>
      <c r="D127" s="101">
        <v>2</v>
      </c>
      <c r="E127" s="101">
        <v>0</v>
      </c>
      <c r="F127" s="101">
        <v>2</v>
      </c>
      <c r="G127" s="98">
        <f>+VLOOKUP(Tabla1103453454455456479455868778695108117127136228237352382406240359436476247[[#This Row],[ArtÃ­culo]],Tabla34[#All],3,0)</f>
        <v>1500</v>
      </c>
      <c r="H127" s="99">
        <f>+Tabla1103453454455456479455868778695108117127136228237352382406240359436476247[[#This Row],[Coste Componente]]*Tabla1103453454455456479455868778695108117127136228237352382406240359436476247[[#This Row],[Unidades Netas]]</f>
        <v>3000</v>
      </c>
      <c r="J127" s="102" t="s">
        <v>14</v>
      </c>
      <c r="K127" s="103">
        <v>30500</v>
      </c>
    </row>
    <row r="128" spans="2:13" x14ac:dyDescent="0.25">
      <c r="B128" s="95" t="s">
        <v>183</v>
      </c>
      <c r="C128" s="96" t="s">
        <v>67</v>
      </c>
      <c r="D128" s="101">
        <v>200</v>
      </c>
      <c r="E128" s="101">
        <v>0</v>
      </c>
      <c r="F128" s="101">
        <v>200</v>
      </c>
      <c r="G128" s="98">
        <f>+VLOOKUP(Tabla1103453454455456479455868778695108117127136228237352382406240359436476247[[#This Row],[ArtÃ­culo]],Tabla34[#All],3,0)</f>
        <v>1</v>
      </c>
      <c r="H128" s="99">
        <f>+Tabla1103453454455456479455868778695108117127136228237352382406240359436476247[[#This Row],[Coste Componente]]*Tabla1103453454455456479455868778695108117127136228237352382406240359436476247[[#This Row],[Unidades Netas]]</f>
        <v>200</v>
      </c>
      <c r="I128" s="89"/>
      <c r="J128" s="93" t="s">
        <v>15</v>
      </c>
      <c r="K128" s="100">
        <f>+K127/1.08*0.08</f>
        <v>2259.2592592592591</v>
      </c>
    </row>
    <row r="129" spans="2:13" x14ac:dyDescent="0.25">
      <c r="B129" s="95" t="s">
        <v>85</v>
      </c>
      <c r="C129" s="96" t="s">
        <v>67</v>
      </c>
      <c r="D129" s="327">
        <v>10</v>
      </c>
      <c r="E129" s="101">
        <v>0</v>
      </c>
      <c r="F129" s="101">
        <v>10</v>
      </c>
      <c r="G129" s="98">
        <f>+VLOOKUP(Tabla1103453454455456479455868778695108117127136228237352382406240359436476247[[#This Row],[ArtÃ­culo]],Tabla34[#All],3,0)</f>
        <v>4.8816666700000004</v>
      </c>
      <c r="H129" s="99">
        <f>+Tabla1103453454455456479455868778695108117127136228237352382406240359436476247[[#This Row],[Coste Componente]]*Tabla1103453454455456479455868778695108117127136228237352382406240359436476247[[#This Row],[Unidades Netas]]</f>
        <v>48.816666700000006</v>
      </c>
      <c r="I129" s="89"/>
      <c r="J129" s="93" t="s">
        <v>16</v>
      </c>
      <c r="K129" s="100">
        <f>+K127-K128</f>
        <v>28240.740740740741</v>
      </c>
    </row>
    <row r="130" spans="2:13" x14ac:dyDescent="0.25">
      <c r="B130" s="104"/>
      <c r="C130" s="105"/>
      <c r="D130" s="105"/>
      <c r="E130" s="105"/>
      <c r="F130" s="105"/>
      <c r="G130" s="106"/>
      <c r="H130" s="106">
        <f>SUBTOTAL(109,Tabla1103453454455456479455868778695108117127136228237352382406240359436476247[Coste LÃ­nea])</f>
        <v>3749.9810502</v>
      </c>
      <c r="I130" s="89"/>
      <c r="J130" s="93" t="s">
        <v>17</v>
      </c>
      <c r="K130" s="22">
        <f>+K126/K129</f>
        <v>0.14606483566024919</v>
      </c>
    </row>
    <row r="131" spans="2:13" x14ac:dyDescent="0.25">
      <c r="I131" s="89"/>
      <c r="J131" s="93" t="s">
        <v>18</v>
      </c>
      <c r="K131" s="23">
        <f>+K129-K126</f>
        <v>24115.76158552074</v>
      </c>
    </row>
    <row r="132" spans="2:13" x14ac:dyDescent="0.25">
      <c r="I132" s="89"/>
      <c r="J132" s="93" t="s">
        <v>19</v>
      </c>
      <c r="K132" s="25">
        <f>+K131/K126</f>
        <v>5.8462747757169113</v>
      </c>
    </row>
    <row r="133" spans="2:13" x14ac:dyDescent="0.25">
      <c r="I133" s="89"/>
    </row>
    <row r="134" spans="2:13" x14ac:dyDescent="0.25">
      <c r="I134" s="89"/>
    </row>
    <row r="135" spans="2:13" x14ac:dyDescent="0.25">
      <c r="I135" s="89"/>
    </row>
    <row r="136" spans="2:13" ht="15.6" x14ac:dyDescent="0.3">
      <c r="B136" s="86" t="s">
        <v>921</v>
      </c>
      <c r="C136" s="87"/>
      <c r="D136" s="87"/>
      <c r="E136" s="88"/>
      <c r="F136" s="88"/>
      <c r="G136" s="88"/>
      <c r="H136" s="88"/>
      <c r="J136" s="249" t="s">
        <v>0</v>
      </c>
      <c r="K136" s="249"/>
      <c r="M136" s="377" t="s">
        <v>1394</v>
      </c>
    </row>
    <row r="137" spans="2:13" x14ac:dyDescent="0.25">
      <c r="B137" s="104" t="s">
        <v>857</v>
      </c>
      <c r="C137" s="104" t="s">
        <v>895</v>
      </c>
      <c r="D137" s="104" t="s">
        <v>892</v>
      </c>
      <c r="E137" s="104" t="s">
        <v>893</v>
      </c>
      <c r="F137" s="104" t="s">
        <v>894</v>
      </c>
      <c r="G137" s="104" t="s">
        <v>901</v>
      </c>
      <c r="H137" s="104" t="s">
        <v>902</v>
      </c>
      <c r="J137" s="93" t="s">
        <v>6</v>
      </c>
      <c r="K137" s="94" t="e">
        <f>SUM(Tabla1103453454455456479455868778695108117127136228237352382406240359436476247238[Coste LÃ­nea])</f>
        <v>#N/A</v>
      </c>
      <c r="M137" s="346"/>
    </row>
    <row r="138" spans="2:13" x14ac:dyDescent="0.25">
      <c r="B138" s="95" t="s">
        <v>1258</v>
      </c>
      <c r="C138" s="96" t="s">
        <v>605</v>
      </c>
      <c r="D138" s="101">
        <v>1.5</v>
      </c>
      <c r="E138" s="101">
        <v>0</v>
      </c>
      <c r="F138" s="101">
        <v>1.5</v>
      </c>
      <c r="G138" s="98">
        <f>+VLOOKUP(Tabla1103453454455456479455868778695108117127136228237352382406240359436476247238[[#This Row],[ArtÃ­culo]],Tabla34[#All],3,0)</f>
        <v>2796.5</v>
      </c>
      <c r="H138" s="99">
        <f>+Tabla1103453454455456479455868778695108117127136228237352382406240359436476247238[[#This Row],[Coste Componente]]*Tabla1103453454455456479455868778695108117127136228237352382406240359436476247238[[#This Row],[Unidades Netas]]</f>
        <v>4194.75</v>
      </c>
      <c r="I138" s="252"/>
      <c r="J138" s="93" t="s">
        <v>12</v>
      </c>
      <c r="K138" s="100" t="e">
        <f>+K137*10%</f>
        <v>#N/A</v>
      </c>
    </row>
    <row r="139" spans="2:13" x14ac:dyDescent="0.25">
      <c r="B139" s="95" t="s">
        <v>800</v>
      </c>
      <c r="C139" s="96" t="s">
        <v>605</v>
      </c>
      <c r="D139" s="101">
        <v>0.5</v>
      </c>
      <c r="E139" s="101">
        <v>0</v>
      </c>
      <c r="F139" s="101">
        <v>0.5</v>
      </c>
      <c r="G139" s="98">
        <f>+VLOOKUP(Tabla1103453454455456479455868778695108117127136228237352382406240359436476247238[[#This Row],[ArtÃ­culo]],Tabla34[#All],3,0)</f>
        <v>1594</v>
      </c>
      <c r="H139" s="99">
        <f>+Tabla1103453454455456479455868778695108117127136228237352382406240359436476247238[[#This Row],[Coste Componente]]*Tabla1103453454455456479455868778695108117127136228237352382406240359436476247238[[#This Row],[Unidades Netas]]</f>
        <v>797</v>
      </c>
      <c r="J139" s="93" t="s">
        <v>13</v>
      </c>
      <c r="K139" s="100" t="e">
        <f>+K137+K138</f>
        <v>#N/A</v>
      </c>
    </row>
    <row r="140" spans="2:13" x14ac:dyDescent="0.25">
      <c r="B140" s="95" t="s">
        <v>1326</v>
      </c>
      <c r="C140" s="96" t="s">
        <v>605</v>
      </c>
      <c r="D140" s="101">
        <v>0.5</v>
      </c>
      <c r="E140" s="101">
        <v>0</v>
      </c>
      <c r="F140" s="101">
        <v>0.5</v>
      </c>
      <c r="G140" s="98" t="e">
        <f>+VLOOKUP(Tabla1103453454455456479455868778695108117127136228237352382406240359436476247238[[#This Row],[ArtÃ­culo]],Tabla34[#All],3,0)</f>
        <v>#N/A</v>
      </c>
      <c r="H140" s="99" t="e">
        <f>+Tabla1103453454455456479455868778695108117127136228237352382406240359436476247238[[#This Row],[Coste Componente]]*Tabla1103453454455456479455868778695108117127136228237352382406240359436476247238[[#This Row],[Unidades Netas]]</f>
        <v>#N/A</v>
      </c>
      <c r="J140" s="102" t="s">
        <v>14</v>
      </c>
      <c r="K140" s="103">
        <v>42900</v>
      </c>
    </row>
    <row r="141" spans="2:13" x14ac:dyDescent="0.25">
      <c r="B141" s="95" t="s">
        <v>168</v>
      </c>
      <c r="C141" s="96" t="s">
        <v>67</v>
      </c>
      <c r="D141" s="108">
        <v>1</v>
      </c>
      <c r="E141" s="101">
        <v>0</v>
      </c>
      <c r="F141" s="101">
        <v>1</v>
      </c>
      <c r="G141" s="98">
        <f>+VLOOKUP(Tabla1103453454455456479455868778695108117127136228237352382406240359436476247238[[#This Row],[ArtÃ­culo]],Tabla34[#All],3,0)</f>
        <v>10.86600002</v>
      </c>
      <c r="H141" s="99">
        <f>+Tabla1103453454455456479455868778695108117127136228237352382406240359436476247238[[#This Row],[Coste Componente]]*Tabla1103453454455456479455868778695108117127136228237352382406240359436476247238[[#This Row],[Unidades Netas]]</f>
        <v>10.86600002</v>
      </c>
      <c r="I141" s="89"/>
      <c r="J141" s="93" t="s">
        <v>15</v>
      </c>
      <c r="K141" s="100">
        <f>+K140/1.08*0.08</f>
        <v>3177.7777777777774</v>
      </c>
    </row>
    <row r="142" spans="2:13" x14ac:dyDescent="0.25">
      <c r="B142" s="95" t="s">
        <v>449</v>
      </c>
      <c r="C142" s="96" t="s">
        <v>67</v>
      </c>
      <c r="D142" s="101">
        <v>40</v>
      </c>
      <c r="E142" s="101">
        <v>0</v>
      </c>
      <c r="F142" s="101">
        <v>40</v>
      </c>
      <c r="G142" s="98">
        <f>+VLOOKUP(Tabla1103453454455456479455868778695108117127136228237352382406240359436476247238[[#This Row],[ArtÃ­culo]],Tabla34[#All],3,0)</f>
        <v>46.669166670000003</v>
      </c>
      <c r="H142" s="99">
        <f>+Tabla1103453454455456479455868778695108117127136228237352382406240359436476247238[[#This Row],[Coste Componente]]*Tabla1103453454455456479455868778695108117127136228237352382406240359436476247238[[#This Row],[Unidades Netas]]</f>
        <v>1866.7666668000002</v>
      </c>
      <c r="I142" s="89"/>
      <c r="J142" s="93" t="s">
        <v>16</v>
      </c>
      <c r="K142" s="100">
        <f>+K140-K141</f>
        <v>39722.222222222219</v>
      </c>
    </row>
    <row r="143" spans="2:13" x14ac:dyDescent="0.25">
      <c r="B143" s="104"/>
      <c r="C143" s="105"/>
      <c r="D143" s="105"/>
      <c r="E143" s="105"/>
      <c r="F143" s="105"/>
      <c r="G143" s="106"/>
      <c r="H143" s="106" t="e">
        <f>SUBTOTAL(109,Tabla1103453454455456479455868778695108117127136228237352382406240359436476247238[Coste LÃ­nea])</f>
        <v>#N/A</v>
      </c>
      <c r="I143" s="89"/>
      <c r="J143" s="93" t="s">
        <v>17</v>
      </c>
      <c r="K143" s="22" t="e">
        <f>+K139/K142</f>
        <v>#N/A</v>
      </c>
    </row>
    <row r="144" spans="2:13" x14ac:dyDescent="0.25">
      <c r="I144" s="89"/>
      <c r="J144" s="93" t="s">
        <v>18</v>
      </c>
      <c r="K144" s="23" t="e">
        <f>+K142-K139</f>
        <v>#N/A</v>
      </c>
    </row>
    <row r="145" spans="2:13" x14ac:dyDescent="0.25">
      <c r="I145" s="89"/>
      <c r="J145" s="93" t="s">
        <v>19</v>
      </c>
      <c r="K145" s="25" t="e">
        <f>+K144/K139</f>
        <v>#N/A</v>
      </c>
    </row>
    <row r="146" spans="2:13" x14ac:dyDescent="0.25">
      <c r="I146" s="89"/>
    </row>
    <row r="147" spans="2:13" x14ac:dyDescent="0.25">
      <c r="I147" s="89"/>
    </row>
    <row r="148" spans="2:13" x14ac:dyDescent="0.25">
      <c r="I148" s="89"/>
    </row>
    <row r="151" spans="2:13" ht="15.6" x14ac:dyDescent="0.3">
      <c r="B151" s="86" t="s">
        <v>925</v>
      </c>
      <c r="C151" s="87"/>
      <c r="D151" s="87"/>
      <c r="E151" s="88"/>
      <c r="F151" s="88"/>
      <c r="G151" s="88"/>
      <c r="H151" s="88"/>
      <c r="J151" s="249" t="s">
        <v>0</v>
      </c>
      <c r="K151" s="249"/>
      <c r="M151" s="377" t="s">
        <v>1394</v>
      </c>
    </row>
    <row r="152" spans="2:13" x14ac:dyDescent="0.25">
      <c r="B152" s="104" t="s">
        <v>857</v>
      </c>
      <c r="C152" s="104" t="s">
        <v>895</v>
      </c>
      <c r="D152" s="104" t="s">
        <v>892</v>
      </c>
      <c r="E152" s="104" t="s">
        <v>893</v>
      </c>
      <c r="F152" s="104" t="s">
        <v>894</v>
      </c>
      <c r="G152" s="104" t="s">
        <v>901</v>
      </c>
      <c r="H152" s="104" t="s">
        <v>902</v>
      </c>
      <c r="J152" s="93" t="s">
        <v>6</v>
      </c>
      <c r="K152" s="94">
        <f>SUM(Tabla1103453454455456479455868778695108117127136228237352382406240359436476247238239[Coste LÃ­nea])</f>
        <v>13476.359999999999</v>
      </c>
      <c r="M152" s="346"/>
    </row>
    <row r="153" spans="2:13" x14ac:dyDescent="0.25">
      <c r="B153" s="95" t="s">
        <v>1151</v>
      </c>
      <c r="C153" s="96" t="s">
        <v>67</v>
      </c>
      <c r="D153" s="101">
        <v>15</v>
      </c>
      <c r="E153" s="101">
        <v>0</v>
      </c>
      <c r="F153" s="101">
        <v>15</v>
      </c>
      <c r="G153" s="98">
        <f>+VLOOKUP(Tabla1103453454455456479455868778695108117127136228237352382406240359436476247238239[[#This Row],[ArtÃ­culo]],Tabla34[#All],3,0)</f>
        <v>56</v>
      </c>
      <c r="H153" s="99">
        <f>+Tabla1103453454455456479455868778695108117127136228237352382406240359436476247238239[[#This Row],[Coste Componente]]*Tabla1103453454455456479455868778695108117127136228237352382406240359436476247238239[[#This Row],[Unidades Netas]]</f>
        <v>840</v>
      </c>
      <c r="J153" s="93" t="s">
        <v>12</v>
      </c>
      <c r="K153" s="100">
        <f>+K152*10%</f>
        <v>1347.636</v>
      </c>
    </row>
    <row r="154" spans="2:13" x14ac:dyDescent="0.25">
      <c r="B154" s="95" t="s">
        <v>230</v>
      </c>
      <c r="C154" s="96" t="s">
        <v>605</v>
      </c>
      <c r="D154" s="101">
        <v>1.66</v>
      </c>
      <c r="E154" s="101">
        <v>0</v>
      </c>
      <c r="F154" s="101">
        <v>1.66</v>
      </c>
      <c r="G154" s="98">
        <f>+VLOOKUP(Tabla1103453454455456479455868778695108117127136228237352382406240359436476247238239[[#This Row],[ArtÃ­culo]],Tabla34[#All],3,0)</f>
        <v>6567</v>
      </c>
      <c r="H154" s="99">
        <f>+Tabla1103453454455456479455868778695108117127136228237352382406240359436476247238239[[#This Row],[Coste Componente]]*Tabla1103453454455456479455868778695108117127136228237352382406240359436476247238239[[#This Row],[Unidades Netas]]</f>
        <v>10901.22</v>
      </c>
      <c r="J154" s="93" t="s">
        <v>13</v>
      </c>
      <c r="K154" s="100">
        <f>+K152+K153</f>
        <v>14823.995999999999</v>
      </c>
    </row>
    <row r="155" spans="2:13" x14ac:dyDescent="0.25">
      <c r="B155" s="95" t="s">
        <v>924</v>
      </c>
      <c r="C155" s="96" t="s">
        <v>605</v>
      </c>
      <c r="D155" s="101">
        <v>0.66</v>
      </c>
      <c r="E155" s="101">
        <v>0</v>
      </c>
      <c r="F155" s="101">
        <v>0.66</v>
      </c>
      <c r="G155" s="98">
        <f>+VLOOKUP(Tabla1103453454455456479455868778695108117127136228237352382406240359436476247238239[[#This Row],[ArtÃ­culo]],Tabla34[#All],3,0)</f>
        <v>2629</v>
      </c>
      <c r="H155" s="99">
        <f>+Tabla1103453454455456479455868778695108117127136228237352382406240359436476247238239[[#This Row],[Coste Componente]]*Tabla1103453454455456479455868778695108117127136228237352382406240359436476247238239[[#This Row],[Unidades Netas]]</f>
        <v>1735.14</v>
      </c>
      <c r="J155" s="102" t="s">
        <v>14</v>
      </c>
      <c r="K155" s="103">
        <v>39900</v>
      </c>
    </row>
    <row r="156" spans="2:13" x14ac:dyDescent="0.25">
      <c r="B156" s="104"/>
      <c r="C156" s="105"/>
      <c r="D156" s="105"/>
      <c r="E156" s="105"/>
      <c r="F156" s="105"/>
      <c r="G156" s="106"/>
      <c r="H156" s="106">
        <f>SUBTOTAL(109,Tabla1103453454455456479455868778695108117127136228237352382406240359436476247238239[Coste LÃ­nea])</f>
        <v>13476.359999999999</v>
      </c>
      <c r="I156" s="89"/>
      <c r="J156" s="93" t="s">
        <v>15</v>
      </c>
      <c r="K156" s="100">
        <f>+K155/1.08*0.08</f>
        <v>2955.5555555555557</v>
      </c>
    </row>
    <row r="157" spans="2:13" x14ac:dyDescent="0.25">
      <c r="I157" s="89"/>
      <c r="J157" s="93" t="s">
        <v>16</v>
      </c>
      <c r="K157" s="100">
        <f>+K155-K156</f>
        <v>36944.444444444445</v>
      </c>
    </row>
    <row r="158" spans="2:13" x14ac:dyDescent="0.25">
      <c r="I158" s="89"/>
      <c r="J158" s="93" t="s">
        <v>17</v>
      </c>
      <c r="K158" s="22">
        <f>+K154/K157</f>
        <v>0.40125101954887216</v>
      </c>
    </row>
    <row r="159" spans="2:13" x14ac:dyDescent="0.25">
      <c r="I159" s="89"/>
      <c r="J159" s="93" t="s">
        <v>18</v>
      </c>
      <c r="K159" s="23">
        <f>+K157-K154</f>
        <v>22120.448444444446</v>
      </c>
    </row>
    <row r="160" spans="2:13" x14ac:dyDescent="0.25">
      <c r="I160" s="89"/>
      <c r="J160" s="93" t="s">
        <v>19</v>
      </c>
      <c r="K160" s="25">
        <f>+K159/K154</f>
        <v>1.4922055054820877</v>
      </c>
    </row>
    <row r="161" spans="2:13" x14ac:dyDescent="0.25">
      <c r="I161" s="89"/>
    </row>
    <row r="162" spans="2:13" x14ac:dyDescent="0.25">
      <c r="I162" s="89"/>
    </row>
    <row r="163" spans="2:13" x14ac:dyDescent="0.25">
      <c r="I163" s="89"/>
    </row>
    <row r="166" spans="2:13" ht="15.6" x14ac:dyDescent="0.3">
      <c r="B166" s="86" t="s">
        <v>1265</v>
      </c>
      <c r="C166" s="87"/>
      <c r="D166" s="87"/>
      <c r="E166" s="88"/>
      <c r="F166" s="88"/>
      <c r="G166" s="88"/>
      <c r="H166" s="88"/>
      <c r="J166" s="249" t="s">
        <v>0</v>
      </c>
      <c r="K166" s="249"/>
      <c r="M166" s="377" t="s">
        <v>1394</v>
      </c>
    </row>
    <row r="167" spans="2:13" x14ac:dyDescent="0.25">
      <c r="B167" s="104" t="s">
        <v>857</v>
      </c>
      <c r="C167" s="104" t="s">
        <v>895</v>
      </c>
      <c r="D167" s="104" t="s">
        <v>892</v>
      </c>
      <c r="E167" s="104" t="s">
        <v>893</v>
      </c>
      <c r="F167" s="104" t="s">
        <v>894</v>
      </c>
      <c r="G167" s="104" t="s">
        <v>901</v>
      </c>
      <c r="H167" s="104" t="s">
        <v>902</v>
      </c>
      <c r="J167" s="93" t="s">
        <v>6</v>
      </c>
      <c r="K167" s="94" t="e">
        <f>SUM(Tabla11034534544554564794558687786951081171271362282373523824062403594364762472382397[Coste LÃ­nea])</f>
        <v>#N/A</v>
      </c>
      <c r="M167" s="346"/>
    </row>
    <row r="168" spans="2:13" x14ac:dyDescent="0.25">
      <c r="B168" s="95" t="s">
        <v>1258</v>
      </c>
      <c r="C168" s="96" t="s">
        <v>605</v>
      </c>
      <c r="D168" s="101">
        <v>1.5</v>
      </c>
      <c r="E168" s="101">
        <v>0</v>
      </c>
      <c r="F168" s="101">
        <v>1.5</v>
      </c>
      <c r="G168" s="98">
        <f>+VLOOKUP(Tabla11034534544554564794558687786951081171271362282373523824062403594364762472382397[[#This Row],[ArtÃ­culo]],Tabla34[#All],3,0)</f>
        <v>2796.5</v>
      </c>
      <c r="H168" s="99">
        <f>+Tabla11034534544554564794558687786951081171271362282373523824062403594364762472382397[[#This Row],[Coste Componente]]*Tabla11034534544554564794558687786951081171271362282373523824062403594364762472382397[[#This Row],[Unidades Netas]]</f>
        <v>4194.75</v>
      </c>
      <c r="J168" s="93" t="s">
        <v>12</v>
      </c>
      <c r="K168" s="100" t="e">
        <f>+K167*10%</f>
        <v>#N/A</v>
      </c>
    </row>
    <row r="169" spans="2:13" x14ac:dyDescent="0.25">
      <c r="B169" s="95" t="s">
        <v>1319</v>
      </c>
      <c r="C169" s="96" t="s">
        <v>605</v>
      </c>
      <c r="D169" s="101">
        <v>0.5</v>
      </c>
      <c r="E169" s="101">
        <v>0</v>
      </c>
      <c r="F169" s="101">
        <v>0.5</v>
      </c>
      <c r="G169" s="98">
        <f>+VLOOKUP(Tabla11034534544554564794558687786951081171271362282373523824062403594364762472382397[[#This Row],[ArtÃ­culo]],Tabla34[#All],3,0)</f>
        <v>1750</v>
      </c>
      <c r="H169" s="99">
        <f>+Tabla11034534544554564794558687786951081171271362282373523824062403594364762472382397[[#This Row],[Coste Componente]]*Tabla11034534544554564794558687786951081171271362282373523824062403594364762472382397[[#This Row],[Unidades Netas]]</f>
        <v>875</v>
      </c>
      <c r="J169" s="93" t="s">
        <v>13</v>
      </c>
      <c r="K169" s="100" t="e">
        <f>+K167+K168</f>
        <v>#N/A</v>
      </c>
    </row>
    <row r="170" spans="2:13" x14ac:dyDescent="0.25">
      <c r="B170" s="95" t="s">
        <v>168</v>
      </c>
      <c r="C170" s="96" t="s">
        <v>67</v>
      </c>
      <c r="D170" s="101">
        <v>30</v>
      </c>
      <c r="E170" s="101">
        <v>0</v>
      </c>
      <c r="F170" s="101">
        <v>30</v>
      </c>
      <c r="G170" s="98">
        <f>+VLOOKUP(Tabla11034534544554564794558687786951081171271362282373523824062403594364762472382397[[#This Row],[ArtÃ­culo]],Tabla34[#All],3,0)</f>
        <v>10.86600002</v>
      </c>
      <c r="H170" s="99">
        <f>+Tabla11034534544554564794558687786951081171271362282373523824062403594364762472382397[[#This Row],[Coste Componente]]*Tabla11034534544554564794558687786951081171271362282373523824062403594364762472382397[[#This Row],[Unidades Netas]]</f>
        <v>325.98000059999998</v>
      </c>
      <c r="J170" s="102" t="s">
        <v>14</v>
      </c>
      <c r="K170" s="103">
        <v>39900</v>
      </c>
    </row>
    <row r="171" spans="2:13" x14ac:dyDescent="0.25">
      <c r="B171" s="95" t="s">
        <v>1327</v>
      </c>
      <c r="C171" s="96" t="s">
        <v>605</v>
      </c>
      <c r="D171" s="101">
        <v>1</v>
      </c>
      <c r="E171" s="101">
        <v>0</v>
      </c>
      <c r="F171" s="101">
        <v>1</v>
      </c>
      <c r="G171" s="98" t="e">
        <f>+VLOOKUP(Tabla11034534544554564794558687786951081171271362282373523824062403594364762472382397[[#This Row],[ArtÃ­culo]],Tabla34[#All],3,0)</f>
        <v>#N/A</v>
      </c>
      <c r="H171" s="99" t="e">
        <f>+Tabla11034534544554564794558687786951081171271362282373523824062403594364762472382397[[#This Row],[Coste Componente]]*Tabla11034534544554564794558687786951081171271362282373523824062403594364762472382397[[#This Row],[Unidades Netas]]</f>
        <v>#N/A</v>
      </c>
      <c r="I171" s="89"/>
      <c r="J171" s="93" t="s">
        <v>15</v>
      </c>
      <c r="K171" s="100">
        <f>+K170/1.08*0.08</f>
        <v>2955.5555555555557</v>
      </c>
    </row>
    <row r="172" spans="2:13" x14ac:dyDescent="0.25">
      <c r="B172" s="95" t="s">
        <v>134</v>
      </c>
      <c r="C172" s="96" t="s">
        <v>67</v>
      </c>
      <c r="D172" s="101">
        <v>10</v>
      </c>
      <c r="E172" s="101">
        <v>0</v>
      </c>
      <c r="F172" s="101">
        <v>10</v>
      </c>
      <c r="G172" s="98">
        <f>+VLOOKUP(Tabla11034534544554564794558687786951081171271362282373523824062403594364762472382397[[#This Row],[ArtÃ­culo]],Tabla34[#All],3,0)</f>
        <v>5.7702915900000002</v>
      </c>
      <c r="H172" s="99">
        <f>+Tabla11034534544554564794558687786951081171271362282373523824062403594364762472382397[[#This Row],[Coste Componente]]*Tabla11034534544554564794558687786951081171271362282373523824062403594364762472382397[[#This Row],[Unidades Netas]]</f>
        <v>57.702915900000001</v>
      </c>
      <c r="I172" s="89"/>
      <c r="J172" s="93" t="s">
        <v>16</v>
      </c>
      <c r="K172" s="100">
        <f>+K170-K171</f>
        <v>36944.444444444445</v>
      </c>
    </row>
    <row r="173" spans="2:13" x14ac:dyDescent="0.25">
      <c r="B173" s="95" t="s">
        <v>709</v>
      </c>
      <c r="C173" s="96" t="s">
        <v>67</v>
      </c>
      <c r="D173" s="101">
        <v>5</v>
      </c>
      <c r="E173" s="101">
        <v>0</v>
      </c>
      <c r="F173" s="101">
        <v>5</v>
      </c>
      <c r="G173" s="98">
        <f>+VLOOKUP(Tabla11034534544554564794558687786951081171271362282373523824062403594364762472382397[[#This Row],[ArtÃ­culo]],Tabla34[#All],3,0)</f>
        <v>3.2</v>
      </c>
      <c r="H173" s="99">
        <f>+Tabla11034534544554564794558687786951081171271362282373523824062403594364762472382397[[#This Row],[Coste Componente]]*Tabla11034534544554564794558687786951081171271362282373523824062403594364762472382397[[#This Row],[Unidades Netas]]</f>
        <v>16</v>
      </c>
      <c r="I173" s="89"/>
      <c r="J173" s="93" t="s">
        <v>17</v>
      </c>
      <c r="K173" s="22" t="e">
        <f>+K169/K172</f>
        <v>#N/A</v>
      </c>
    </row>
    <row r="174" spans="2:13" x14ac:dyDescent="0.25">
      <c r="B174" s="104"/>
      <c r="C174" s="105"/>
      <c r="D174" s="105"/>
      <c r="E174" s="105"/>
      <c r="F174" s="105"/>
      <c r="G174" s="106"/>
      <c r="H174" s="106" t="e">
        <f>SUBTOTAL(109,Tabla11034534544554564794558687786951081171271362282373523824062403594364762472382397[Coste LÃ­nea])</f>
        <v>#N/A</v>
      </c>
      <c r="I174" s="89"/>
      <c r="J174" s="93" t="s">
        <v>18</v>
      </c>
      <c r="K174" s="23" t="e">
        <f>+K172-K169</f>
        <v>#N/A</v>
      </c>
    </row>
    <row r="175" spans="2:13" x14ac:dyDescent="0.25">
      <c r="I175" s="89"/>
      <c r="J175" s="93" t="s">
        <v>19</v>
      </c>
      <c r="K175" s="25" t="e">
        <f>+K174/K169</f>
        <v>#N/A</v>
      </c>
    </row>
    <row r="176" spans="2:13" x14ac:dyDescent="0.25">
      <c r="I176" s="89"/>
    </row>
    <row r="177" spans="2:13" x14ac:dyDescent="0.25">
      <c r="I177" s="89"/>
    </row>
    <row r="178" spans="2:13" x14ac:dyDescent="0.25">
      <c r="I178" s="89"/>
    </row>
    <row r="179" spans="2:13" ht="15.6" x14ac:dyDescent="0.3">
      <c r="B179" s="86" t="s">
        <v>1267</v>
      </c>
      <c r="C179" s="87"/>
      <c r="D179" s="87"/>
      <c r="E179" s="88"/>
      <c r="F179" s="88"/>
      <c r="G179" s="88"/>
      <c r="H179" s="88"/>
      <c r="J179" s="249" t="s">
        <v>0</v>
      </c>
      <c r="K179" s="249"/>
      <c r="M179" s="377" t="s">
        <v>1394</v>
      </c>
    </row>
    <row r="180" spans="2:13" x14ac:dyDescent="0.25">
      <c r="B180" s="104" t="s">
        <v>857</v>
      </c>
      <c r="C180" s="104" t="s">
        <v>895</v>
      </c>
      <c r="D180" s="104" t="s">
        <v>892</v>
      </c>
      <c r="E180" s="104" t="s">
        <v>893</v>
      </c>
      <c r="F180" s="104" t="s">
        <v>894</v>
      </c>
      <c r="G180" s="104" t="s">
        <v>901</v>
      </c>
      <c r="H180" s="104" t="s">
        <v>902</v>
      </c>
      <c r="J180" s="93" t="s">
        <v>6</v>
      </c>
      <c r="K180" s="94" t="e">
        <f>SUM(Tabla1103453454455456479455868778695108117127136228237352382406240359436476247238239742[Coste LÃ­nea])</f>
        <v>#N/A</v>
      </c>
      <c r="M180" s="346"/>
    </row>
    <row r="181" spans="2:13" x14ac:dyDescent="0.25">
      <c r="B181" s="95" t="s">
        <v>651</v>
      </c>
      <c r="C181" s="96" t="s">
        <v>605</v>
      </c>
      <c r="D181" s="101">
        <v>2.5</v>
      </c>
      <c r="E181" s="101">
        <v>0</v>
      </c>
      <c r="F181" s="101">
        <v>2.5</v>
      </c>
      <c r="G181" s="98">
        <f>+VLOOKUP(Tabla1103453454455456479455868778695108117127136228237352382406240359436476247238239742[[#This Row],[ArtÃ­culo]],Tabla34[#All],3,0)</f>
        <v>3103.4482758600002</v>
      </c>
      <c r="H181" s="99">
        <f>+Tabla1103453454455456479455868778695108117127136228237352382406240359436476247238239742[[#This Row],[Coste Componente]]*Tabla1103453454455456479455868778695108117127136228237352382406240359436476247238239742[[#This Row],[Unidades Netas]]</f>
        <v>7758.6206896500007</v>
      </c>
      <c r="J181" s="93" t="s">
        <v>12</v>
      </c>
      <c r="K181" s="100" t="e">
        <f>+K180*10%</f>
        <v>#N/A</v>
      </c>
    </row>
    <row r="182" spans="2:13" x14ac:dyDescent="0.25">
      <c r="B182" s="95" t="s">
        <v>134</v>
      </c>
      <c r="C182" s="96" t="s">
        <v>67</v>
      </c>
      <c r="D182" s="101">
        <v>38</v>
      </c>
      <c r="E182" s="101">
        <v>0</v>
      </c>
      <c r="F182" s="101">
        <v>38</v>
      </c>
      <c r="G182" s="98">
        <f>+VLOOKUP(Tabla1103453454455456479455868778695108117127136228237352382406240359436476247238239742[[#This Row],[ArtÃ­culo]],Tabla34[#All],3,0)</f>
        <v>5.7702915900000002</v>
      </c>
      <c r="H182" s="99">
        <f>+Tabla1103453454455456479455868778695108117127136228237352382406240359436476247238239742[[#This Row],[Coste Componente]]*Tabla1103453454455456479455868778695108117127136228237352382406240359436476247238239742[[#This Row],[Unidades Netas]]</f>
        <v>219.27108042</v>
      </c>
      <c r="J182" s="93" t="s">
        <v>13</v>
      </c>
      <c r="K182" s="100" t="e">
        <f>+K180+K181</f>
        <v>#N/A</v>
      </c>
    </row>
    <row r="183" spans="2:13" x14ac:dyDescent="0.25">
      <c r="B183" s="95" t="s">
        <v>183</v>
      </c>
      <c r="C183" s="96" t="s">
        <v>67</v>
      </c>
      <c r="D183" s="101">
        <v>100</v>
      </c>
      <c r="E183" s="101">
        <v>0</v>
      </c>
      <c r="F183" s="101">
        <v>100</v>
      </c>
      <c r="G183" s="98">
        <f>+VLOOKUP(Tabla1103453454455456479455868778695108117127136228237352382406240359436476247238239742[[#This Row],[ArtÃ­culo]],Tabla34[#All],3,0)</f>
        <v>1</v>
      </c>
      <c r="H183" s="99">
        <f>+Tabla1103453454455456479455868778695108117127136228237352382406240359436476247238239742[[#This Row],[Coste Componente]]*Tabla1103453454455456479455868778695108117127136228237352382406240359436476247238239742[[#This Row],[Unidades Netas]]</f>
        <v>100</v>
      </c>
      <c r="J183" s="102" t="s">
        <v>14</v>
      </c>
      <c r="K183" s="103">
        <v>39900</v>
      </c>
    </row>
    <row r="184" spans="2:13" x14ac:dyDescent="0.25">
      <c r="B184" s="95" t="s">
        <v>168</v>
      </c>
      <c r="C184" s="96" t="s">
        <v>67</v>
      </c>
      <c r="D184" s="101">
        <v>30</v>
      </c>
      <c r="E184" s="101">
        <v>0</v>
      </c>
      <c r="F184" s="101">
        <v>30</v>
      </c>
      <c r="G184" s="98">
        <f>+VLOOKUP(Tabla1103453454455456479455868778695108117127136228237352382406240359436476247238239742[[#This Row],[ArtÃ­culo]],Tabla34[#All],3,0)</f>
        <v>10.86600002</v>
      </c>
      <c r="H184" s="99">
        <f>+Tabla1103453454455456479455868778695108117127136228237352382406240359436476247238239742[[#This Row],[Coste Componente]]*Tabla1103453454455456479455868778695108117127136228237352382406240359436476247238239742[[#This Row],[Unidades Netas]]</f>
        <v>325.98000059999998</v>
      </c>
      <c r="J184" s="93" t="s">
        <v>15</v>
      </c>
      <c r="K184" s="100">
        <f>+K183/1.08*0.08</f>
        <v>2955.5555555555557</v>
      </c>
    </row>
    <row r="185" spans="2:13" x14ac:dyDescent="0.25">
      <c r="B185" s="95" t="s">
        <v>1328</v>
      </c>
      <c r="C185" s="96" t="s">
        <v>67</v>
      </c>
      <c r="D185" s="101">
        <v>20</v>
      </c>
      <c r="E185" s="101">
        <v>0</v>
      </c>
      <c r="F185" s="101">
        <v>20</v>
      </c>
      <c r="G185" s="98" t="e">
        <f>+VLOOKUP(Tabla1103453454455456479455868778695108117127136228237352382406240359436476247238239742[[#This Row],[ArtÃ­culo]],Tabla34[#All],3,0)</f>
        <v>#N/A</v>
      </c>
      <c r="H185" s="99" t="e">
        <f>+Tabla1103453454455456479455868778695108117127136228237352382406240359436476247238239742[[#This Row],[Coste Componente]]*Tabla1103453454455456479455868778695108117127136228237352382406240359436476247238239742[[#This Row],[Unidades Netas]]</f>
        <v>#N/A</v>
      </c>
      <c r="I185" s="89"/>
      <c r="J185" s="93" t="s">
        <v>16</v>
      </c>
      <c r="K185" s="100">
        <f>+K183-K184</f>
        <v>36944.444444444445</v>
      </c>
    </row>
    <row r="186" spans="2:13" x14ac:dyDescent="0.25">
      <c r="B186" s="95" t="s">
        <v>661</v>
      </c>
      <c r="C186" s="96" t="s">
        <v>67</v>
      </c>
      <c r="D186" s="101">
        <v>1</v>
      </c>
      <c r="E186" s="101">
        <v>0</v>
      </c>
      <c r="F186" s="101">
        <v>1</v>
      </c>
      <c r="G186" s="98">
        <f>+VLOOKUP(Tabla1103453454455456479455868778695108117127136228237352382406240359436476247238239742[[#This Row],[ArtÃ­culo]],Tabla34[#All],3,0)</f>
        <v>358.54340000000002</v>
      </c>
      <c r="H186" s="99">
        <f>+Tabla1103453454455456479455868778695108117127136228237352382406240359436476247238239742[[#This Row],[Coste Componente]]*Tabla1103453454455456479455868778695108117127136228237352382406240359436476247238239742[[#This Row],[Unidades Netas]]</f>
        <v>358.54340000000002</v>
      </c>
      <c r="I186" s="89"/>
      <c r="J186" s="93" t="s">
        <v>17</v>
      </c>
      <c r="K186" s="22" t="e">
        <f>+K182/K185</f>
        <v>#N/A</v>
      </c>
    </row>
    <row r="187" spans="2:13" x14ac:dyDescent="0.25">
      <c r="B187" s="104"/>
      <c r="C187" s="105"/>
      <c r="D187" s="105"/>
      <c r="E187" s="105"/>
      <c r="F187" s="105"/>
      <c r="G187" s="106"/>
      <c r="H187" s="106" t="e">
        <f>SUBTOTAL(109,Tabla1103453454455456479455868778695108117127136228237352382406240359436476247238239742[Coste LÃ­nea])</f>
        <v>#N/A</v>
      </c>
      <c r="I187" s="89"/>
      <c r="J187" s="93" t="s">
        <v>18</v>
      </c>
      <c r="K187" s="23" t="e">
        <f>+K185-K182</f>
        <v>#N/A</v>
      </c>
    </row>
    <row r="188" spans="2:13" x14ac:dyDescent="0.25">
      <c r="I188" s="89"/>
      <c r="J188" s="93" t="s">
        <v>19</v>
      </c>
      <c r="K188" s="25" t="e">
        <f>+K187/K182</f>
        <v>#N/A</v>
      </c>
    </row>
    <row r="189" spans="2:13" x14ac:dyDescent="0.25">
      <c r="I189" s="89"/>
    </row>
    <row r="190" spans="2:13" ht="15.6" x14ac:dyDescent="0.3">
      <c r="B190" s="1" t="s">
        <v>1268</v>
      </c>
      <c r="C190" s="2"/>
      <c r="D190" s="2"/>
      <c r="E190" s="3"/>
      <c r="F190" s="3"/>
      <c r="G190" s="3"/>
      <c r="H190" s="3"/>
      <c r="I190" s="89"/>
      <c r="J190" s="399" t="s">
        <v>0</v>
      </c>
      <c r="K190" s="399"/>
      <c r="M190" s="377" t="s">
        <v>1394</v>
      </c>
    </row>
    <row r="191" spans="2:13" x14ac:dyDescent="0.25">
      <c r="B191" s="5" t="s">
        <v>857</v>
      </c>
      <c r="C191" s="6" t="s">
        <v>895</v>
      </c>
      <c r="D191" s="6" t="s">
        <v>892</v>
      </c>
      <c r="E191" s="6" t="s">
        <v>893</v>
      </c>
      <c r="F191" s="6" t="s">
        <v>894</v>
      </c>
      <c r="G191" s="7" t="s">
        <v>901</v>
      </c>
      <c r="H191" s="7" t="s">
        <v>902</v>
      </c>
      <c r="I191" s="89"/>
      <c r="J191" s="8" t="s">
        <v>6</v>
      </c>
      <c r="K191" s="9">
        <f>SUM(Tabla1103453454455456479455868778695108117127136228237246130[Coste LÃ­nea])</f>
        <v>16101.47</v>
      </c>
      <c r="M191" s="346"/>
    </row>
    <row r="192" spans="2:13" x14ac:dyDescent="0.25">
      <c r="B192" s="10" t="s">
        <v>230</v>
      </c>
      <c r="C192" s="11" t="s">
        <v>605</v>
      </c>
      <c r="D192" s="12">
        <v>1.66</v>
      </c>
      <c r="E192" s="12">
        <v>0</v>
      </c>
      <c r="F192" s="12">
        <v>1.66</v>
      </c>
      <c r="G192" s="13">
        <f>+VLOOKUP(Tabla1103453454455456479455868778695108117127136228237246130[[#This Row],[ArtÃ­culo]],Tabla34[#All],3,0)</f>
        <v>6567</v>
      </c>
      <c r="H192" s="14">
        <f>+Tabla1103453454455456479455868778695108117127136228237246130[[#This Row],[Coste Componente]]*Tabla1103453454455456479455868778695108117127136228237246130[[#This Row],[Unidades]]</f>
        <v>10901.22</v>
      </c>
      <c r="I192" s="89"/>
      <c r="J192" s="8" t="s">
        <v>12</v>
      </c>
      <c r="K192" s="15">
        <f>+K191*10%</f>
        <v>1610.1469999999999</v>
      </c>
    </row>
    <row r="193" spans="2:13" x14ac:dyDescent="0.25">
      <c r="B193" s="10" t="s">
        <v>177</v>
      </c>
      <c r="C193" s="11" t="s">
        <v>847</v>
      </c>
      <c r="D193" s="12">
        <v>1</v>
      </c>
      <c r="E193" s="12">
        <v>0</v>
      </c>
      <c r="F193" s="12">
        <v>1</v>
      </c>
      <c r="G193" s="13">
        <f>+VLOOKUP(Tabla1103453454455456479455868778695108117127136228237246130[[#This Row],[ArtÃ­culo]],Tabla34[#All],3,0)</f>
        <v>5132.75</v>
      </c>
      <c r="H193" s="14">
        <f>+Tabla1103453454455456479455868778695108117127136228237246130[[#This Row],[Coste Componente]]*Tabla1103453454455456479455868778695108117127136228237246130[[#This Row],[Unidades]]</f>
        <v>5132.75</v>
      </c>
      <c r="J193" s="8" t="s">
        <v>13</v>
      </c>
      <c r="K193" s="15">
        <f>+K191+K192</f>
        <v>17711.616999999998</v>
      </c>
    </row>
    <row r="194" spans="2:13" x14ac:dyDescent="0.25">
      <c r="B194" s="10" t="s">
        <v>606</v>
      </c>
      <c r="C194" s="11" t="s">
        <v>67</v>
      </c>
      <c r="D194" s="12">
        <v>15</v>
      </c>
      <c r="E194" s="12">
        <v>0</v>
      </c>
      <c r="F194" s="12">
        <v>15</v>
      </c>
      <c r="G194" s="13">
        <f>+VLOOKUP(Tabla1103453454455456479455868778695108117127136228237246130[[#This Row],[ArtÃ­culo]],Tabla34[#All],3,0)</f>
        <v>4.5</v>
      </c>
      <c r="H194" s="14">
        <f>+Tabla1103453454455456479455868778695108117127136228237246130[[#This Row],[Coste Componente]]*Tabla1103453454455456479455868778695108117127136228237246130[[#This Row],[Unidades]]</f>
        <v>67.5</v>
      </c>
      <c r="J194" s="20" t="s">
        <v>14</v>
      </c>
      <c r="K194" s="21">
        <v>49500</v>
      </c>
    </row>
    <row r="195" spans="2:13" x14ac:dyDescent="0.25">
      <c r="B195" s="16"/>
      <c r="C195" s="17"/>
      <c r="D195" s="17"/>
      <c r="E195" s="17"/>
      <c r="F195" s="17"/>
      <c r="G195" s="18"/>
      <c r="H195" s="18">
        <f>SUBTOTAL(109,Tabla1103453454455456479455868778695108117127136228237246130[Coste LÃ­nea])</f>
        <v>16101.47</v>
      </c>
      <c r="J195" s="8" t="s">
        <v>15</v>
      </c>
      <c r="K195" s="15">
        <f>+K194/1.08*0.08</f>
        <v>3666.6666666666665</v>
      </c>
    </row>
    <row r="196" spans="2:13" ht="14.4" x14ac:dyDescent="0.3">
      <c r="B196"/>
      <c r="C196"/>
      <c r="D196"/>
      <c r="E196"/>
      <c r="F196"/>
      <c r="G196"/>
      <c r="H196"/>
      <c r="I196" s="4"/>
      <c r="J196" s="8" t="s">
        <v>16</v>
      </c>
      <c r="K196" s="15">
        <f>+K194-K195</f>
        <v>45833.333333333336</v>
      </c>
    </row>
    <row r="197" spans="2:13" ht="14.4" x14ac:dyDescent="0.3">
      <c r="B197"/>
      <c r="C197"/>
      <c r="D197"/>
      <c r="E197"/>
      <c r="F197"/>
      <c r="G197"/>
      <c r="H197"/>
      <c r="I197" s="4"/>
      <c r="J197" s="8" t="s">
        <v>17</v>
      </c>
      <c r="K197" s="22">
        <f>+K193/K196</f>
        <v>0.38643527999999994</v>
      </c>
    </row>
    <row r="198" spans="2:13" ht="14.4" x14ac:dyDescent="0.3">
      <c r="B198"/>
      <c r="C198"/>
      <c r="D198"/>
      <c r="E198"/>
      <c r="F198"/>
      <c r="G198"/>
      <c r="H198"/>
      <c r="I198" s="4"/>
      <c r="J198" s="8" t="s">
        <v>18</v>
      </c>
      <c r="K198" s="23">
        <f>+K196-K193</f>
        <v>28121.716333333337</v>
      </c>
    </row>
    <row r="199" spans="2:13" ht="14.4" x14ac:dyDescent="0.3">
      <c r="B199"/>
      <c r="C199"/>
      <c r="D199"/>
      <c r="E199"/>
      <c r="F199"/>
      <c r="G199" s="4"/>
      <c r="H199" s="4"/>
      <c r="I199" s="4"/>
      <c r="J199" s="8" t="s">
        <v>19</v>
      </c>
      <c r="K199" s="25">
        <f>+K198/K193</f>
        <v>1.5877554451032529</v>
      </c>
    </row>
    <row r="200" spans="2:13" ht="14.4" x14ac:dyDescent="0.3">
      <c r="B200"/>
      <c r="C200"/>
      <c r="D200"/>
      <c r="E200"/>
      <c r="F200"/>
      <c r="G200" s="4"/>
      <c r="H200" s="4"/>
      <c r="I200" s="4"/>
      <c r="J200"/>
      <c r="K200"/>
    </row>
    <row r="201" spans="2:13" ht="15.6" x14ac:dyDescent="0.3">
      <c r="B201" s="1" t="s">
        <v>1269</v>
      </c>
      <c r="C201" s="2"/>
      <c r="D201" s="2"/>
      <c r="E201" s="3"/>
      <c r="F201" s="3"/>
      <c r="G201" s="3"/>
      <c r="H201" s="3"/>
      <c r="I201" s="4"/>
      <c r="J201" s="399" t="s">
        <v>0</v>
      </c>
      <c r="K201" s="399"/>
      <c r="M201" s="377" t="s">
        <v>1394</v>
      </c>
    </row>
    <row r="202" spans="2:13" x14ac:dyDescent="0.25">
      <c r="B202" s="5" t="s">
        <v>857</v>
      </c>
      <c r="C202" s="6" t="s">
        <v>895</v>
      </c>
      <c r="D202" s="6" t="s">
        <v>892</v>
      </c>
      <c r="E202" s="6" t="s">
        <v>893</v>
      </c>
      <c r="F202" s="6" t="s">
        <v>894</v>
      </c>
      <c r="G202" s="7" t="s">
        <v>901</v>
      </c>
      <c r="H202" s="7" t="s">
        <v>902</v>
      </c>
      <c r="I202" s="4"/>
      <c r="J202" s="8" t="s">
        <v>6</v>
      </c>
      <c r="K202" s="9">
        <f>SUM(Tabla11034534544554564793638486171808998111120130139231240249148[Coste LÃ­nea])</f>
        <v>24775.75</v>
      </c>
      <c r="M202" s="346"/>
    </row>
    <row r="203" spans="2:13" x14ac:dyDescent="0.25">
      <c r="B203" s="10" t="s">
        <v>204</v>
      </c>
      <c r="C203" s="11" t="s">
        <v>605</v>
      </c>
      <c r="D203" s="12">
        <v>2</v>
      </c>
      <c r="E203" s="12">
        <v>0</v>
      </c>
      <c r="F203" s="12">
        <v>2</v>
      </c>
      <c r="G203" s="13">
        <f>+VLOOKUP(Tabla11034534544554564793638486171808998111120130139231240249148[[#This Row],[ArtÃ­culo]],Tabla34[#All],3,0)</f>
        <v>9738</v>
      </c>
      <c r="H203" s="14">
        <f>+Tabla11034534544554564793638486171808998111120130139231240249148[[#This Row],[Coste Componente]]*Tabla11034534544554564793638486171808998111120130139231240249148[[#This Row],[Unidades]]</f>
        <v>19476</v>
      </c>
      <c r="I203" s="4"/>
      <c r="J203" s="8" t="s">
        <v>12</v>
      </c>
      <c r="K203" s="15">
        <f>+K202*10%</f>
        <v>2477.5750000000003</v>
      </c>
    </row>
    <row r="204" spans="2:13" x14ac:dyDescent="0.25">
      <c r="B204" s="10" t="s">
        <v>754</v>
      </c>
      <c r="C204" s="11" t="s">
        <v>67</v>
      </c>
      <c r="D204" s="12">
        <v>10</v>
      </c>
      <c r="E204" s="12">
        <v>0</v>
      </c>
      <c r="F204" s="12">
        <v>10</v>
      </c>
      <c r="G204" s="13">
        <f>+VLOOKUP(Tabla11034534544554564793638486171808998111120130139231240249148[[#This Row],[ArtÃ­culo]],Tabla34[#All],3,0)</f>
        <v>2.7</v>
      </c>
      <c r="H204" s="14">
        <f>+Tabla11034534544554564793638486171808998111120130139231240249148[[#This Row],[Coste Componente]]*Tabla11034534544554564793638486171808998111120130139231240249148[[#This Row],[Unidades]]</f>
        <v>27</v>
      </c>
      <c r="I204" s="4"/>
      <c r="J204" s="8" t="s">
        <v>13</v>
      </c>
      <c r="K204" s="15">
        <f>+K202+K203</f>
        <v>27253.325000000001</v>
      </c>
    </row>
    <row r="205" spans="2:13" x14ac:dyDescent="0.25">
      <c r="B205" s="10" t="s">
        <v>183</v>
      </c>
      <c r="C205" s="11" t="s">
        <v>67</v>
      </c>
      <c r="D205" s="12">
        <v>140</v>
      </c>
      <c r="E205" s="12">
        <v>0</v>
      </c>
      <c r="F205" s="12">
        <v>140</v>
      </c>
      <c r="G205" s="13">
        <f>+VLOOKUP(Tabla11034534544554564793638486171808998111120130139231240249148[[#This Row],[ArtÃ­culo]],Tabla34[#All],3,0)</f>
        <v>1</v>
      </c>
      <c r="H205" s="14">
        <f>+Tabla11034534544554564793638486171808998111120130139231240249148[[#This Row],[Coste Componente]]*Tabla11034534544554564793638486171808998111120130139231240249148[[#This Row],[Unidades]]</f>
        <v>140</v>
      </c>
      <c r="I205" s="4"/>
      <c r="J205" s="20" t="s">
        <v>14</v>
      </c>
      <c r="K205" s="21">
        <v>61500</v>
      </c>
    </row>
    <row r="206" spans="2:13" x14ac:dyDescent="0.25">
      <c r="B206" s="10" t="s">
        <v>177</v>
      </c>
      <c r="C206" s="11" t="s">
        <v>847</v>
      </c>
      <c r="D206" s="12">
        <v>1</v>
      </c>
      <c r="E206" s="12">
        <v>0</v>
      </c>
      <c r="F206" s="12">
        <v>1</v>
      </c>
      <c r="G206" s="13">
        <f>+VLOOKUP(Tabla11034534544554564793638486171808998111120130139231240249148[[#This Row],[ArtÃ­culo]],Tabla34[#All],3,0)</f>
        <v>5132.75</v>
      </c>
      <c r="H206" s="14">
        <f>+Tabla11034534544554564793638486171808998111120130139231240249148[[#This Row],[Coste Componente]]*Tabla11034534544554564793638486171808998111120130139231240249148[[#This Row],[Unidades]]</f>
        <v>5132.75</v>
      </c>
      <c r="I206" s="31"/>
      <c r="J206" s="8" t="s">
        <v>15</v>
      </c>
      <c r="K206" s="15">
        <f>+K205/1.08*0.08</f>
        <v>4555.5555555555547</v>
      </c>
    </row>
    <row r="207" spans="2:13" x14ac:dyDescent="0.25">
      <c r="B207" s="16"/>
      <c r="C207" s="17"/>
      <c r="D207" s="17"/>
      <c r="E207" s="17"/>
      <c r="F207" s="17"/>
      <c r="G207" s="18"/>
      <c r="H207" s="18">
        <f>SUBTOTAL(109,Tabla11034534544554564793638486171808998111120130139231240249148[Coste LÃ­nea])</f>
        <v>24775.75</v>
      </c>
      <c r="I207" s="26"/>
      <c r="J207" s="8" t="s">
        <v>16</v>
      </c>
      <c r="K207" s="15">
        <f>+K205-K206</f>
        <v>56944.444444444445</v>
      </c>
    </row>
    <row r="208" spans="2:13" ht="14.4" x14ac:dyDescent="0.3">
      <c r="B208"/>
      <c r="C208"/>
      <c r="D208"/>
      <c r="E208"/>
      <c r="F208"/>
      <c r="G208"/>
      <c r="H208"/>
      <c r="I208" s="4"/>
      <c r="J208" s="8" t="s">
        <v>17</v>
      </c>
      <c r="K208" s="22">
        <f>+K204/K207</f>
        <v>0.47859497560975611</v>
      </c>
    </row>
    <row r="209" spans="2:13" ht="14.4" x14ac:dyDescent="0.3">
      <c r="B209"/>
      <c r="C209"/>
      <c r="D209"/>
      <c r="E209"/>
      <c r="F209"/>
      <c r="G209"/>
      <c r="H209"/>
      <c r="I209" s="27"/>
      <c r="J209" s="8" t="s">
        <v>18</v>
      </c>
      <c r="K209" s="23">
        <f>+K207-K204</f>
        <v>29691.119444444445</v>
      </c>
    </row>
    <row r="210" spans="2:13" ht="14.4" x14ac:dyDescent="0.3">
      <c r="B210"/>
      <c r="C210"/>
      <c r="D210"/>
      <c r="E210"/>
      <c r="F210"/>
      <c r="G210" s="4"/>
      <c r="H210" s="4"/>
      <c r="I210"/>
      <c r="J210" s="8" t="s">
        <v>19</v>
      </c>
      <c r="K210" s="25">
        <f>+K209/K204</f>
        <v>1.0894494321131254</v>
      </c>
    </row>
    <row r="211" spans="2:13" ht="14.4" x14ac:dyDescent="0.3">
      <c r="B211"/>
      <c r="C211"/>
      <c r="D211"/>
      <c r="E211"/>
      <c r="F211"/>
      <c r="G211"/>
      <c r="H211"/>
      <c r="I211" s="4"/>
      <c r="J211"/>
      <c r="K211"/>
    </row>
    <row r="212" spans="2:13" ht="15.6" x14ac:dyDescent="0.3">
      <c r="B212" s="1" t="s">
        <v>567</v>
      </c>
      <c r="C212" s="2"/>
      <c r="D212" s="2"/>
      <c r="E212" s="3"/>
      <c r="F212" s="3"/>
      <c r="G212" s="3"/>
      <c r="H212" s="3"/>
      <c r="I212" s="4"/>
      <c r="J212" s="399" t="s">
        <v>0</v>
      </c>
      <c r="K212" s="399"/>
      <c r="M212" s="377" t="s">
        <v>1394</v>
      </c>
    </row>
    <row r="213" spans="2:13" x14ac:dyDescent="0.25">
      <c r="B213" s="5" t="s">
        <v>857</v>
      </c>
      <c r="C213" s="6" t="s">
        <v>895</v>
      </c>
      <c r="D213" s="6" t="s">
        <v>892</v>
      </c>
      <c r="E213" s="6" t="s">
        <v>893</v>
      </c>
      <c r="F213" s="6" t="s">
        <v>894</v>
      </c>
      <c r="G213" s="7" t="s">
        <v>901</v>
      </c>
      <c r="H213" s="7" t="s">
        <v>902</v>
      </c>
      <c r="I213" s="4"/>
      <c r="J213" s="8" t="s">
        <v>6</v>
      </c>
      <c r="K213" s="9">
        <f>SUM(Tabla11034534544554564793639496272819099112121131140232241250415149[Coste LÃ­nea])</f>
        <v>18160.327540089998</v>
      </c>
      <c r="M213" s="346"/>
    </row>
    <row r="214" spans="2:13" x14ac:dyDescent="0.25">
      <c r="B214" s="10" t="s">
        <v>664</v>
      </c>
      <c r="C214" s="11" t="s">
        <v>605</v>
      </c>
      <c r="D214" s="12">
        <v>2</v>
      </c>
      <c r="E214" s="12">
        <v>0</v>
      </c>
      <c r="F214" s="12">
        <v>2</v>
      </c>
      <c r="G214" s="13">
        <f>+VLOOKUP(Tabla11034534544554564793639496272819099112121131140232241250415149[[#This Row],[ArtÃ­culo]],Tabla34[#All],3,0)</f>
        <v>6227.3181818200001</v>
      </c>
      <c r="H214" s="14">
        <f>+Tabla11034534544554564793639496272819099112121131140232241250415149[[#This Row],[Coste Componente]]*Tabla11034534544554564793639496272819099112121131140232241250415149[[#This Row],[Unidades]]</f>
        <v>12454.63636364</v>
      </c>
      <c r="I214" s="4"/>
      <c r="J214" s="8" t="s">
        <v>12</v>
      </c>
      <c r="K214" s="15">
        <f>+K213*10%</f>
        <v>1816.032754009</v>
      </c>
    </row>
    <row r="215" spans="2:13" x14ac:dyDescent="0.25">
      <c r="B215" s="10" t="s">
        <v>177</v>
      </c>
      <c r="C215" s="11" t="s">
        <v>847</v>
      </c>
      <c r="D215" s="12">
        <v>1</v>
      </c>
      <c r="E215" s="12">
        <v>0</v>
      </c>
      <c r="F215" s="12">
        <v>1</v>
      </c>
      <c r="G215" s="13">
        <f>+VLOOKUP(Tabla11034534544554564793639496272819099112121131140232241250415149[[#This Row],[ArtÃ­culo]],Tabla34[#All],3,0)</f>
        <v>5132.75</v>
      </c>
      <c r="H215" s="14">
        <f>+Tabla11034534544554564793639496272819099112121131140232241250415149[[#This Row],[Coste Componente]]*Tabla11034534544554564793639496272819099112121131140232241250415149[[#This Row],[Unidades]]</f>
        <v>5132.75</v>
      </c>
      <c r="I215" s="4"/>
      <c r="J215" s="8" t="s">
        <v>13</v>
      </c>
      <c r="K215" s="15">
        <f>+K213+K214</f>
        <v>19976.360294098999</v>
      </c>
    </row>
    <row r="216" spans="2:13" x14ac:dyDescent="0.25">
      <c r="B216" s="10" t="s">
        <v>1131</v>
      </c>
      <c r="C216" s="11" t="s">
        <v>67</v>
      </c>
      <c r="D216" s="12">
        <v>5</v>
      </c>
      <c r="E216" s="12">
        <v>0</v>
      </c>
      <c r="F216" s="12">
        <v>5</v>
      </c>
      <c r="G216" s="13">
        <f>+VLOOKUP(Tabla11034534544554564793639496272819099112121131140232241250415149[[#This Row],[ArtÃ­culo]],Tabla34[#All],3,0)</f>
        <v>17</v>
      </c>
      <c r="H216" s="14">
        <f>+Tabla11034534544554564793639496272819099112121131140232241250415149[[#This Row],[Coste Componente]]*Tabla11034534544554564793639496272819099112121131140232241250415149[[#This Row],[Unidades]]</f>
        <v>85</v>
      </c>
      <c r="I216" s="4"/>
      <c r="J216" s="20" t="s">
        <v>14</v>
      </c>
      <c r="K216" s="21">
        <v>48500</v>
      </c>
    </row>
    <row r="217" spans="2:13" x14ac:dyDescent="0.25">
      <c r="B217" s="10" t="s">
        <v>801</v>
      </c>
      <c r="C217" s="11" t="s">
        <v>67</v>
      </c>
      <c r="D217" s="12">
        <v>5</v>
      </c>
      <c r="E217" s="12">
        <v>0</v>
      </c>
      <c r="F217" s="12">
        <v>5</v>
      </c>
      <c r="G217" s="13">
        <f>+VLOOKUP(Tabla11034534544554564793639496272819099112121131140232241250415149[[#This Row],[ArtÃ­culo]],Tabla34[#All],3,0)</f>
        <v>87.08823529</v>
      </c>
      <c r="H217" s="14">
        <f>+Tabla11034534544554564793639496272819099112121131140232241250415149[[#This Row],[Coste Componente]]*Tabla11034534544554564793639496272819099112121131140232241250415149[[#This Row],[Unidades]]</f>
        <v>435.44117645</v>
      </c>
      <c r="I217" s="4"/>
      <c r="J217" s="8" t="s">
        <v>15</v>
      </c>
      <c r="K217" s="15">
        <f>+K216/1.08*0.08</f>
        <v>3592.5925925925922</v>
      </c>
    </row>
    <row r="218" spans="2:13" x14ac:dyDescent="0.25">
      <c r="B218" s="10" t="s">
        <v>748</v>
      </c>
      <c r="C218" s="11" t="s">
        <v>67</v>
      </c>
      <c r="D218" s="12">
        <v>5</v>
      </c>
      <c r="E218" s="12">
        <v>0</v>
      </c>
      <c r="F218" s="12">
        <v>5</v>
      </c>
      <c r="G218" s="13">
        <f>+VLOOKUP(Tabla11034534544554564793639496272819099112121131140232241250415149[[#This Row],[ArtÃ­culo]],Tabla34[#All],3,0)</f>
        <v>10.5</v>
      </c>
      <c r="H218" s="14">
        <f>+Tabla11034534544554564793639496272819099112121131140232241250415149[[#This Row],[Coste Componente]]*Tabla11034534544554564793639496272819099112121131140232241250415149[[#This Row],[Unidades]]</f>
        <v>52.5</v>
      </c>
      <c r="I218" s="26"/>
      <c r="J218" s="8" t="s">
        <v>16</v>
      </c>
      <c r="K218" s="15">
        <f>+K216-K217</f>
        <v>44907.407407407409</v>
      </c>
    </row>
    <row r="219" spans="2:13" ht="14.4" x14ac:dyDescent="0.3">
      <c r="B219" s="16"/>
      <c r="C219" s="17"/>
      <c r="D219" s="17"/>
      <c r="E219" s="17"/>
      <c r="F219" s="17"/>
      <c r="G219" s="18"/>
      <c r="H219" s="18">
        <f>SUBTOTAL(109,Tabla11034534544554564793639496272819099112121131140232241250415149[Coste LÃ­nea])</f>
        <v>18160.327540089998</v>
      </c>
      <c r="I219"/>
      <c r="J219" s="8" t="s">
        <v>17</v>
      </c>
      <c r="K219" s="22">
        <f>+K215/K218</f>
        <v>0.44483441479643132</v>
      </c>
    </row>
    <row r="220" spans="2:13" ht="14.4" x14ac:dyDescent="0.3">
      <c r="B220"/>
      <c r="C220"/>
      <c r="D220"/>
      <c r="E220"/>
      <c r="F220"/>
      <c r="G220"/>
      <c r="H220"/>
      <c r="I220" s="4"/>
      <c r="J220" s="8" t="s">
        <v>18</v>
      </c>
      <c r="K220" s="23">
        <f>+K218-K215</f>
        <v>24931.04711330841</v>
      </c>
    </row>
    <row r="221" spans="2:13" ht="14.4" x14ac:dyDescent="0.3">
      <c r="B221"/>
      <c r="C221"/>
      <c r="D221"/>
      <c r="E221"/>
      <c r="F221"/>
      <c r="G221"/>
      <c r="H221"/>
      <c r="I221" s="27"/>
      <c r="J221" s="8" t="s">
        <v>19</v>
      </c>
      <c r="K221" s="25">
        <f>+K220/K215</f>
        <v>1.2480275058251238</v>
      </c>
    </row>
    <row r="222" spans="2:13" ht="14.4" x14ac:dyDescent="0.3">
      <c r="B222"/>
      <c r="C222"/>
      <c r="D222"/>
      <c r="E222"/>
      <c r="F222"/>
      <c r="G222"/>
      <c r="H222"/>
      <c r="I222"/>
      <c r="J222"/>
      <c r="K222"/>
    </row>
    <row r="223" spans="2:13" ht="14.4" x14ac:dyDescent="0.3">
      <c r="B223"/>
      <c r="C223"/>
      <c r="D223"/>
      <c r="E223"/>
      <c r="F223"/>
      <c r="G223"/>
      <c r="H223"/>
      <c r="I223" s="4"/>
      <c r="J223"/>
      <c r="K223"/>
    </row>
    <row r="224" spans="2:13" ht="15.6" x14ac:dyDescent="0.3">
      <c r="B224" s="1" t="s">
        <v>575</v>
      </c>
      <c r="C224" s="2"/>
      <c r="D224" s="2"/>
      <c r="E224" s="3"/>
      <c r="F224" s="3"/>
      <c r="G224" s="3"/>
      <c r="H224" s="3"/>
      <c r="I224" s="4"/>
      <c r="J224" s="399" t="s">
        <v>0</v>
      </c>
      <c r="K224" s="399"/>
      <c r="M224" s="377" t="s">
        <v>1394</v>
      </c>
    </row>
    <row r="225" spans="2:13" x14ac:dyDescent="0.25">
      <c r="B225" s="5" t="s">
        <v>857</v>
      </c>
      <c r="C225" s="6" t="s">
        <v>895</v>
      </c>
      <c r="D225" s="6" t="s">
        <v>892</v>
      </c>
      <c r="E225" s="6" t="s">
        <v>893</v>
      </c>
      <c r="F225" s="6" t="s">
        <v>894</v>
      </c>
      <c r="G225" s="7" t="s">
        <v>901</v>
      </c>
      <c r="H225" s="7" t="s">
        <v>902</v>
      </c>
      <c r="I225" s="4"/>
      <c r="J225" s="8" t="s">
        <v>6</v>
      </c>
      <c r="K225" s="9">
        <f>SUM(Tabla11034534544554564793639496272819099112121131140232241250415434152[Coste LÃ­nea])</f>
        <v>13490.4004432288</v>
      </c>
      <c r="M225" s="346"/>
    </row>
    <row r="226" spans="2:13" x14ac:dyDescent="0.25">
      <c r="B226" s="10" t="s">
        <v>177</v>
      </c>
      <c r="C226" s="11" t="s">
        <v>847</v>
      </c>
      <c r="D226" s="12">
        <v>1</v>
      </c>
      <c r="E226" s="12">
        <v>0</v>
      </c>
      <c r="F226" s="12">
        <v>1</v>
      </c>
      <c r="G226" s="13">
        <f>+VLOOKUP(Tabla11034534544554564793639496272819099112121131140232241250415434152[[#This Row],[ArtÃ­culo]],Tabla34[#All],3,0)</f>
        <v>5132.75</v>
      </c>
      <c r="H226" s="14">
        <f>+Tabla11034534544554564793639496272819099112121131140232241250415434152[[#This Row],[Coste Componente]]*Tabla11034534544554564793639496272819099112121131140232241250415434152[[#This Row],[Unidades]]</f>
        <v>5132.75</v>
      </c>
      <c r="I226" s="4"/>
      <c r="J226" s="8" t="s">
        <v>12</v>
      </c>
      <c r="K226" s="15">
        <f>+K225*10%</f>
        <v>1349.04004432288</v>
      </c>
    </row>
    <row r="227" spans="2:13" x14ac:dyDescent="0.25">
      <c r="B227" s="10" t="s">
        <v>711</v>
      </c>
      <c r="C227" s="11" t="s">
        <v>67</v>
      </c>
      <c r="D227" s="12">
        <v>35.000000999999997</v>
      </c>
      <c r="E227" s="12">
        <v>10</v>
      </c>
      <c r="F227" s="12">
        <v>38.888890000000004</v>
      </c>
      <c r="G227" s="13">
        <f>+VLOOKUP(Tabla11034534544554564793639496272819099112121131140232241250415434152[[#This Row],[ArtÃ­culo]],Tabla34[#All],3,0)</f>
        <v>12.5</v>
      </c>
      <c r="H227" s="14">
        <f>+Tabla11034534544554564793639496272819099112121131140232241250415434152[[#This Row],[Coste Componente]]*Tabla11034534544554564793639496272819099112121131140232241250415434152[[#This Row],[Unidades]]</f>
        <v>486.11112500000002</v>
      </c>
      <c r="I227" s="4"/>
      <c r="J227" s="8" t="s">
        <v>13</v>
      </c>
      <c r="K227" s="15">
        <f>+K225+K226</f>
        <v>14839.440487551681</v>
      </c>
    </row>
    <row r="228" spans="2:13" x14ac:dyDescent="0.25">
      <c r="B228" s="10" t="s">
        <v>574</v>
      </c>
      <c r="C228" s="11" t="s">
        <v>605</v>
      </c>
      <c r="D228" s="12">
        <v>1.66</v>
      </c>
      <c r="E228" s="12">
        <v>0</v>
      </c>
      <c r="F228" s="12">
        <v>1.66</v>
      </c>
      <c r="G228" s="13">
        <f>+VLOOKUP(Tabla11034534544554564793639496272819099112121131140232241250415434152[[#This Row],[ArtÃ­culo]],Tabla34[#All],3,0)</f>
        <v>4320.1818181799999</v>
      </c>
      <c r="H228" s="14">
        <f>+Tabla11034534544554564793639496272819099112121131140232241250415434152[[#This Row],[Coste Componente]]*Tabla11034534544554564793639496272819099112121131140232241250415434152[[#This Row],[Unidades]]</f>
        <v>7171.5018181787991</v>
      </c>
      <c r="I228" s="4"/>
      <c r="J228" s="20" t="s">
        <v>14</v>
      </c>
      <c r="K228" s="21">
        <v>45500</v>
      </c>
    </row>
    <row r="229" spans="2:13" x14ac:dyDescent="0.25">
      <c r="B229" s="10" t="s">
        <v>449</v>
      </c>
      <c r="C229" s="11" t="s">
        <v>67</v>
      </c>
      <c r="D229" s="37">
        <v>15</v>
      </c>
      <c r="E229" s="37">
        <v>0</v>
      </c>
      <c r="F229" s="37">
        <v>15</v>
      </c>
      <c r="G229" s="13">
        <f>+VLOOKUP(Tabla11034534544554564793639496272819099112121131140232241250415434152[[#This Row],[ArtÃ­culo]],Tabla34[#All],3,0)</f>
        <v>46.669166670000003</v>
      </c>
      <c r="H229" s="14">
        <f>+Tabla11034534544554564793639496272819099112121131140232241250415434152[[#This Row],[Coste Componente]]*Tabla11034534544554564793639496272819099112121131140232241250415434152[[#This Row],[Unidades]]</f>
        <v>700.03750005000006</v>
      </c>
      <c r="I229" s="4"/>
      <c r="J229" s="8" t="s">
        <v>15</v>
      </c>
      <c r="K229" s="15">
        <f>+K228/1.08*0.08</f>
        <v>3370.3703703703704</v>
      </c>
    </row>
    <row r="230" spans="2:13" ht="14.4" x14ac:dyDescent="0.3">
      <c r="B230" s="16"/>
      <c r="C230" s="17"/>
      <c r="D230" s="17"/>
      <c r="E230" s="17"/>
      <c r="F230" s="17"/>
      <c r="G230" s="18"/>
      <c r="H230" s="18">
        <f>SUBTOTAL(109,Tabla11034534544554564793639496272819099112121131140232241250415434152[Coste LÃ­nea])</f>
        <v>13490.4004432288</v>
      </c>
      <c r="I230"/>
      <c r="J230" s="8" t="s">
        <v>16</v>
      </c>
      <c r="K230" s="15">
        <f>+K228-K229</f>
        <v>42129.629629629628</v>
      </c>
    </row>
    <row r="231" spans="2:13" ht="14.4" x14ac:dyDescent="0.3">
      <c r="B231"/>
      <c r="C231"/>
      <c r="D231"/>
      <c r="E231"/>
      <c r="F231"/>
      <c r="G231"/>
      <c r="H231"/>
      <c r="I231"/>
      <c r="J231" s="8" t="s">
        <v>17</v>
      </c>
      <c r="K231" s="22">
        <f>+K227/K230</f>
        <v>0.35223287311111684</v>
      </c>
    </row>
    <row r="232" spans="2:13" ht="14.4" x14ac:dyDescent="0.3">
      <c r="B232"/>
      <c r="C232"/>
      <c r="D232"/>
      <c r="E232"/>
      <c r="F232"/>
      <c r="G232"/>
      <c r="H232"/>
      <c r="I232"/>
      <c r="J232" s="8" t="s">
        <v>18</v>
      </c>
      <c r="K232" s="23">
        <f>+K230-K227</f>
        <v>27290.189142077947</v>
      </c>
    </row>
    <row r="233" spans="2:13" ht="14.4" x14ac:dyDescent="0.3">
      <c r="B233"/>
      <c r="C233"/>
      <c r="D233"/>
      <c r="E233"/>
      <c r="F233"/>
      <c r="G233"/>
      <c r="H233"/>
      <c r="I233" s="4"/>
      <c r="J233" s="8" t="s">
        <v>19</v>
      </c>
      <c r="K233" s="25">
        <f>+K232/K227</f>
        <v>1.839030869457025</v>
      </c>
    </row>
    <row r="234" spans="2:13" ht="14.4" x14ac:dyDescent="0.3">
      <c r="B234"/>
      <c r="C234"/>
      <c r="D234"/>
      <c r="E234"/>
      <c r="F234"/>
      <c r="G234" s="4"/>
      <c r="H234"/>
      <c r="I234" s="27"/>
      <c r="J234"/>
      <c r="K234"/>
    </row>
    <row r="235" spans="2:13" ht="14.4" x14ac:dyDescent="0.3">
      <c r="B235"/>
      <c r="C235"/>
      <c r="D235"/>
      <c r="E235"/>
      <c r="F235"/>
      <c r="G235"/>
      <c r="H235"/>
      <c r="I235"/>
      <c r="J235"/>
      <c r="K235"/>
    </row>
    <row r="236" spans="2:13" ht="14.4" x14ac:dyDescent="0.3">
      <c r="B236"/>
      <c r="C236"/>
      <c r="D236"/>
      <c r="E236"/>
      <c r="F236"/>
      <c r="G236"/>
      <c r="H236"/>
      <c r="I236" s="4"/>
      <c r="J236"/>
      <c r="K236"/>
    </row>
    <row r="237" spans="2:13" ht="14.4" x14ac:dyDescent="0.3">
      <c r="B237" s="1" t="s">
        <v>576</v>
      </c>
      <c r="C237" s="2"/>
      <c r="D237" s="2"/>
      <c r="E237" s="3"/>
      <c r="F237" s="3"/>
      <c r="G237" s="3"/>
      <c r="H237" s="3"/>
      <c r="I237" s="4"/>
      <c r="J237"/>
      <c r="K237"/>
    </row>
    <row r="238" spans="2:13" ht="14.4" x14ac:dyDescent="0.3">
      <c r="B238" s="5" t="s">
        <v>857</v>
      </c>
      <c r="C238" s="6" t="s">
        <v>895</v>
      </c>
      <c r="D238" s="6" t="s">
        <v>892</v>
      </c>
      <c r="E238" s="6" t="s">
        <v>893</v>
      </c>
      <c r="F238" s="6" t="s">
        <v>894</v>
      </c>
      <c r="G238" s="7" t="s">
        <v>901</v>
      </c>
      <c r="H238" s="7" t="s">
        <v>902</v>
      </c>
      <c r="I238" s="4"/>
      <c r="J238"/>
      <c r="K238"/>
    </row>
    <row r="239" spans="2:13" ht="15.6" x14ac:dyDescent="0.3">
      <c r="B239" s="10" t="s">
        <v>177</v>
      </c>
      <c r="C239" s="11" t="s">
        <v>847</v>
      </c>
      <c r="D239" s="12">
        <v>1</v>
      </c>
      <c r="E239" s="12">
        <v>0</v>
      </c>
      <c r="F239" s="12">
        <v>1</v>
      </c>
      <c r="G239" s="13">
        <f>+VLOOKUP(Tabla11034534544554564793639496272819099112121131140232241250415434435153[[#This Row],[ArtÃ­culo]],Tabla34[#All],3,0)</f>
        <v>5132.75</v>
      </c>
      <c r="H239" s="14">
        <f>+Tabla11034534544554564793639496272819099112121131140232241250415434435153[[#This Row],[Coste Componente]]*Tabla11034534544554564793639496272819099112121131140232241250415434435153[[#This Row],[Unidades Netas]]</f>
        <v>5132.75</v>
      </c>
      <c r="I239" s="4"/>
      <c r="J239" s="399" t="s">
        <v>0</v>
      </c>
      <c r="K239" s="399"/>
      <c r="M239" s="377" t="s">
        <v>1394</v>
      </c>
    </row>
    <row r="240" spans="2:13" x14ac:dyDescent="0.25">
      <c r="B240" s="10" t="s">
        <v>660</v>
      </c>
      <c r="C240" s="11" t="s">
        <v>605</v>
      </c>
      <c r="D240" s="12">
        <v>1.66</v>
      </c>
      <c r="E240" s="12">
        <v>0</v>
      </c>
      <c r="F240" s="12">
        <v>1.66</v>
      </c>
      <c r="G240" s="13">
        <f>+VLOOKUP(Tabla11034534544554564793639496272819099112121131140232241250415434435153[[#This Row],[ArtÃ­culo]],Tabla34[#All],3,0)</f>
        <v>3359</v>
      </c>
      <c r="H240" s="14">
        <f>+Tabla11034534544554564793639496272819099112121131140232241250415434435153[[#This Row],[Coste Componente]]*Tabla11034534544554564793639496272819099112121131140232241250415434435153[[#This Row],[Unidades Netas]]</f>
        <v>5575.94</v>
      </c>
      <c r="I240" s="4"/>
      <c r="J240" s="8" t="s">
        <v>6</v>
      </c>
      <c r="K240" s="9">
        <f>SUM(Tabla11034534544554564793639496272819099112121131140232241250415434435153[Coste LÃ­nea])</f>
        <v>10772.189999279999</v>
      </c>
      <c r="M240" s="346"/>
    </row>
    <row r="241" spans="2:13" x14ac:dyDescent="0.25">
      <c r="B241" s="10" t="s">
        <v>606</v>
      </c>
      <c r="C241" s="11" t="s">
        <v>67</v>
      </c>
      <c r="D241" s="12">
        <v>4.9999998400000001</v>
      </c>
      <c r="E241" s="12">
        <v>78</v>
      </c>
      <c r="F241" s="12">
        <v>22.727271999999999</v>
      </c>
      <c r="G241" s="13">
        <f>+VLOOKUP(Tabla11034534544554564793639496272819099112121131140232241250415434435153[[#This Row],[ArtÃ­culo]],Tabla34[#All],3,0)</f>
        <v>4.5</v>
      </c>
      <c r="H241" s="14">
        <f>+Tabla11034534544554564793639496272819099112121131140232241250415434435153[[#This Row],[Coste Componente]]*Tabla11034534544554564793639496272819099112121131140232241250415434435153[[#This Row],[Unidades Netas]]</f>
        <v>22.499999280000001</v>
      </c>
      <c r="I241" s="4"/>
      <c r="J241" s="8" t="s">
        <v>12</v>
      </c>
      <c r="K241" s="15">
        <f>+K240*10%</f>
        <v>1077.2189999279999</v>
      </c>
    </row>
    <row r="242" spans="2:13" ht="14.4" x14ac:dyDescent="0.3">
      <c r="B242" s="10" t="s">
        <v>709</v>
      </c>
      <c r="C242" s="11" t="s">
        <v>67</v>
      </c>
      <c r="D242" s="37">
        <v>5</v>
      </c>
      <c r="E242" s="37">
        <v>0</v>
      </c>
      <c r="F242" s="37">
        <v>5</v>
      </c>
      <c r="G242" s="13">
        <f>+VLOOKUP(Tabla11034534544554564793639496272819099112121131140232241250415434435153[[#This Row],[ArtÃ­culo]],Tabla34[#All],3,0)</f>
        <v>3.2</v>
      </c>
      <c r="H242" s="14">
        <f>+Tabla11034534544554564793639496272819099112121131140232241250415434435153[[#This Row],[Coste Componente]]*Tabla11034534544554564793639496272819099112121131140232241250415434435153[[#This Row],[Unidades Netas]]</f>
        <v>16</v>
      </c>
      <c r="I242"/>
      <c r="J242" s="8" t="s">
        <v>13</v>
      </c>
      <c r="K242" s="15">
        <f>+K240+K241</f>
        <v>11849.408999207999</v>
      </c>
    </row>
    <row r="243" spans="2:13" ht="14.4" x14ac:dyDescent="0.3">
      <c r="B243" s="10" t="s">
        <v>741</v>
      </c>
      <c r="C243" s="11" t="s">
        <v>67</v>
      </c>
      <c r="D243" s="37">
        <v>5</v>
      </c>
      <c r="E243" s="37">
        <v>0</v>
      </c>
      <c r="F243" s="37">
        <v>5</v>
      </c>
      <c r="G243" s="13">
        <f>+VLOOKUP(Tabla11034534544554564793639496272819099112121131140232241250415434435153[[#This Row],[ArtÃ­culo]],Tabla34[#All],3,0)</f>
        <v>5</v>
      </c>
      <c r="H243" s="14">
        <f>+Tabla11034534544554564793639496272819099112121131140232241250415434435153[[#This Row],[Coste Componente]]*Tabla11034534544554564793639496272819099112121131140232241250415434435153[[#This Row],[Unidades Netas]]</f>
        <v>25</v>
      </c>
      <c r="I243"/>
      <c r="J243" s="20" t="s">
        <v>14</v>
      </c>
      <c r="K243" s="21">
        <v>49000</v>
      </c>
    </row>
    <row r="244" spans="2:13" ht="14.4" x14ac:dyDescent="0.3">
      <c r="B244" s="16"/>
      <c r="C244" s="17"/>
      <c r="D244" s="17"/>
      <c r="E244" s="17"/>
      <c r="F244" s="17"/>
      <c r="G244" s="18"/>
      <c r="H244" s="18">
        <f>SUBTOTAL(109,Tabla11034534544554564793639496272819099112121131140232241250415434435153[Coste LÃ­nea])</f>
        <v>10772.189999279999</v>
      </c>
      <c r="I244"/>
      <c r="J244" s="8" t="s">
        <v>15</v>
      </c>
      <c r="K244" s="15">
        <f>+K243/1.08*0.08</f>
        <v>3629.6296296296291</v>
      </c>
    </row>
    <row r="245" spans="2:13" ht="14.4" x14ac:dyDescent="0.3">
      <c r="B245"/>
      <c r="C245"/>
      <c r="D245"/>
      <c r="E245"/>
      <c r="F245"/>
      <c r="G245"/>
      <c r="H245"/>
      <c r="I245"/>
      <c r="J245" s="8" t="s">
        <v>16</v>
      </c>
      <c r="K245" s="15">
        <f>+K243-K244</f>
        <v>45370.370370370372</v>
      </c>
    </row>
    <row r="246" spans="2:13" ht="14.4" x14ac:dyDescent="0.3">
      <c r="B246"/>
      <c r="C246"/>
      <c r="D246"/>
      <c r="E246"/>
      <c r="F246"/>
      <c r="G246"/>
      <c r="H246"/>
      <c r="I246" s="4"/>
      <c r="J246" s="8" t="s">
        <v>17</v>
      </c>
      <c r="K246" s="22">
        <f>+K242/K245</f>
        <v>0.26117064732948242</v>
      </c>
    </row>
    <row r="247" spans="2:13" ht="14.4" x14ac:dyDescent="0.3">
      <c r="I247" s="27"/>
      <c r="J247" s="8" t="s">
        <v>18</v>
      </c>
      <c r="K247" s="23">
        <f>+K245-K242</f>
        <v>33520.961371162375</v>
      </c>
    </row>
    <row r="248" spans="2:13" ht="14.4" x14ac:dyDescent="0.3">
      <c r="I248"/>
      <c r="J248" s="8" t="s">
        <v>19</v>
      </c>
      <c r="K248" s="25">
        <f>+K247/K242</f>
        <v>2.8289141992991276</v>
      </c>
    </row>
    <row r="249" spans="2:13" x14ac:dyDescent="0.25">
      <c r="I249" s="4"/>
    </row>
    <row r="250" spans="2:13" ht="15.6" x14ac:dyDescent="0.3">
      <c r="B250" s="1" t="s">
        <v>254</v>
      </c>
      <c r="C250" s="2"/>
      <c r="D250" s="81"/>
      <c r="E250" s="82"/>
      <c r="F250" s="82"/>
      <c r="G250" s="3"/>
      <c r="H250" s="3"/>
      <c r="I250" s="4"/>
      <c r="J250" s="399" t="s">
        <v>0</v>
      </c>
      <c r="K250" s="399"/>
      <c r="M250" s="377" t="s">
        <v>1394</v>
      </c>
    </row>
    <row r="251" spans="2:13" x14ac:dyDescent="0.25">
      <c r="B251" s="5" t="s">
        <v>857</v>
      </c>
      <c r="C251" s="6" t="s">
        <v>895</v>
      </c>
      <c r="D251" s="6" t="s">
        <v>892</v>
      </c>
      <c r="E251" s="6" t="s">
        <v>893</v>
      </c>
      <c r="F251" s="6" t="s">
        <v>894</v>
      </c>
      <c r="G251" s="7" t="s">
        <v>901</v>
      </c>
      <c r="H251" s="7" t="s">
        <v>902</v>
      </c>
      <c r="I251" s="4"/>
      <c r="J251" s="8" t="s">
        <v>6</v>
      </c>
      <c r="K251" s="9">
        <f>SUM(Tabla11034534544554564793637476070798897110119129138230239481154[Coste LÃ­nea])</f>
        <v>10473.259166667</v>
      </c>
      <c r="M251" s="346"/>
    </row>
    <row r="252" spans="2:13" x14ac:dyDescent="0.25">
      <c r="B252" s="10" t="s">
        <v>226</v>
      </c>
      <c r="C252" s="11" t="s">
        <v>847</v>
      </c>
      <c r="D252" s="12">
        <v>0.1</v>
      </c>
      <c r="E252" s="12">
        <v>0</v>
      </c>
      <c r="F252" s="12">
        <v>0.1</v>
      </c>
      <c r="G252" s="13">
        <f>+VLOOKUP(Tabla11034534544554564793637476070798897110119129138230239481154[[#This Row],[ArtÃ­culo]],Tabla34[#All],3,0)</f>
        <v>1497.59166667</v>
      </c>
      <c r="H252" s="14">
        <f>+Tabla11034534544554564793637476070798897110119129138230239481154[[#This Row],[Coste Componente]]*Tabla11034534544554564793637476070798897110119129138230239481154[[#This Row],[Unidades]]</f>
        <v>149.75916666700002</v>
      </c>
      <c r="I252" s="4"/>
      <c r="J252" s="8" t="s">
        <v>12</v>
      </c>
      <c r="K252" s="15"/>
    </row>
    <row r="253" spans="2:13" x14ac:dyDescent="0.25">
      <c r="B253" s="10" t="s">
        <v>709</v>
      </c>
      <c r="C253" s="11" t="s">
        <v>67</v>
      </c>
      <c r="D253" s="12">
        <v>5</v>
      </c>
      <c r="E253" s="12">
        <v>0</v>
      </c>
      <c r="F253" s="12">
        <v>5</v>
      </c>
      <c r="G253" s="13">
        <f>+VLOOKUP(Tabla11034534544554564793637476070798897110119129138230239481154[[#This Row],[ArtÃ­culo]],Tabla34[#All],3,0)</f>
        <v>3.2</v>
      </c>
      <c r="H253" s="14">
        <f>+Tabla11034534544554564793637476070798897110119129138230239481154[[#This Row],[Coste Componente]]*Tabla11034534544554564793637476070798897110119129138230239481154[[#This Row],[Unidades]]</f>
        <v>16</v>
      </c>
      <c r="I253" s="4"/>
      <c r="J253" s="8" t="s">
        <v>13</v>
      </c>
      <c r="K253" s="15">
        <f>+K251+K252</f>
        <v>10473.259166667</v>
      </c>
    </row>
    <row r="254" spans="2:13" x14ac:dyDescent="0.25">
      <c r="B254" s="10" t="s">
        <v>183</v>
      </c>
      <c r="C254" s="11" t="s">
        <v>67</v>
      </c>
      <c r="D254" s="12">
        <v>150</v>
      </c>
      <c r="E254" s="12">
        <v>0</v>
      </c>
      <c r="F254" s="12">
        <v>150</v>
      </c>
      <c r="G254" s="13">
        <f>+VLOOKUP(Tabla11034534544554564793637476070798897110119129138230239481154[[#This Row],[ArtÃ­culo]],Tabla34[#All],3,0)</f>
        <v>1</v>
      </c>
      <c r="H254" s="14">
        <f>+Tabla11034534544554564793637476070798897110119129138230239481154[[#This Row],[Coste Componente]]*Tabla11034534544554564793637476070798897110119129138230239481154[[#This Row],[Unidades]]</f>
        <v>150</v>
      </c>
      <c r="I254" s="4"/>
      <c r="J254" s="20" t="s">
        <v>14</v>
      </c>
      <c r="K254" s="21">
        <v>28000</v>
      </c>
    </row>
    <row r="255" spans="2:13" x14ac:dyDescent="0.25">
      <c r="B255" s="10" t="s">
        <v>825</v>
      </c>
      <c r="C255" s="11" t="s">
        <v>605</v>
      </c>
      <c r="D255" s="12">
        <v>2</v>
      </c>
      <c r="E255" s="12">
        <v>0</v>
      </c>
      <c r="F255" s="12">
        <v>2</v>
      </c>
      <c r="G255" s="13">
        <f>+VLOOKUP(Tabla11034534544554564793637476070798897110119129138230239481154[[#This Row],[ArtÃ­culo]],Tabla34[#All],3,0)</f>
        <v>3704.75</v>
      </c>
      <c r="H255" s="14">
        <f>+Tabla11034534544554564793637476070798897110119129138230239481154[[#This Row],[Coste Componente]]*Tabla11034534544554564793637476070798897110119129138230239481154[[#This Row],[Unidades]]</f>
        <v>7409.5</v>
      </c>
      <c r="I255" s="252"/>
      <c r="J255" s="8" t="s">
        <v>15</v>
      </c>
      <c r="K255" s="15">
        <f>+K254/1.08*0.08</f>
        <v>2074.0740740740739</v>
      </c>
    </row>
    <row r="256" spans="2:13" x14ac:dyDescent="0.25">
      <c r="B256" s="10" t="s">
        <v>193</v>
      </c>
      <c r="C256" s="11" t="s">
        <v>605</v>
      </c>
      <c r="D256" s="12">
        <v>3</v>
      </c>
      <c r="E256" s="12">
        <v>0</v>
      </c>
      <c r="F256" s="12">
        <v>3</v>
      </c>
      <c r="G256" s="13">
        <v>916</v>
      </c>
      <c r="H256" s="14">
        <f>+Tabla11034534544554564793637476070798897110119129138230239481154[[#This Row],[Coste Componente]]*Tabla11034534544554564793637476070798897110119129138230239481154[[#This Row],[Unidades]]</f>
        <v>2748</v>
      </c>
      <c r="J256" s="8" t="s">
        <v>16</v>
      </c>
      <c r="K256" s="15">
        <f>+K254-K255</f>
        <v>25925.925925925927</v>
      </c>
    </row>
    <row r="257" spans="2:13" x14ac:dyDescent="0.25">
      <c r="B257" s="16"/>
      <c r="C257" s="17"/>
      <c r="D257" s="17"/>
      <c r="E257" s="17"/>
      <c r="F257" s="17"/>
      <c r="G257" s="18"/>
      <c r="H257" s="18">
        <f>SUBTOTAL(109,Tabla11034534544554564793637476070798897110119129138230239481154[Coste LÃ­nea])</f>
        <v>10473.259166667</v>
      </c>
      <c r="J257" s="8" t="s">
        <v>17</v>
      </c>
      <c r="K257" s="22">
        <f>+K253/K256</f>
        <v>0.40396856785715568</v>
      </c>
    </row>
    <row r="258" spans="2:13" ht="14.4" x14ac:dyDescent="0.3">
      <c r="B258"/>
      <c r="C258"/>
      <c r="D258" s="83"/>
      <c r="E258" s="83"/>
      <c r="F258" s="83"/>
      <c r="G258"/>
      <c r="H258"/>
      <c r="I258" s="27"/>
      <c r="J258" s="8" t="s">
        <v>18</v>
      </c>
      <c r="K258" s="23">
        <f>+K256-K253</f>
        <v>15452.666759258927</v>
      </c>
    </row>
    <row r="259" spans="2:13" ht="14.4" x14ac:dyDescent="0.3">
      <c r="B259"/>
      <c r="C259"/>
      <c r="D259" s="83"/>
      <c r="E259" s="83"/>
      <c r="F259" s="83"/>
      <c r="G259"/>
      <c r="H259"/>
      <c r="I259"/>
      <c r="J259" s="8" t="s">
        <v>19</v>
      </c>
      <c r="K259" s="25">
        <f>+K258/K253</f>
        <v>1.4754401197709088</v>
      </c>
    </row>
    <row r="260" spans="2:13" ht="14.4" x14ac:dyDescent="0.3">
      <c r="B260"/>
      <c r="C260"/>
      <c r="D260" s="83"/>
      <c r="E260" s="83"/>
      <c r="F260" s="83"/>
      <c r="G260"/>
      <c r="H260"/>
      <c r="I260"/>
      <c r="J260"/>
      <c r="K260"/>
    </row>
    <row r="261" spans="2:13" ht="14.4" x14ac:dyDescent="0.3">
      <c r="B261"/>
      <c r="C261"/>
      <c r="D261" s="83"/>
      <c r="E261" s="83"/>
      <c r="F261" s="83"/>
      <c r="G261"/>
      <c r="H261"/>
      <c r="I261" s="4"/>
      <c r="J261"/>
      <c r="K261"/>
    </row>
    <row r="262" spans="2:13" ht="14.4" x14ac:dyDescent="0.3">
      <c r="B262"/>
      <c r="C262"/>
      <c r="D262" s="83"/>
      <c r="E262" s="83"/>
      <c r="F262" s="83"/>
      <c r="G262"/>
      <c r="H262"/>
      <c r="I262" s="4"/>
      <c r="J262"/>
      <c r="K262"/>
    </row>
    <row r="263" spans="2:13" ht="14.4" x14ac:dyDescent="0.3">
      <c r="B263"/>
      <c r="C263"/>
      <c r="D263" s="83"/>
      <c r="E263" s="83"/>
      <c r="F263" s="83"/>
      <c r="G263"/>
      <c r="H263"/>
      <c r="I263" s="4"/>
      <c r="J263"/>
      <c r="K263"/>
    </row>
    <row r="264" spans="2:13" ht="15.6" x14ac:dyDescent="0.3">
      <c r="B264" s="1" t="s">
        <v>880</v>
      </c>
      <c r="C264" s="2"/>
      <c r="D264" s="81"/>
      <c r="E264" s="82"/>
      <c r="F264" s="82"/>
      <c r="G264" s="3"/>
      <c r="H264" s="3"/>
      <c r="I264" s="4"/>
      <c r="J264" s="399" t="s">
        <v>0</v>
      </c>
      <c r="K264" s="399"/>
      <c r="M264" s="377" t="s">
        <v>1394</v>
      </c>
    </row>
    <row r="265" spans="2:13" x14ac:dyDescent="0.25">
      <c r="B265" s="5" t="s">
        <v>857</v>
      </c>
      <c r="C265" s="6" t="s">
        <v>895</v>
      </c>
      <c r="D265" s="6" t="s">
        <v>892</v>
      </c>
      <c r="E265" s="6" t="s">
        <v>893</v>
      </c>
      <c r="F265" s="6" t="s">
        <v>894</v>
      </c>
      <c r="G265" s="7" t="s">
        <v>901</v>
      </c>
      <c r="H265" s="7" t="s">
        <v>902</v>
      </c>
      <c r="I265" s="4"/>
      <c r="J265" s="8" t="s">
        <v>6</v>
      </c>
      <c r="K265" s="9">
        <f>SUM(Tabla11034534544554564793637476070798897110119129138230239481482155[Coste LÃ­nea])</f>
        <v>18559.048750210499</v>
      </c>
      <c r="M265" s="346"/>
    </row>
    <row r="266" spans="2:13" x14ac:dyDescent="0.25">
      <c r="B266" s="10" t="s">
        <v>582</v>
      </c>
      <c r="C266" s="11" t="s">
        <v>605</v>
      </c>
      <c r="D266" s="12">
        <v>2</v>
      </c>
      <c r="E266" s="12">
        <v>0</v>
      </c>
      <c r="F266" s="12">
        <v>2</v>
      </c>
      <c r="G266" s="13">
        <f>+VLOOKUP(Tabla11034534544554564793637476070798897110119129138230239481482155[[#This Row],[ArtÃ­culo]],Tabla34[#All],3,0)</f>
        <v>6045</v>
      </c>
      <c r="H266" s="14">
        <f>+Tabla11034534544554564793637476070798897110119129138230239481482155[[#This Row],[Coste Componente]]*Tabla11034534544554564793637476070798897110119129138230239481482155[[#This Row],[Unidades]]</f>
        <v>12090</v>
      </c>
      <c r="I266" s="4"/>
      <c r="J266" s="8" t="s">
        <v>12</v>
      </c>
      <c r="K266" s="15">
        <f>+K265*10%</f>
        <v>1855.90487502105</v>
      </c>
    </row>
    <row r="267" spans="2:13" x14ac:dyDescent="0.25">
      <c r="B267" s="10" t="s">
        <v>226</v>
      </c>
      <c r="C267" s="11" t="s">
        <v>847</v>
      </c>
      <c r="D267" s="12">
        <v>0.15</v>
      </c>
      <c r="E267" s="12">
        <v>0</v>
      </c>
      <c r="F267" s="12">
        <v>0.15</v>
      </c>
      <c r="G267" s="13">
        <f>+VLOOKUP(Tabla11034534544554564793637476070798897110119129138230239481482155[[#This Row],[ArtÃ­culo]],Tabla34[#All],3,0)</f>
        <v>1497.59166667</v>
      </c>
      <c r="H267" s="14">
        <f>+Tabla11034534544554564793637476070798897110119129138230239481482155[[#This Row],[Coste Componente]]*Tabla11034534544554564793637476070798897110119129138230239481482155[[#This Row],[Unidades]]</f>
        <v>224.63875000049998</v>
      </c>
      <c r="I267" s="4"/>
      <c r="J267" s="8" t="s">
        <v>13</v>
      </c>
      <c r="K267" s="15">
        <f>+K265+K266</f>
        <v>20414.953625231548</v>
      </c>
    </row>
    <row r="268" spans="2:13" ht="14.4" x14ac:dyDescent="0.3">
      <c r="B268" s="10" t="s">
        <v>741</v>
      </c>
      <c r="C268" s="11" t="s">
        <v>67</v>
      </c>
      <c r="D268" s="12">
        <v>5</v>
      </c>
      <c r="E268" s="12">
        <v>0</v>
      </c>
      <c r="F268" s="12">
        <v>5</v>
      </c>
      <c r="G268" s="13">
        <f>+VLOOKUP(Tabla11034534544554564793637476070798897110119129138230239481482155[[#This Row],[ArtÃ­culo]],Tabla34[#All],3,0)</f>
        <v>5</v>
      </c>
      <c r="H268" s="14">
        <f>+Tabla11034534544554564793637476070798897110119129138230239481482155[[#This Row],[Coste Componente]]*Tabla11034534544554564793637476070798897110119129138230239481482155[[#This Row],[Unidades]]</f>
        <v>25</v>
      </c>
      <c r="I268"/>
      <c r="J268" s="20" t="s">
        <v>14</v>
      </c>
      <c r="K268" s="21">
        <v>39000</v>
      </c>
    </row>
    <row r="269" spans="2:13" ht="14.4" x14ac:dyDescent="0.3">
      <c r="B269" s="10" t="s">
        <v>168</v>
      </c>
      <c r="C269" s="11" t="s">
        <v>67</v>
      </c>
      <c r="D269" s="12">
        <v>10</v>
      </c>
      <c r="E269" s="12">
        <v>0</v>
      </c>
      <c r="F269" s="12">
        <v>10</v>
      </c>
      <c r="G269" s="13">
        <f>+VLOOKUP(Tabla11034534544554564793637476070798897110119129138230239481482155[[#This Row],[ArtÃ­culo]],Tabla34[#All],3,0)</f>
        <v>10.86600002</v>
      </c>
      <c r="H269" s="14">
        <f>+Tabla11034534544554564793637476070798897110119129138230239481482155[[#This Row],[Coste Componente]]*Tabla11034534544554564793637476070798897110119129138230239481482155[[#This Row],[Unidades]]</f>
        <v>108.6600002</v>
      </c>
      <c r="I269"/>
      <c r="J269" s="8" t="s">
        <v>15</v>
      </c>
      <c r="K269" s="15">
        <f>+K268/1.08*0.08</f>
        <v>2888.8888888888887</v>
      </c>
    </row>
    <row r="270" spans="2:13" ht="14.4" x14ac:dyDescent="0.3">
      <c r="B270" s="10" t="s">
        <v>193</v>
      </c>
      <c r="C270" s="11" t="s">
        <v>605</v>
      </c>
      <c r="D270" s="12">
        <v>3</v>
      </c>
      <c r="E270" s="12">
        <v>0</v>
      </c>
      <c r="F270" s="12">
        <v>3</v>
      </c>
      <c r="G270" s="13">
        <f>+VLOOKUP(Tabla11034534544554564793637476070798897110119129138230239481482155[[#This Row],[ArtÃ­culo]],Tabla34[#All],3,0)</f>
        <v>2036.91666667</v>
      </c>
      <c r="H270" s="14">
        <f>+Tabla11034534544554564793637476070798897110119129138230239481482155[[#This Row],[Coste Componente]]*Tabla11034534544554564793637476070798897110119129138230239481482155[[#This Row],[Unidades]]</f>
        <v>6110.7500000099999</v>
      </c>
      <c r="I270"/>
      <c r="J270" s="8" t="s">
        <v>16</v>
      </c>
      <c r="K270" s="15">
        <f>+K268-K269</f>
        <v>36111.111111111109</v>
      </c>
    </row>
    <row r="271" spans="2:13" ht="14.4" x14ac:dyDescent="0.3">
      <c r="B271" s="16"/>
      <c r="C271" s="17"/>
      <c r="D271" s="17"/>
      <c r="E271" s="17"/>
      <c r="F271" s="17"/>
      <c r="G271" s="18"/>
      <c r="H271" s="18">
        <f>SUBTOTAL(109,Tabla11034534544554564793637476070798897110119129138230239481482155[Coste LÃ­nea])</f>
        <v>18559.048750210499</v>
      </c>
      <c r="I271"/>
      <c r="J271" s="8" t="s">
        <v>17</v>
      </c>
      <c r="K271" s="22">
        <f>+K267/K270</f>
        <v>0.56533717731410449</v>
      </c>
    </row>
    <row r="272" spans="2:13" ht="14.4" x14ac:dyDescent="0.3">
      <c r="B272"/>
      <c r="C272"/>
      <c r="D272" s="83"/>
      <c r="E272" s="83"/>
      <c r="F272" s="83"/>
      <c r="G272"/>
      <c r="H272"/>
      <c r="I272" s="27"/>
      <c r="J272" s="8" t="s">
        <v>18</v>
      </c>
      <c r="K272" s="23">
        <f>+K270-K267</f>
        <v>15696.157485879561</v>
      </c>
    </row>
    <row r="273" spans="2:13" ht="14.4" x14ac:dyDescent="0.3">
      <c r="B273"/>
      <c r="C273"/>
      <c r="D273" s="83"/>
      <c r="E273" s="83"/>
      <c r="F273" s="83"/>
      <c r="G273"/>
      <c r="H273"/>
      <c r="I273"/>
      <c r="J273" s="8" t="s">
        <v>19</v>
      </c>
      <c r="K273" s="25">
        <f>+K272/K267</f>
        <v>0.76885589720273162</v>
      </c>
    </row>
    <row r="274" spans="2:13" ht="14.4" x14ac:dyDescent="0.3">
      <c r="I274"/>
    </row>
    <row r="275" spans="2:13" x14ac:dyDescent="0.25">
      <c r="I275" s="4"/>
    </row>
    <row r="276" spans="2:13" x14ac:dyDescent="0.25">
      <c r="I276" s="4"/>
    </row>
    <row r="277" spans="2:13" x14ac:dyDescent="0.25">
      <c r="I277" s="4"/>
    </row>
    <row r="278" spans="2:13" ht="15.6" x14ac:dyDescent="0.3">
      <c r="B278" s="1" t="s">
        <v>1282</v>
      </c>
      <c r="C278" s="2"/>
      <c r="D278" s="81"/>
      <c r="E278" s="82"/>
      <c r="F278" s="82"/>
      <c r="G278" s="3"/>
      <c r="H278" s="3"/>
      <c r="I278" s="4"/>
      <c r="J278" s="399" t="s">
        <v>0</v>
      </c>
      <c r="K278" s="399"/>
      <c r="M278" s="377" t="s">
        <v>1394</v>
      </c>
    </row>
    <row r="279" spans="2:13" x14ac:dyDescent="0.25">
      <c r="B279" s="5" t="s">
        <v>857</v>
      </c>
      <c r="C279" s="6" t="s">
        <v>895</v>
      </c>
      <c r="D279" s="6" t="s">
        <v>892</v>
      </c>
      <c r="E279" s="6" t="s">
        <v>893</v>
      </c>
      <c r="F279" s="6" t="s">
        <v>894</v>
      </c>
      <c r="G279" s="7" t="s">
        <v>901</v>
      </c>
      <c r="H279" s="7" t="s">
        <v>902</v>
      </c>
      <c r="I279" s="4"/>
      <c r="J279" s="8" t="s">
        <v>6</v>
      </c>
      <c r="K279" s="9" t="e">
        <f>SUM(Tabla11034534544554564793637476070798897110119129138230239481482155166[Coste LÃ­nea])</f>
        <v>#N/A</v>
      </c>
      <c r="M279" s="346"/>
    </row>
    <row r="280" spans="2:13" x14ac:dyDescent="0.25">
      <c r="B280" s="10" t="s">
        <v>834</v>
      </c>
      <c r="C280" s="11" t="s">
        <v>67</v>
      </c>
      <c r="D280" s="12">
        <v>18</v>
      </c>
      <c r="E280" s="12">
        <v>0</v>
      </c>
      <c r="F280" s="12">
        <v>18</v>
      </c>
      <c r="G280" s="13">
        <f>+VLOOKUP(Tabla11034534544554564793637476070798897110119129138230239481482155166[[#This Row],[ArtÃ­culo]],Tabla34[#All],3,0)</f>
        <v>33.549999999999997</v>
      </c>
      <c r="H280" s="14">
        <f>+Tabla11034534544554564793637476070798897110119129138230239481482155166[[#This Row],[Coste Componente]]*Tabla11034534544554564793637476070798897110119129138230239481482155166[[#This Row],[Unidades]]</f>
        <v>603.9</v>
      </c>
      <c r="I280" s="4"/>
      <c r="J280" s="8" t="s">
        <v>12</v>
      </c>
      <c r="K280" s="15" t="e">
        <f>+K279*10%</f>
        <v>#N/A</v>
      </c>
    </row>
    <row r="281" spans="2:13" x14ac:dyDescent="0.25">
      <c r="B281" s="10" t="s">
        <v>1258</v>
      </c>
      <c r="C281" s="11" t="s">
        <v>605</v>
      </c>
      <c r="D281" s="12">
        <v>2</v>
      </c>
      <c r="E281" s="12">
        <v>0</v>
      </c>
      <c r="F281" s="12">
        <v>2</v>
      </c>
      <c r="G281" s="13">
        <f>+VLOOKUP(Tabla11034534544554564793637476070798897110119129138230239481482155166[[#This Row],[ArtÃ­culo]],Tabla34[#All],3,0)</f>
        <v>2796.5</v>
      </c>
      <c r="H281" s="14">
        <f>+Tabla11034534544554564793637476070798897110119129138230239481482155166[[#This Row],[Coste Componente]]*Tabla11034534544554564793637476070798897110119129138230239481482155166[[#This Row],[Unidades]]</f>
        <v>5593</v>
      </c>
      <c r="I281" s="4"/>
      <c r="J281" s="8" t="s">
        <v>13</v>
      </c>
      <c r="K281" s="15" t="e">
        <f>+K279+K280</f>
        <v>#N/A</v>
      </c>
    </row>
    <row r="282" spans="2:13" x14ac:dyDescent="0.25">
      <c r="B282" s="10" t="s">
        <v>1325</v>
      </c>
      <c r="C282" s="11" t="s">
        <v>605</v>
      </c>
      <c r="D282" s="12">
        <v>0.5</v>
      </c>
      <c r="E282" s="12">
        <v>0</v>
      </c>
      <c r="F282" s="12">
        <v>0.5</v>
      </c>
      <c r="G282" s="13" t="e">
        <f>+VLOOKUP(Tabla11034534544554564793637476070798897110119129138230239481482155166[[#This Row],[ArtÃ­culo]],Tabla34[#All],3,0)</f>
        <v>#N/A</v>
      </c>
      <c r="H282" s="14" t="e">
        <f>+Tabla11034534544554564793637476070798897110119129138230239481482155166[[#This Row],[Coste Componente]]*Tabla11034534544554564793637476070798897110119129138230239481482155166[[#This Row],[Unidades]]</f>
        <v>#N/A</v>
      </c>
      <c r="J282" s="20" t="s">
        <v>14</v>
      </c>
      <c r="K282" s="21">
        <v>39000</v>
      </c>
    </row>
    <row r="283" spans="2:13" x14ac:dyDescent="0.25">
      <c r="B283" s="10" t="s">
        <v>134</v>
      </c>
      <c r="C283" s="11" t="s">
        <v>67</v>
      </c>
      <c r="D283" s="12">
        <v>10</v>
      </c>
      <c r="E283" s="12">
        <v>0</v>
      </c>
      <c r="F283" s="12">
        <v>10</v>
      </c>
      <c r="G283" s="13">
        <f>+VLOOKUP(Tabla11034534544554564793637476070798897110119129138230239481482155166[[#This Row],[ArtÃ­culo]],Tabla34[#All],3,0)</f>
        <v>5.7702915900000002</v>
      </c>
      <c r="H283" s="14">
        <f>+Tabla11034534544554564793637476070798897110119129138230239481482155166[[#This Row],[Coste Componente]]*Tabla11034534544554564793637476070798897110119129138230239481482155166[[#This Row],[Unidades]]</f>
        <v>57.702915900000001</v>
      </c>
      <c r="J283" s="8" t="s">
        <v>15</v>
      </c>
      <c r="K283" s="15">
        <f>+K282/1.08*0.08</f>
        <v>2888.8888888888887</v>
      </c>
    </row>
    <row r="284" spans="2:13" x14ac:dyDescent="0.25">
      <c r="B284" s="10" t="s">
        <v>834</v>
      </c>
      <c r="C284" s="11" t="s">
        <v>67</v>
      </c>
      <c r="D284" s="12">
        <v>1</v>
      </c>
      <c r="E284" s="12">
        <v>0</v>
      </c>
      <c r="F284" s="12">
        <v>1</v>
      </c>
      <c r="G284" s="13">
        <f>+VLOOKUP(Tabla11034534544554564793637476070798897110119129138230239481482155166[[#This Row],[ArtÃ­culo]],Tabla34[#All],3,0)</f>
        <v>33.549999999999997</v>
      </c>
      <c r="H284" s="14">
        <f>+Tabla11034534544554564793637476070798897110119129138230239481482155166[[#This Row],[Coste Componente]]*Tabla11034534544554564793637476070798897110119129138230239481482155166[[#This Row],[Unidades]]</f>
        <v>33.549999999999997</v>
      </c>
      <c r="J284" s="8" t="s">
        <v>16</v>
      </c>
      <c r="K284" s="15">
        <f>+K282-K283</f>
        <v>36111.111111111109</v>
      </c>
    </row>
    <row r="285" spans="2:13" x14ac:dyDescent="0.25">
      <c r="B285" s="16"/>
      <c r="C285" s="17"/>
      <c r="D285" s="17"/>
      <c r="E285" s="17"/>
      <c r="F285" s="17"/>
      <c r="G285" s="18"/>
      <c r="H285" s="18" t="e">
        <f>SUBTOTAL(109,Tabla11034534544554564793637476070798897110119129138230239481482155166[Coste LÃ­nea])</f>
        <v>#N/A</v>
      </c>
      <c r="J285" s="8" t="s">
        <v>17</v>
      </c>
      <c r="K285" s="22" t="e">
        <f>+K281/K284</f>
        <v>#N/A</v>
      </c>
    </row>
    <row r="286" spans="2:13" ht="14.4" x14ac:dyDescent="0.3">
      <c r="B286"/>
      <c r="C286"/>
      <c r="D286" s="83"/>
      <c r="E286" s="83"/>
      <c r="F286" s="83"/>
      <c r="G286"/>
      <c r="H286"/>
      <c r="I286" s="27"/>
      <c r="J286" s="8" t="s">
        <v>18</v>
      </c>
      <c r="K286" s="23" t="e">
        <f>+K284-K281</f>
        <v>#N/A</v>
      </c>
    </row>
    <row r="287" spans="2:13" ht="14.4" x14ac:dyDescent="0.3">
      <c r="I287"/>
      <c r="J287" s="8" t="s">
        <v>19</v>
      </c>
      <c r="K287" s="25" t="e">
        <f>+K286/K281</f>
        <v>#N/A</v>
      </c>
    </row>
    <row r="288" spans="2:13" ht="14.4" x14ac:dyDescent="0.3">
      <c r="I288"/>
    </row>
    <row r="289" spans="2:13" x14ac:dyDescent="0.25">
      <c r="I289" s="4"/>
    </row>
    <row r="290" spans="2:13" x14ac:dyDescent="0.25">
      <c r="I290" s="4"/>
    </row>
    <row r="291" spans="2:13" ht="15.6" x14ac:dyDescent="0.3">
      <c r="B291" s="1" t="s">
        <v>1301</v>
      </c>
      <c r="C291" s="2"/>
      <c r="D291" s="81"/>
      <c r="E291" s="82"/>
      <c r="F291" s="82"/>
      <c r="G291" s="3"/>
      <c r="H291" s="3"/>
      <c r="I291" s="4"/>
      <c r="J291" s="399" t="s">
        <v>0</v>
      </c>
      <c r="K291" s="399"/>
      <c r="M291" s="377" t="s">
        <v>1394</v>
      </c>
    </row>
    <row r="292" spans="2:13" x14ac:dyDescent="0.25">
      <c r="B292" s="5" t="s">
        <v>857</v>
      </c>
      <c r="C292" s="6" t="s">
        <v>895</v>
      </c>
      <c r="D292" s="6" t="s">
        <v>892</v>
      </c>
      <c r="E292" s="6" t="s">
        <v>893</v>
      </c>
      <c r="F292" s="6" t="s">
        <v>894</v>
      </c>
      <c r="G292" s="7" t="s">
        <v>901</v>
      </c>
      <c r="H292" s="7" t="s">
        <v>902</v>
      </c>
      <c r="I292" s="4"/>
      <c r="J292" s="8" t="s">
        <v>6</v>
      </c>
      <c r="K292" s="9" t="e">
        <f>SUM(Tabla11034534544554564793637476070798897110119129138230239481482155166172[Coste LÃ­nea])</f>
        <v>#N/A</v>
      </c>
      <c r="M292" s="346"/>
    </row>
    <row r="293" spans="2:13" x14ac:dyDescent="0.25">
      <c r="B293" s="10" t="s">
        <v>1302</v>
      </c>
      <c r="C293" s="11" t="s">
        <v>605</v>
      </c>
      <c r="D293" s="12">
        <v>0.75</v>
      </c>
      <c r="E293" s="12">
        <v>0</v>
      </c>
      <c r="F293" s="12">
        <v>0.75</v>
      </c>
      <c r="G293" s="13">
        <f>+VLOOKUP(Tabla11034534544554564793637476070798897110119129138230239481482155166172[[#This Row],[ArtÃ­culo]],Tabla34[#All],3,0)</f>
        <v>3091.38425925</v>
      </c>
      <c r="H293" s="14">
        <f>+Tabla11034534544554564793637476070798897110119129138230239481482155166172[[#This Row],[Coste Componente]]*Tabla11034534544554564793637476070798897110119129138230239481482155166172[[#This Row],[Unidades]]</f>
        <v>2318.5381944374999</v>
      </c>
      <c r="I293" s="4"/>
      <c r="J293" s="8" t="s">
        <v>12</v>
      </c>
      <c r="K293" s="15" t="e">
        <f>+K292*10%</f>
        <v>#N/A</v>
      </c>
    </row>
    <row r="294" spans="2:13" x14ac:dyDescent="0.25">
      <c r="B294" s="10" t="s">
        <v>1303</v>
      </c>
      <c r="C294" s="11" t="s">
        <v>605</v>
      </c>
      <c r="D294" s="12">
        <v>0.75</v>
      </c>
      <c r="E294" s="12">
        <v>0</v>
      </c>
      <c r="F294" s="12">
        <v>0.75</v>
      </c>
      <c r="G294" s="13">
        <f>+VLOOKUP(Tabla11034534544554564793637476070798897110119129138230239481482155166172[[#This Row],[ArtÃ­culo]],Tabla34[#All],3,0)</f>
        <v>4791.0833333299997</v>
      </c>
      <c r="H294" s="14">
        <f>+Tabla11034534544554564793637476070798897110119129138230239481482155166172[[#This Row],[Coste Componente]]*Tabla11034534544554564793637476070798897110119129138230239481482155166172[[#This Row],[Unidades]]</f>
        <v>3593.3124999974998</v>
      </c>
      <c r="I294" s="4"/>
      <c r="J294" s="8" t="s">
        <v>13</v>
      </c>
      <c r="K294" s="15" t="e">
        <f>+K292+K293</f>
        <v>#N/A</v>
      </c>
    </row>
    <row r="295" spans="2:13" x14ac:dyDescent="0.25">
      <c r="B295" s="10" t="s">
        <v>1304</v>
      </c>
      <c r="C295" s="11" t="s">
        <v>605</v>
      </c>
      <c r="D295" s="12">
        <v>0.5</v>
      </c>
      <c r="E295" s="12">
        <v>0</v>
      </c>
      <c r="F295" s="12">
        <v>0.5</v>
      </c>
      <c r="G295" s="13">
        <f>+VLOOKUP(Tabla11034534544554564793637476070798897110119129138230239481482155166172[[#This Row],[ArtÃ­culo]],Tabla34[#All],3,0)</f>
        <v>1550</v>
      </c>
      <c r="H295" s="14">
        <f>+Tabla11034534544554564793637476070798897110119129138230239481482155166172[[#This Row],[Coste Componente]]*Tabla11034534544554564793637476070798897110119129138230239481482155166172[[#This Row],[Unidades]]</f>
        <v>775</v>
      </c>
      <c r="I295" s="283"/>
      <c r="J295" s="20" t="s">
        <v>14</v>
      </c>
      <c r="K295" s="21"/>
    </row>
    <row r="296" spans="2:13" x14ac:dyDescent="0.25">
      <c r="B296" s="10" t="s">
        <v>168</v>
      </c>
      <c r="C296" s="11" t="s">
        <v>67</v>
      </c>
      <c r="D296" s="12">
        <v>15</v>
      </c>
      <c r="E296" s="12">
        <v>0</v>
      </c>
      <c r="F296" s="12">
        <v>15</v>
      </c>
      <c r="G296" s="13">
        <f>+VLOOKUP(Tabla11034534544554564793637476070798897110119129138230239481482155166172[[#This Row],[ArtÃ­culo]],Tabla34[#All],3,0)</f>
        <v>10.86600002</v>
      </c>
      <c r="H296" s="14">
        <f>+Tabla11034534544554564793637476070798897110119129138230239481482155166172[[#This Row],[Coste Componente]]*Tabla11034534544554564793637476070798897110119129138230239481482155166172[[#This Row],[Unidades]]</f>
        <v>162.99000029999999</v>
      </c>
      <c r="J296" s="8" t="s">
        <v>15</v>
      </c>
      <c r="K296" s="15">
        <f>+K295/1.08*0.08</f>
        <v>0</v>
      </c>
    </row>
    <row r="297" spans="2:13" x14ac:dyDescent="0.25">
      <c r="B297" s="10" t="s">
        <v>1323</v>
      </c>
      <c r="C297" s="11" t="s">
        <v>67</v>
      </c>
      <c r="D297" s="12">
        <v>1</v>
      </c>
      <c r="E297" s="12">
        <v>0</v>
      </c>
      <c r="F297" s="12">
        <v>1</v>
      </c>
      <c r="G297" s="13" t="e">
        <f>+VLOOKUP(Tabla11034534544554564793637476070798897110119129138230239481482155166172[[#This Row],[ArtÃ­culo]],Tabla34[#All],3,0)</f>
        <v>#N/A</v>
      </c>
      <c r="H297" s="14" t="e">
        <f>+Tabla11034534544554564793637476070798897110119129138230239481482155166172[[#This Row],[Coste Componente]]*Tabla11034534544554564793637476070798897110119129138230239481482155166172[[#This Row],[Unidades]]</f>
        <v>#N/A</v>
      </c>
      <c r="J297" s="8" t="s">
        <v>16</v>
      </c>
      <c r="K297" s="15">
        <f>+K295-K296</f>
        <v>0</v>
      </c>
    </row>
    <row r="298" spans="2:13" x14ac:dyDescent="0.25">
      <c r="B298" s="10" t="s">
        <v>834</v>
      </c>
      <c r="C298" s="11" t="s">
        <v>67</v>
      </c>
      <c r="D298" s="12">
        <v>1</v>
      </c>
      <c r="E298" s="12">
        <v>0</v>
      </c>
      <c r="F298" s="12">
        <v>1</v>
      </c>
      <c r="G298" s="13">
        <f>+VLOOKUP(Tabla11034534544554564793637476070798897110119129138230239481482155166172[[#This Row],[ArtÃ­culo]],Tabla34[#All],3,0)</f>
        <v>33.549999999999997</v>
      </c>
      <c r="H298" s="14">
        <f>+Tabla11034534544554564793637476070798897110119129138230239481482155166172[[#This Row],[Coste Componente]]*Tabla11034534544554564793637476070798897110119129138230239481482155166172[[#This Row],[Unidades]]</f>
        <v>33.549999999999997</v>
      </c>
      <c r="J298" s="8" t="s">
        <v>17</v>
      </c>
      <c r="K298" s="22" t="e">
        <f>+K294/K297</f>
        <v>#N/A</v>
      </c>
    </row>
    <row r="299" spans="2:13" ht="14.4" x14ac:dyDescent="0.3">
      <c r="B299" s="10" t="s">
        <v>1324</v>
      </c>
      <c r="C299" s="11" t="s">
        <v>67</v>
      </c>
      <c r="D299" s="12">
        <v>1</v>
      </c>
      <c r="E299" s="12">
        <v>0</v>
      </c>
      <c r="F299" s="12">
        <v>1</v>
      </c>
      <c r="G299" s="13" t="e">
        <f>+VLOOKUP(Tabla11034534544554564793637476070798897110119129138230239481482155166172[[#This Row],[ArtÃ­culo]],Tabla34[#All],3,0)</f>
        <v>#N/A</v>
      </c>
      <c r="H299" s="14" t="e">
        <f>+Tabla11034534544554564793637476070798897110119129138230239481482155166172[[#This Row],[Coste Componente]]*Tabla11034534544554564793637476070798897110119129138230239481482155166172[[#This Row],[Unidades]]</f>
        <v>#N/A</v>
      </c>
      <c r="I299" s="27"/>
      <c r="J299" s="8" t="s">
        <v>18</v>
      </c>
      <c r="K299" s="23" t="e">
        <f>+K297-K294</f>
        <v>#N/A</v>
      </c>
    </row>
    <row r="300" spans="2:13" ht="14.4" x14ac:dyDescent="0.3">
      <c r="B300" s="16"/>
      <c r="C300" s="17"/>
      <c r="D300" s="17"/>
      <c r="E300" s="17"/>
      <c r="F300" s="17"/>
      <c r="G300" s="18"/>
      <c r="H300" s="18" t="e">
        <f>SUBTOTAL(109,Tabla11034534544554564793637476070798897110119129138230239481482155166172[Coste LÃ­nea])</f>
        <v>#N/A</v>
      </c>
      <c r="I300"/>
      <c r="J300" s="8" t="s">
        <v>19</v>
      </c>
      <c r="K300" s="25" t="e">
        <f>+K299/K294</f>
        <v>#N/A</v>
      </c>
    </row>
    <row r="301" spans="2:13" ht="14.4" x14ac:dyDescent="0.3">
      <c r="I301"/>
    </row>
    <row r="302" spans="2:13" x14ac:dyDescent="0.25">
      <c r="I302" s="4"/>
    </row>
    <row r="303" spans="2:13" ht="15.6" x14ac:dyDescent="0.3">
      <c r="B303" s="1" t="s">
        <v>1305</v>
      </c>
      <c r="C303" s="2"/>
      <c r="D303" s="81"/>
      <c r="E303" s="82"/>
      <c r="F303" s="82"/>
      <c r="G303" s="3"/>
      <c r="H303" s="3"/>
      <c r="I303" s="4"/>
      <c r="J303" s="399" t="s">
        <v>0</v>
      </c>
      <c r="K303" s="399"/>
      <c r="M303" s="377" t="s">
        <v>1394</v>
      </c>
    </row>
    <row r="304" spans="2:13" x14ac:dyDescent="0.25">
      <c r="B304" s="5" t="s">
        <v>857</v>
      </c>
      <c r="C304" s="6" t="s">
        <v>895</v>
      </c>
      <c r="D304" s="6" t="s">
        <v>892</v>
      </c>
      <c r="E304" s="6" t="s">
        <v>893</v>
      </c>
      <c r="F304" s="6" t="s">
        <v>894</v>
      </c>
      <c r="G304" s="7" t="s">
        <v>901</v>
      </c>
      <c r="H304" s="7" t="s">
        <v>902</v>
      </c>
      <c r="I304" s="4"/>
      <c r="J304" s="8" t="s">
        <v>6</v>
      </c>
      <c r="K304" s="9" t="e">
        <f>SUM(Tabla11034534544554564793637476070798897110119129138230239481482155166172173[Coste LÃ­nea])</f>
        <v>#N/A</v>
      </c>
      <c r="M304" s="346"/>
    </row>
    <row r="305" spans="2:13" x14ac:dyDescent="0.25">
      <c r="B305" s="10" t="s">
        <v>992</v>
      </c>
      <c r="C305" s="11" t="s">
        <v>605</v>
      </c>
      <c r="D305" s="12">
        <v>2.5</v>
      </c>
      <c r="E305" s="12">
        <v>0</v>
      </c>
      <c r="F305" s="12">
        <v>2.5</v>
      </c>
      <c r="G305" s="13">
        <f>+VLOOKUP(Tabla11034534544554564793637476070798897110119129138230239481482155166172173[[#This Row],[ArtÃ­culo]],Tabla34[#All],3,0)</f>
        <v>6303.0416666700003</v>
      </c>
      <c r="H305" s="14">
        <f>+Tabla11034534544554564793637476070798897110119129138230239481482155166172173[[#This Row],[Coste Componente]]*Tabla11034534544554564793637476070798897110119129138230239481482155166172173[[#This Row],[Unidades]]</f>
        <v>15757.604166675001</v>
      </c>
      <c r="I305" s="4"/>
      <c r="J305" s="8" t="s">
        <v>12</v>
      </c>
      <c r="K305" s="15" t="e">
        <f>+K304*10%</f>
        <v>#N/A</v>
      </c>
    </row>
    <row r="306" spans="2:13" x14ac:dyDescent="0.25">
      <c r="B306" s="10" t="s">
        <v>891</v>
      </c>
      <c r="C306" s="11" t="s">
        <v>67</v>
      </c>
      <c r="D306" s="12">
        <v>30</v>
      </c>
      <c r="E306" s="12">
        <v>0</v>
      </c>
      <c r="F306" s="12">
        <v>30</v>
      </c>
      <c r="G306" s="13">
        <f>+VLOOKUP(Tabla11034534544554564793637476070798897110119129138230239481482155166172173[[#This Row],[ArtÃ­culo]],Tabla34[#All],3,0)</f>
        <v>9.6142748499999993</v>
      </c>
      <c r="H306" s="14">
        <f>+Tabla11034534544554564793637476070798897110119129138230239481482155166172173[[#This Row],[Coste Componente]]*Tabla11034534544554564793637476070798897110119129138230239481482155166172173[[#This Row],[Unidades]]</f>
        <v>288.4282455</v>
      </c>
      <c r="I306" s="4"/>
      <c r="J306" s="8" t="s">
        <v>13</v>
      </c>
      <c r="K306" s="15" t="e">
        <f>+K304+K305</f>
        <v>#N/A</v>
      </c>
    </row>
    <row r="307" spans="2:13" x14ac:dyDescent="0.25">
      <c r="B307" s="10" t="s">
        <v>168</v>
      </c>
      <c r="C307" s="11" t="s">
        <v>67</v>
      </c>
      <c r="D307" s="12">
        <v>15</v>
      </c>
      <c r="E307" s="12">
        <v>0</v>
      </c>
      <c r="F307" s="12">
        <v>15</v>
      </c>
      <c r="G307" s="13">
        <f>+VLOOKUP(Tabla11034534544554564793637476070798897110119129138230239481482155166172173[[#This Row],[ArtÃ­culo]],Tabla34[#All],3,0)</f>
        <v>10.86600002</v>
      </c>
      <c r="H307" s="14">
        <f>+Tabla11034534544554564793637476070798897110119129138230239481482155166172173[[#This Row],[Coste Componente]]*Tabla11034534544554564793637476070798897110119129138230239481482155166172173[[#This Row],[Unidades]]</f>
        <v>162.99000029999999</v>
      </c>
      <c r="I307" s="283"/>
      <c r="J307" s="20" t="s">
        <v>14</v>
      </c>
      <c r="K307" s="21"/>
    </row>
    <row r="308" spans="2:13" x14ac:dyDescent="0.25">
      <c r="B308" s="10" t="s">
        <v>832</v>
      </c>
      <c r="C308" s="11" t="s">
        <v>67</v>
      </c>
      <c r="D308" s="12">
        <v>15</v>
      </c>
      <c r="E308" s="12">
        <v>0</v>
      </c>
      <c r="F308" s="12">
        <v>15</v>
      </c>
      <c r="G308" s="13">
        <f>+VLOOKUP(Tabla11034534544554564793637476070798897110119129138230239481482155166172173[[#This Row],[ArtÃ­culo]],Tabla34[#All],3,0)</f>
        <v>4.8</v>
      </c>
      <c r="H308" s="14">
        <f>+Tabla11034534544554564793637476070798897110119129138230239481482155166172173[[#This Row],[Coste Componente]]*Tabla11034534544554564793637476070798897110119129138230239481482155166172173[[#This Row],[Unidades]]</f>
        <v>72</v>
      </c>
      <c r="I308" s="4"/>
      <c r="J308" s="8" t="s">
        <v>15</v>
      </c>
      <c r="K308" s="15">
        <f>+K307/1.08*0.08</f>
        <v>0</v>
      </c>
    </row>
    <row r="309" spans="2:13" x14ac:dyDescent="0.25">
      <c r="B309" s="10" t="s">
        <v>1329</v>
      </c>
      <c r="C309" s="11" t="s">
        <v>67</v>
      </c>
      <c r="D309" s="12">
        <v>45</v>
      </c>
      <c r="E309" s="12">
        <v>0</v>
      </c>
      <c r="F309" s="12">
        <v>45</v>
      </c>
      <c r="G309" s="13" t="e">
        <f>+VLOOKUP(Tabla11034534544554564793637476070798897110119129138230239481482155166172173[[#This Row],[ArtÃ­culo]],Tabla34[#All],3,0)</f>
        <v>#N/A</v>
      </c>
      <c r="H309" s="14" t="e">
        <f>+Tabla11034534544554564793637476070798897110119129138230239481482155166172173[[#This Row],[Coste Componente]]*Tabla11034534544554564793637476070798897110119129138230239481482155166172173[[#This Row],[Unidades]]</f>
        <v>#N/A</v>
      </c>
      <c r="J309" s="8" t="s">
        <v>16</v>
      </c>
      <c r="K309" s="15">
        <f>+K307-K308</f>
        <v>0</v>
      </c>
    </row>
    <row r="310" spans="2:13" x14ac:dyDescent="0.25">
      <c r="B310" s="10" t="s">
        <v>844</v>
      </c>
      <c r="C310" s="11" t="s">
        <v>67</v>
      </c>
      <c r="D310" s="12">
        <v>5</v>
      </c>
      <c r="E310" s="12">
        <v>0</v>
      </c>
      <c r="F310" s="12">
        <v>5</v>
      </c>
      <c r="G310" s="13">
        <f>+VLOOKUP(Tabla11034534544554564793637476070798897110119129138230239481482155166172173[[#This Row],[ArtÃ­culo]],Tabla34[#All],3,0)</f>
        <v>4.7923322800000001</v>
      </c>
      <c r="H310" s="14">
        <f>+Tabla11034534544554564793637476070798897110119129138230239481482155166172173[[#This Row],[Coste Componente]]*Tabla11034534544554564793637476070798897110119129138230239481482155166172173[[#This Row],[Unidades]]</f>
        <v>23.961661400000001</v>
      </c>
      <c r="J310" s="8" t="s">
        <v>17</v>
      </c>
      <c r="K310" s="22" t="e">
        <f>+K306/K309</f>
        <v>#N/A</v>
      </c>
    </row>
    <row r="311" spans="2:13" ht="14.4" x14ac:dyDescent="0.3">
      <c r="B311" s="16"/>
      <c r="C311" s="17"/>
      <c r="D311" s="17"/>
      <c r="E311" s="17"/>
      <c r="F311" s="17"/>
      <c r="G311" s="18"/>
      <c r="H311" s="18" t="e">
        <f>SUBTOTAL(109,Tabla11034534544554564793637476070798897110119129138230239481482155166172173[Coste LÃ­nea])</f>
        <v>#N/A</v>
      </c>
      <c r="I311" s="27"/>
      <c r="J311" s="8" t="s">
        <v>18</v>
      </c>
      <c r="K311" s="23" t="e">
        <f>+K309-K306</f>
        <v>#N/A</v>
      </c>
    </row>
    <row r="312" spans="2:13" ht="14.4" x14ac:dyDescent="0.3">
      <c r="I312"/>
      <c r="J312" s="8" t="s">
        <v>19</v>
      </c>
      <c r="K312" s="25" t="e">
        <f>+K311/K306</f>
        <v>#N/A</v>
      </c>
    </row>
    <row r="313" spans="2:13" ht="14.4" x14ac:dyDescent="0.3">
      <c r="I313"/>
    </row>
    <row r="314" spans="2:13" x14ac:dyDescent="0.25">
      <c r="I314" s="4"/>
    </row>
    <row r="315" spans="2:13" x14ac:dyDescent="0.25">
      <c r="I315" s="4"/>
    </row>
    <row r="316" spans="2:13" ht="15.6" x14ac:dyDescent="0.3">
      <c r="B316" s="1" t="s">
        <v>1306</v>
      </c>
      <c r="C316" s="2"/>
      <c r="D316" s="81"/>
      <c r="E316" s="82"/>
      <c r="F316" s="82"/>
      <c r="G316" s="3"/>
      <c r="H316" s="3"/>
      <c r="I316" s="4"/>
      <c r="J316" s="399" t="s">
        <v>0</v>
      </c>
      <c r="K316" s="399"/>
      <c r="M316" s="377" t="s">
        <v>1394</v>
      </c>
    </row>
    <row r="317" spans="2:13" x14ac:dyDescent="0.25">
      <c r="B317" s="5" t="s">
        <v>857</v>
      </c>
      <c r="C317" s="6" t="s">
        <v>895</v>
      </c>
      <c r="D317" s="6" t="s">
        <v>892</v>
      </c>
      <c r="E317" s="6" t="s">
        <v>893</v>
      </c>
      <c r="F317" s="6" t="s">
        <v>894</v>
      </c>
      <c r="G317" s="7" t="s">
        <v>901</v>
      </c>
      <c r="H317" s="7" t="s">
        <v>902</v>
      </c>
      <c r="I317" s="4"/>
      <c r="J317" s="8" t="s">
        <v>6</v>
      </c>
      <c r="K317" s="9" t="e">
        <f>SUM(Tabla11034534544554564793637476070798897110119129138230239481482155166172173174[Coste LÃ­nea])</f>
        <v>#N/A</v>
      </c>
      <c r="M317" s="346"/>
    </row>
    <row r="318" spans="2:13" x14ac:dyDescent="0.25">
      <c r="B318" s="10" t="s">
        <v>651</v>
      </c>
      <c r="C318" s="11" t="s">
        <v>605</v>
      </c>
      <c r="D318" s="12">
        <v>2</v>
      </c>
      <c r="E318" s="12">
        <v>0</v>
      </c>
      <c r="F318" s="12">
        <v>2</v>
      </c>
      <c r="G318" s="13">
        <f>+VLOOKUP(Tabla11034534544554564793637476070798897110119129138230239481482155166172173174[[#This Row],[ArtÃ­culo]],Tabla34[#All],3,0)</f>
        <v>3103.4482758600002</v>
      </c>
      <c r="H318" s="14">
        <f>+Tabla11034534544554564793637476070798897110119129138230239481482155166172173174[[#This Row],[Coste Componente]]*Tabla11034534544554564793637476070798897110119129138230239481482155166172173174[[#This Row],[Unidades]]</f>
        <v>6206.8965517200004</v>
      </c>
      <c r="I318" s="4"/>
      <c r="J318" s="8" t="s">
        <v>12</v>
      </c>
      <c r="K318" s="15" t="e">
        <f>+K317*10%</f>
        <v>#N/A</v>
      </c>
    </row>
    <row r="319" spans="2:13" x14ac:dyDescent="0.25">
      <c r="B319" s="10" t="s">
        <v>1330</v>
      </c>
      <c r="C319" s="11" t="s">
        <v>847</v>
      </c>
      <c r="D319" s="12">
        <v>15</v>
      </c>
      <c r="E319" s="12">
        <v>0</v>
      </c>
      <c r="F319" s="12">
        <v>15</v>
      </c>
      <c r="G319" s="13" t="e">
        <f>+VLOOKUP(Tabla11034534544554564793637476070798897110119129138230239481482155166172173174[[#This Row],[ArtÃ­culo]],Tabla34[#All],3,0)</f>
        <v>#N/A</v>
      </c>
      <c r="H319" s="14" t="e">
        <f>+Tabla11034534544554564793637476070798897110119129138230239481482155166172173174[[#This Row],[Coste Componente]]*Tabla11034534544554564793637476070798897110119129138230239481482155166172173174[[#This Row],[Unidades]]</f>
        <v>#N/A</v>
      </c>
      <c r="I319" s="4"/>
      <c r="J319" s="8" t="s">
        <v>13</v>
      </c>
      <c r="K319" s="15" t="e">
        <f>+K317+K318</f>
        <v>#N/A</v>
      </c>
    </row>
    <row r="320" spans="2:13" x14ac:dyDescent="0.25">
      <c r="B320" s="10" t="s">
        <v>1278</v>
      </c>
      <c r="C320" s="11" t="s">
        <v>847</v>
      </c>
      <c r="D320" s="12">
        <v>0.33</v>
      </c>
      <c r="E320" s="12">
        <v>0</v>
      </c>
      <c r="F320" s="12">
        <v>0.33</v>
      </c>
      <c r="G320" s="13">
        <f>+VLOOKUP(Tabla11034534544554564793637476070798897110119129138230239481482155166172173174[[#This Row],[ArtÃ­culo]],Tabla34[#All],3,0)</f>
        <v>1654</v>
      </c>
      <c r="H320" s="14">
        <f>+Tabla11034534544554564793637476070798897110119129138230239481482155166172173174[[#This Row],[Coste Componente]]*Tabla11034534544554564793637476070798897110119129138230239481482155166172173174[[#This Row],[Unidades]]</f>
        <v>545.82000000000005</v>
      </c>
      <c r="I320" s="4"/>
      <c r="J320" s="20" t="s">
        <v>14</v>
      </c>
      <c r="K320" s="21"/>
    </row>
    <row r="321" spans="2:13" x14ac:dyDescent="0.25">
      <c r="B321" s="10" t="s">
        <v>661</v>
      </c>
      <c r="C321" s="11" t="s">
        <v>67</v>
      </c>
      <c r="D321" s="12">
        <v>1</v>
      </c>
      <c r="E321" s="12">
        <v>0</v>
      </c>
      <c r="F321" s="12">
        <v>1</v>
      </c>
      <c r="G321" s="13">
        <f>+VLOOKUP(Tabla11034534544554564793637476070798897110119129138230239481482155166172173174[[#This Row],[ArtÃ­culo]],Tabla34[#All],3,0)</f>
        <v>358.54340000000002</v>
      </c>
      <c r="H321" s="14">
        <f>+Tabla11034534544554564793637476070798897110119129138230239481482155166172173174[[#This Row],[Coste Componente]]*Tabla11034534544554564793637476070798897110119129138230239481482155166172173174[[#This Row],[Unidades]]</f>
        <v>358.54340000000002</v>
      </c>
      <c r="J321" s="8" t="s">
        <v>15</v>
      </c>
      <c r="K321" s="15">
        <f>+K320/1.08*0.08</f>
        <v>0</v>
      </c>
    </row>
    <row r="322" spans="2:13" x14ac:dyDescent="0.25">
      <c r="B322" s="10" t="s">
        <v>751</v>
      </c>
      <c r="C322" s="11" t="s">
        <v>67</v>
      </c>
      <c r="D322" s="12">
        <v>3</v>
      </c>
      <c r="E322" s="12">
        <v>0</v>
      </c>
      <c r="F322" s="12">
        <v>3</v>
      </c>
      <c r="G322" s="13">
        <f>+VLOOKUP(Tabla11034534544554564793637476070798897110119129138230239481482155166172173174[[#This Row],[ArtÃ­culo]],Tabla34[#All],3,0)</f>
        <v>16</v>
      </c>
      <c r="H322" s="14">
        <f>+Tabla11034534544554564793637476070798897110119129138230239481482155166172173174[[#This Row],[Coste Componente]]*Tabla11034534544554564793637476070798897110119129138230239481482155166172173174[[#This Row],[Unidades]]</f>
        <v>48</v>
      </c>
      <c r="J322" s="8" t="s">
        <v>16</v>
      </c>
      <c r="K322" s="15">
        <f>+K320-K321</f>
        <v>0</v>
      </c>
    </row>
    <row r="323" spans="2:13" x14ac:dyDescent="0.25">
      <c r="B323" s="10" t="s">
        <v>887</v>
      </c>
      <c r="C323" s="11" t="s">
        <v>67</v>
      </c>
      <c r="D323" s="12">
        <v>5</v>
      </c>
      <c r="E323" s="12">
        <v>0</v>
      </c>
      <c r="F323" s="12">
        <v>5</v>
      </c>
      <c r="G323" s="13">
        <f>+VLOOKUP(Tabla11034534544554564793637476070798897110119129138230239481482155166172173174[[#This Row],[ArtÃ­culo]],Tabla34[#All],3,0)</f>
        <v>46.232876699999998</v>
      </c>
      <c r="H323" s="14">
        <f>+Tabla11034534544554564793637476070798897110119129138230239481482155166172173174[[#This Row],[Coste Componente]]*Tabla11034534544554564793637476070798897110119129138230239481482155166172173174[[#This Row],[Unidades]]</f>
        <v>231.16438349999999</v>
      </c>
      <c r="J323" s="8" t="s">
        <v>17</v>
      </c>
      <c r="K323" s="22" t="e">
        <f>+K319/K322</f>
        <v>#N/A</v>
      </c>
    </row>
    <row r="324" spans="2:13" ht="14.4" x14ac:dyDescent="0.3">
      <c r="B324" s="16"/>
      <c r="C324" s="17"/>
      <c r="D324" s="17"/>
      <c r="E324" s="17"/>
      <c r="F324" s="17"/>
      <c r="G324" s="18"/>
      <c r="H324" s="18" t="e">
        <f>SUBTOTAL(109,Tabla11034534544554564793637476070798897110119129138230239481482155166172173174[Coste LÃ­nea])</f>
        <v>#N/A</v>
      </c>
      <c r="I324" s="27"/>
      <c r="J324" s="8" t="s">
        <v>18</v>
      </c>
      <c r="K324" s="23" t="e">
        <f>+K322-K319</f>
        <v>#N/A</v>
      </c>
    </row>
    <row r="325" spans="2:13" ht="14.4" x14ac:dyDescent="0.3">
      <c r="I325"/>
      <c r="J325" s="8" t="s">
        <v>19</v>
      </c>
      <c r="K325" s="25" t="e">
        <f>+K324/K319</f>
        <v>#N/A</v>
      </c>
    </row>
    <row r="326" spans="2:13" ht="14.4" x14ac:dyDescent="0.3">
      <c r="I326"/>
    </row>
    <row r="327" spans="2:13" x14ac:dyDescent="0.25">
      <c r="I327" s="4"/>
    </row>
    <row r="328" spans="2:13" x14ac:dyDescent="0.25">
      <c r="I328" s="4"/>
    </row>
    <row r="329" spans="2:13" ht="15.6" x14ac:dyDescent="0.3">
      <c r="B329" s="1" t="s">
        <v>1312</v>
      </c>
      <c r="C329" s="2"/>
      <c r="D329" s="81"/>
      <c r="E329" s="82"/>
      <c r="F329" s="82"/>
      <c r="G329" s="3"/>
      <c r="H329" s="3"/>
      <c r="I329" s="4"/>
      <c r="J329" s="399" t="s">
        <v>0</v>
      </c>
      <c r="K329" s="399"/>
      <c r="M329" s="377" t="s">
        <v>1394</v>
      </c>
    </row>
    <row r="330" spans="2:13" x14ac:dyDescent="0.25">
      <c r="B330" s="5" t="s">
        <v>857</v>
      </c>
      <c r="C330" s="6" t="s">
        <v>895</v>
      </c>
      <c r="D330" s="6" t="s">
        <v>892</v>
      </c>
      <c r="E330" s="6" t="s">
        <v>893</v>
      </c>
      <c r="F330" s="6" t="s">
        <v>894</v>
      </c>
      <c r="G330" s="7" t="s">
        <v>901</v>
      </c>
      <c r="H330" s="7" t="s">
        <v>902</v>
      </c>
      <c r="I330" s="4"/>
      <c r="J330" s="8" t="s">
        <v>6</v>
      </c>
      <c r="K330" s="9" t="e">
        <f>SUM(Tabla11034534544554564793637476070798897110119129138230239481482155166172173174176[Coste LÃ­nea])</f>
        <v>#N/A</v>
      </c>
      <c r="M330" s="346"/>
    </row>
    <row r="331" spans="2:13" x14ac:dyDescent="0.25">
      <c r="B331" s="10" t="s">
        <v>660</v>
      </c>
      <c r="C331" s="11" t="s">
        <v>605</v>
      </c>
      <c r="D331" s="12">
        <v>2</v>
      </c>
      <c r="E331" s="12">
        <v>0</v>
      </c>
      <c r="F331" s="12">
        <v>2</v>
      </c>
      <c r="G331" s="13">
        <f>+VLOOKUP(Tabla11034534544554564793637476070798897110119129138230239481482155166172173174176[[#This Row],[ArtÃ­culo]],Tabla34[#All],3,0)</f>
        <v>3359</v>
      </c>
      <c r="H331" s="14">
        <f>+Tabla11034534544554564793637476070798897110119129138230239481482155166172173174176[[#This Row],[Coste Componente]]*Tabla11034534544554564793637476070798897110119129138230239481482155166172173174176[[#This Row],[Unidades]]</f>
        <v>6718</v>
      </c>
      <c r="I331" s="4"/>
      <c r="J331" s="8" t="s">
        <v>12</v>
      </c>
      <c r="K331" s="15" t="e">
        <f>+K330*10%</f>
        <v>#N/A</v>
      </c>
    </row>
    <row r="332" spans="2:13" x14ac:dyDescent="0.25">
      <c r="B332" s="10" t="s">
        <v>168</v>
      </c>
      <c r="C332" s="11" t="s">
        <v>67</v>
      </c>
      <c r="D332" s="12">
        <v>30</v>
      </c>
      <c r="E332" s="12">
        <v>0</v>
      </c>
      <c r="F332" s="12">
        <v>30</v>
      </c>
      <c r="G332" s="13">
        <f>+VLOOKUP(Tabla11034534544554564793637476070798897110119129138230239481482155166172173174176[[#This Row],[ArtÃ­culo]],Tabla34[#All],3,0)</f>
        <v>10.86600002</v>
      </c>
      <c r="H332" s="14">
        <f>+Tabla11034534544554564793637476070798897110119129138230239481482155166172173174176[[#This Row],[Coste Componente]]*Tabla11034534544554564793637476070798897110119129138230239481482155166172173174176[[#This Row],[Unidades]]</f>
        <v>325.98000059999998</v>
      </c>
      <c r="I332" s="4"/>
      <c r="J332" s="8" t="s">
        <v>13</v>
      </c>
      <c r="K332" s="15" t="e">
        <f>+K330+K331</f>
        <v>#N/A</v>
      </c>
    </row>
    <row r="333" spans="2:13" x14ac:dyDescent="0.25">
      <c r="B333" s="10" t="s">
        <v>134</v>
      </c>
      <c r="C333" s="11" t="s">
        <v>67</v>
      </c>
      <c r="D333" s="12">
        <v>30</v>
      </c>
      <c r="E333" s="12">
        <v>0</v>
      </c>
      <c r="F333" s="12">
        <v>30</v>
      </c>
      <c r="G333" s="13">
        <f>+VLOOKUP(Tabla11034534544554564793637476070798897110119129138230239481482155166172173174176[[#This Row],[ArtÃ­culo]],Tabla34[#All],3,0)</f>
        <v>5.7702915900000002</v>
      </c>
      <c r="H333" s="14">
        <f>+Tabla11034534544554564793637476070798897110119129138230239481482155166172173174176[[#This Row],[Coste Componente]]*Tabla11034534544554564793637476070798897110119129138230239481482155166172173174176[[#This Row],[Unidades]]</f>
        <v>173.10874770000001</v>
      </c>
      <c r="I333" s="4"/>
      <c r="J333" s="20" t="s">
        <v>14</v>
      </c>
      <c r="K333" s="21"/>
    </row>
    <row r="334" spans="2:13" x14ac:dyDescent="0.25">
      <c r="B334" s="10" t="s">
        <v>1311</v>
      </c>
      <c r="C334" s="11" t="s">
        <v>67</v>
      </c>
      <c r="D334" s="12">
        <v>60</v>
      </c>
      <c r="E334" s="12">
        <v>0</v>
      </c>
      <c r="F334" s="12">
        <v>60</v>
      </c>
      <c r="G334" s="13">
        <f>+VLOOKUP(Tabla11034534544554564793637476070798897110119129138230239481482155166172173174176[[#This Row],[ArtÃ­culo]],Tabla34[#All],3,0)</f>
        <v>35</v>
      </c>
      <c r="H334" s="14">
        <f>+Tabla11034534544554564793637476070798897110119129138230239481482155166172173174176[[#This Row],[Coste Componente]]*Tabla11034534544554564793637476070798897110119129138230239481482155166172173174176[[#This Row],[Unidades]]</f>
        <v>2100</v>
      </c>
      <c r="J334" s="8" t="s">
        <v>15</v>
      </c>
      <c r="K334" s="15">
        <f>+K333/1.08*0.08</f>
        <v>0</v>
      </c>
    </row>
    <row r="335" spans="2:13" x14ac:dyDescent="0.25">
      <c r="B335" s="10" t="s">
        <v>1332</v>
      </c>
      <c r="C335" s="11" t="s">
        <v>67</v>
      </c>
      <c r="D335" s="12">
        <v>30</v>
      </c>
      <c r="E335" s="12">
        <v>0</v>
      </c>
      <c r="F335" s="12">
        <v>30</v>
      </c>
      <c r="G335" s="13" t="e">
        <f>+VLOOKUP(Tabla11034534544554564793637476070798897110119129138230239481482155166172173174176[[#This Row],[ArtÃ­culo]],Tabla34[#All],3,0)</f>
        <v>#N/A</v>
      </c>
      <c r="H335" s="14" t="e">
        <f>+Tabla11034534544554564793637476070798897110119129138230239481482155166172173174176[[#This Row],[Coste Componente]]*Tabla11034534544554564793637476070798897110119129138230239481482155166172173174176[[#This Row],[Unidades]]</f>
        <v>#N/A</v>
      </c>
      <c r="J335" s="8" t="s">
        <v>16</v>
      </c>
      <c r="K335" s="15">
        <f>+K333-K334</f>
        <v>0</v>
      </c>
    </row>
    <row r="336" spans="2:13" x14ac:dyDescent="0.25">
      <c r="B336" s="10" t="s">
        <v>1333</v>
      </c>
      <c r="C336" s="11" t="s">
        <v>67</v>
      </c>
      <c r="D336" s="12">
        <v>1</v>
      </c>
      <c r="E336" s="12">
        <v>0</v>
      </c>
      <c r="F336" s="12">
        <v>1</v>
      </c>
      <c r="G336" s="13" t="e">
        <f>+VLOOKUP(Tabla11034534544554564793637476070798897110119129138230239481482155166172173174176[[#This Row],[ArtÃ­culo]],Tabla34[#All],3,0)</f>
        <v>#N/A</v>
      </c>
      <c r="H336" s="14" t="e">
        <f>+Tabla11034534544554564793637476070798897110119129138230239481482155166172173174176[[#This Row],[Coste Componente]]*Tabla11034534544554564793637476070798897110119129138230239481482155166172173174176[[#This Row],[Unidades]]</f>
        <v>#N/A</v>
      </c>
      <c r="J336" s="8" t="s">
        <v>17</v>
      </c>
      <c r="K336" s="22" t="e">
        <f>+K332/K335</f>
        <v>#N/A</v>
      </c>
    </row>
    <row r="337" spans="2:11" ht="14.4" x14ac:dyDescent="0.3">
      <c r="B337" s="10" t="s">
        <v>886</v>
      </c>
      <c r="C337" s="11" t="s">
        <v>67</v>
      </c>
      <c r="D337" s="12">
        <v>1</v>
      </c>
      <c r="E337" s="12">
        <v>0</v>
      </c>
      <c r="F337" s="12">
        <v>1</v>
      </c>
      <c r="G337" s="13">
        <f>+VLOOKUP(Tabla11034534544554564793637476070798897110119129138230239481482155166172173174176[[#This Row],[ArtÃ­culo]],Tabla34[#All],3,0)</f>
        <v>350</v>
      </c>
      <c r="H337" s="14">
        <f>+Tabla11034534544554564793637476070798897110119129138230239481482155166172173174176[[#This Row],[Coste Componente]]*Tabla11034534544554564793637476070798897110119129138230239481482155166172173174176[[#This Row],[Unidades]]</f>
        <v>350</v>
      </c>
      <c r="I337" s="27"/>
      <c r="J337" s="8" t="s">
        <v>18</v>
      </c>
      <c r="K337" s="23" t="e">
        <f>+K335-K332</f>
        <v>#N/A</v>
      </c>
    </row>
    <row r="338" spans="2:11" ht="14.4" x14ac:dyDescent="0.3">
      <c r="B338" s="16"/>
      <c r="C338" s="17"/>
      <c r="D338" s="17"/>
      <c r="E338" s="17"/>
      <c r="F338" s="17"/>
      <c r="G338" s="18"/>
      <c r="H338" s="18" t="e">
        <f>SUBTOTAL(109,Tabla11034534544554564793637476070798897110119129138230239481482155166172173174176[Coste LÃ­nea])</f>
        <v>#N/A</v>
      </c>
      <c r="I338"/>
      <c r="J338" s="8" t="s">
        <v>19</v>
      </c>
      <c r="K338" s="25" t="e">
        <f>+K337/K332</f>
        <v>#N/A</v>
      </c>
    </row>
    <row r="339" spans="2:11" ht="14.4" x14ac:dyDescent="0.3">
      <c r="I339"/>
    </row>
    <row r="340" spans="2:11" x14ac:dyDescent="0.25">
      <c r="E340" s="84" t="s">
        <v>1310</v>
      </c>
      <c r="I340" s="4"/>
    </row>
    <row r="341" spans="2:11" x14ac:dyDescent="0.25">
      <c r="I341" s="4"/>
    </row>
    <row r="342" spans="2:11" x14ac:dyDescent="0.25">
      <c r="I342" s="4"/>
    </row>
    <row r="343" spans="2:11" x14ac:dyDescent="0.25">
      <c r="I343" s="4"/>
    </row>
    <row r="344" spans="2:11" x14ac:dyDescent="0.25">
      <c r="I344" s="4"/>
    </row>
    <row r="345" spans="2:11" x14ac:dyDescent="0.25">
      <c r="I345" s="4"/>
    </row>
    <row r="346" spans="2:11" x14ac:dyDescent="0.25">
      <c r="I346" s="4"/>
    </row>
  </sheetData>
  <mergeCells count="19">
    <mergeCell ref="J212:K212"/>
    <mergeCell ref="J224:K224"/>
    <mergeCell ref="J239:K239"/>
    <mergeCell ref="J329:K329"/>
    <mergeCell ref="J28:K28"/>
    <mergeCell ref="J291:K291"/>
    <mergeCell ref="J303:K303"/>
    <mergeCell ref="J316:K316"/>
    <mergeCell ref="J278:K278"/>
    <mergeCell ref="J76:K76"/>
    <mergeCell ref="J250:K250"/>
    <mergeCell ref="J264:K264"/>
    <mergeCell ref="J190:K190"/>
    <mergeCell ref="J201:K201"/>
    <mergeCell ref="J7:K7"/>
    <mergeCell ref="J17:K17"/>
    <mergeCell ref="J40:K40"/>
    <mergeCell ref="J64:K64"/>
    <mergeCell ref="J52:K52"/>
  </mergeCells>
  <phoneticPr fontId="16" type="noConversion"/>
  <conditionalFormatting sqref="K14">
    <cfRule type="cellIs" dxfId="2313" priority="35" operator="lessThan">
      <formula>0.3</formula>
    </cfRule>
    <cfRule type="cellIs" dxfId="2312" priority="36" operator="greaterThan">
      <formula>0.3</formula>
    </cfRule>
  </conditionalFormatting>
  <conditionalFormatting sqref="K24">
    <cfRule type="cellIs" dxfId="2311" priority="75" operator="lessThan">
      <formula>0.3</formula>
    </cfRule>
    <cfRule type="cellIs" dxfId="2310" priority="76" operator="greaterThan">
      <formula>0.3</formula>
    </cfRule>
  </conditionalFormatting>
  <conditionalFormatting sqref="K35">
    <cfRule type="cellIs" dxfId="2309" priority="73" operator="lessThan">
      <formula>0.3</formula>
    </cfRule>
    <cfRule type="cellIs" dxfId="2308" priority="74" operator="greaterThan">
      <formula>0.3</formula>
    </cfRule>
  </conditionalFormatting>
  <conditionalFormatting sqref="K47">
    <cfRule type="cellIs" dxfId="2307" priority="69" operator="lessThan">
      <formula>0.3</formula>
    </cfRule>
    <cfRule type="cellIs" dxfId="2306" priority="70" operator="greaterThan">
      <formula>0.3</formula>
    </cfRule>
  </conditionalFormatting>
  <conditionalFormatting sqref="K59">
    <cfRule type="cellIs" dxfId="2305" priority="57" operator="lessThan">
      <formula>0.3</formula>
    </cfRule>
    <cfRule type="cellIs" dxfId="2304" priority="58" operator="greaterThan">
      <formula>0.3</formula>
    </cfRule>
  </conditionalFormatting>
  <conditionalFormatting sqref="K71">
    <cfRule type="cellIs" dxfId="2303" priority="67" operator="lessThan">
      <formula>0.3</formula>
    </cfRule>
    <cfRule type="cellIs" dxfId="2302" priority="68" operator="greaterThan">
      <formula>0.3</formula>
    </cfRule>
  </conditionalFormatting>
  <conditionalFormatting sqref="K83">
    <cfRule type="cellIs" dxfId="2301" priority="31" operator="lessThan">
      <formula>0.3</formula>
    </cfRule>
    <cfRule type="cellIs" dxfId="2300" priority="32" operator="greaterThan">
      <formula>0.3</formula>
    </cfRule>
  </conditionalFormatting>
  <conditionalFormatting sqref="K95">
    <cfRule type="cellIs" dxfId="2299" priority="49" operator="lessThan">
      <formula>0.3</formula>
    </cfRule>
    <cfRule type="cellIs" dxfId="2298" priority="50" operator="greaterThan">
      <formula>0.3</formula>
    </cfRule>
  </conditionalFormatting>
  <conditionalFormatting sqref="K107">
    <cfRule type="cellIs" dxfId="2297" priority="47" operator="lessThan">
      <formula>0.3</formula>
    </cfRule>
    <cfRule type="cellIs" dxfId="2296" priority="48" operator="greaterThan">
      <formula>0.3</formula>
    </cfRule>
  </conditionalFormatting>
  <conditionalFormatting sqref="K118">
    <cfRule type="cellIs" dxfId="2295" priority="43" operator="lessThan">
      <formula>0.3</formula>
    </cfRule>
    <cfRule type="cellIs" dxfId="2294" priority="44" operator="greaterThan">
      <formula>0.3</formula>
    </cfRule>
  </conditionalFormatting>
  <conditionalFormatting sqref="K130">
    <cfRule type="cellIs" dxfId="2293" priority="37" operator="lessThan">
      <formula>0.3</formula>
    </cfRule>
    <cfRule type="cellIs" dxfId="2292" priority="38" operator="greaterThan">
      <formula>0.3</formula>
    </cfRule>
  </conditionalFormatting>
  <conditionalFormatting sqref="K143">
    <cfRule type="cellIs" dxfId="2291" priority="33" operator="lessThan">
      <formula>0.3</formula>
    </cfRule>
    <cfRule type="cellIs" dxfId="2290" priority="34" operator="greaterThan">
      <formula>0.3</formula>
    </cfRule>
  </conditionalFormatting>
  <conditionalFormatting sqref="K158">
    <cfRule type="cellIs" dxfId="2289" priority="29" operator="lessThan">
      <formula>0.3</formula>
    </cfRule>
    <cfRule type="cellIs" dxfId="2288" priority="30" operator="greaterThan">
      <formula>0.3</formula>
    </cfRule>
  </conditionalFormatting>
  <conditionalFormatting sqref="K173">
    <cfRule type="cellIs" dxfId="2287" priority="27" operator="lessThan">
      <formula>0.3</formula>
    </cfRule>
    <cfRule type="cellIs" dxfId="2286" priority="28" operator="greaterThan">
      <formula>0.3</formula>
    </cfRule>
  </conditionalFormatting>
  <conditionalFormatting sqref="K186">
    <cfRule type="cellIs" dxfId="2285" priority="25" operator="lessThan">
      <formula>0.3</formula>
    </cfRule>
    <cfRule type="cellIs" dxfId="2284" priority="26" operator="greaterThan">
      <formula>0.3</formula>
    </cfRule>
  </conditionalFormatting>
  <conditionalFormatting sqref="K197">
    <cfRule type="cellIs" dxfId="2283" priority="23" operator="lessThan">
      <formula>0.3</formula>
    </cfRule>
    <cfRule type="cellIs" dxfId="2282" priority="24" operator="greaterThan">
      <formula>0.3</formula>
    </cfRule>
  </conditionalFormatting>
  <conditionalFormatting sqref="K208">
    <cfRule type="cellIs" dxfId="2281" priority="21" operator="lessThan">
      <formula>0.3</formula>
    </cfRule>
    <cfRule type="cellIs" dxfId="2280" priority="22" operator="greaterThan">
      <formula>0.3</formula>
    </cfRule>
  </conditionalFormatting>
  <conditionalFormatting sqref="K219">
    <cfRule type="cellIs" dxfId="2279" priority="19" operator="lessThan">
      <formula>0.3</formula>
    </cfRule>
    <cfRule type="cellIs" dxfId="2278" priority="20" operator="greaterThan">
      <formula>0.3</formula>
    </cfRule>
  </conditionalFormatting>
  <conditionalFormatting sqref="K231">
    <cfRule type="cellIs" dxfId="2277" priority="17" operator="lessThan">
      <formula>0.3</formula>
    </cfRule>
    <cfRule type="cellIs" dxfId="2276" priority="18" operator="greaterThan">
      <formula>0.3</formula>
    </cfRule>
  </conditionalFormatting>
  <conditionalFormatting sqref="K246">
    <cfRule type="cellIs" dxfId="2275" priority="15" operator="lessThan">
      <formula>0.3</formula>
    </cfRule>
    <cfRule type="cellIs" dxfId="2274" priority="16" operator="greaterThan">
      <formula>0.3</formula>
    </cfRule>
  </conditionalFormatting>
  <conditionalFormatting sqref="K257">
    <cfRule type="cellIs" dxfId="2273" priority="13" operator="lessThan">
      <formula>0.3</formula>
    </cfRule>
    <cfRule type="cellIs" dxfId="2272" priority="14" operator="greaterThan">
      <formula>0.3</formula>
    </cfRule>
  </conditionalFormatting>
  <conditionalFormatting sqref="K271">
    <cfRule type="cellIs" dxfId="2271" priority="11" operator="lessThan">
      <formula>0.3</formula>
    </cfRule>
    <cfRule type="cellIs" dxfId="2270" priority="12" operator="greaterThan">
      <formula>0.3</formula>
    </cfRule>
  </conditionalFormatting>
  <conditionalFormatting sqref="K285">
    <cfRule type="cellIs" dxfId="2269" priority="9" operator="lessThan">
      <formula>0.3</formula>
    </cfRule>
    <cfRule type="cellIs" dxfId="2268" priority="10" operator="greaterThan">
      <formula>0.3</formula>
    </cfRule>
  </conditionalFormatting>
  <conditionalFormatting sqref="K298">
    <cfRule type="cellIs" dxfId="2267" priority="7" operator="lessThan">
      <formula>0.3</formula>
    </cfRule>
    <cfRule type="cellIs" dxfId="2266" priority="8" operator="greaterThan">
      <formula>0.3</formula>
    </cfRule>
  </conditionalFormatting>
  <conditionalFormatting sqref="K310">
    <cfRule type="cellIs" dxfId="2265" priority="5" operator="lessThan">
      <formula>0.3</formula>
    </cfRule>
    <cfRule type="cellIs" dxfId="2264" priority="6" operator="greaterThan">
      <formula>0.3</formula>
    </cfRule>
  </conditionalFormatting>
  <conditionalFormatting sqref="K323">
    <cfRule type="cellIs" dxfId="2263" priority="3" operator="lessThan">
      <formula>0.3</formula>
    </cfRule>
    <cfRule type="cellIs" dxfId="2262" priority="4" operator="greaterThan">
      <formula>0.3</formula>
    </cfRule>
  </conditionalFormatting>
  <conditionalFormatting sqref="K336">
    <cfRule type="cellIs" dxfId="2261" priority="1" operator="lessThan">
      <formula>0.3</formula>
    </cfRule>
    <cfRule type="cellIs" dxfId="2260" priority="2" operator="greaterThan">
      <formula>0.3</formula>
    </cfRule>
  </conditionalFormatting>
  <pageMargins left="0.7" right="0.7" top="0.75" bottom="0.75" header="0.3" footer="0.3"/>
  <pageSetup orientation="portrait" horizontalDpi="360" verticalDpi="360" r:id="rId1"/>
  <drawing r:id="rId2"/>
  <tableParts count="54">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6479-1A5D-4E63-89E5-5D5F4E7E2F65}">
  <dimension ref="B6:I252"/>
  <sheetViews>
    <sheetView showGridLines="0" zoomScale="92" zoomScaleNormal="92" workbookViewId="0">
      <selection activeCell="M11" sqref="M11"/>
    </sheetView>
  </sheetViews>
  <sheetFormatPr baseColWidth="10" defaultColWidth="10.88671875" defaultRowHeight="13.2" x14ac:dyDescent="0.25"/>
  <cols>
    <col min="1" max="1" width="1.33203125" style="40" customWidth="1"/>
    <col min="2" max="2" width="36.21875" style="40" bestFit="1" customWidth="1"/>
    <col min="3" max="5" width="10.88671875" style="40"/>
    <col min="6" max="6" width="15.109375" style="40" customWidth="1"/>
    <col min="7" max="7" width="1.77734375" style="40" customWidth="1"/>
    <col min="8" max="8" width="27.109375" style="40" customWidth="1"/>
    <col min="9" max="9" width="10.88671875" style="40"/>
    <col min="10" max="10" width="3.109375" style="40" customWidth="1"/>
    <col min="11" max="16384" width="10.88671875" style="40"/>
  </cols>
  <sheetData>
    <row r="6" spans="2:9" x14ac:dyDescent="0.25">
      <c r="B6" s="1" t="s">
        <v>357</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SUM(Tabla110345345445545647945586877869510811712713622823724627233260269297315[Total costo])</f>
        <v>253722.99999991999</v>
      </c>
    </row>
    <row r="8" spans="2:9" x14ac:dyDescent="0.25">
      <c r="B8" s="10" t="s">
        <v>767</v>
      </c>
      <c r="C8" s="11" t="s">
        <v>252</v>
      </c>
      <c r="D8" s="12">
        <v>22</v>
      </c>
      <c r="E8" s="13">
        <f>+VLOOKUP(Tabla110345345445545647945586877869510811712713622823724627233260269297315[[#This Row],[Ingrediente]],Tabla34[#All],3,0)</f>
        <v>11532.86363636</v>
      </c>
      <c r="F8" s="14">
        <f>+Tabla110345345445545647945586877869510811712713622823724627233260269297315[[#This Row],[Costo]]*Tabla110345345445545647945586877869510811712713622823724627233260269297315[[#This Row],[Cant.]]</f>
        <v>253722.99999991999</v>
      </c>
      <c r="G8" s="4"/>
      <c r="H8" s="8" t="s">
        <v>12</v>
      </c>
      <c r="I8" s="15"/>
    </row>
    <row r="9" spans="2:9" x14ac:dyDescent="0.25">
      <c r="B9" s="16"/>
      <c r="C9" s="17"/>
      <c r="D9" s="17"/>
      <c r="E9" s="18"/>
      <c r="F9" s="18">
        <f>SUBTOTAL(109,Tabla110345345445545647945586877869510811712713622823724627233260269297315[Total costo])</f>
        <v>253722.99999991999</v>
      </c>
      <c r="G9" s="4"/>
      <c r="H9" s="8" t="s">
        <v>13</v>
      </c>
      <c r="I9" s="15">
        <f>+I7+I8</f>
        <v>253722.99999991999</v>
      </c>
    </row>
    <row r="10" spans="2:9" x14ac:dyDescent="0.25">
      <c r="G10" s="4"/>
      <c r="H10" s="20" t="s">
        <v>14</v>
      </c>
      <c r="I10" s="21">
        <v>620000</v>
      </c>
    </row>
    <row r="11" spans="2:9" x14ac:dyDescent="0.25">
      <c r="G11" s="4"/>
      <c r="H11" s="8" t="s">
        <v>15</v>
      </c>
      <c r="I11" s="15">
        <f>+I10/1.08*0.08</f>
        <v>45925.925925925927</v>
      </c>
    </row>
    <row r="12" spans="2:9" x14ac:dyDescent="0.25">
      <c r="G12" s="4"/>
      <c r="H12" s="8" t="s">
        <v>16</v>
      </c>
      <c r="I12" s="15">
        <f>+I10-I11</f>
        <v>574074.07407407404</v>
      </c>
    </row>
    <row r="13" spans="2:9" x14ac:dyDescent="0.25">
      <c r="G13" s="4"/>
      <c r="H13" s="8" t="s">
        <v>17</v>
      </c>
      <c r="I13" s="41">
        <f>+I9/I12</f>
        <v>0.44196909677405422</v>
      </c>
    </row>
    <row r="14" spans="2:9" x14ac:dyDescent="0.25">
      <c r="G14" s="4"/>
      <c r="H14" s="8" t="s">
        <v>18</v>
      </c>
      <c r="I14" s="42">
        <f>+I12-I9</f>
        <v>320351.07407415402</v>
      </c>
    </row>
    <row r="15" spans="2:9" x14ac:dyDescent="0.25">
      <c r="G15" s="4"/>
      <c r="H15" s="8" t="s">
        <v>19</v>
      </c>
      <c r="I15" s="43">
        <f>+I14/I9</f>
        <v>1.2626016327816361</v>
      </c>
    </row>
    <row r="16" spans="2:9" x14ac:dyDescent="0.25">
      <c r="G16" s="4"/>
      <c r="H16" s="4"/>
      <c r="I16" s="44"/>
    </row>
    <row r="17" spans="2:9" x14ac:dyDescent="0.25">
      <c r="B17" s="1" t="s">
        <v>361</v>
      </c>
      <c r="C17" s="2"/>
      <c r="D17" s="2"/>
      <c r="E17" s="3"/>
      <c r="F17" s="3"/>
      <c r="G17" s="4"/>
      <c r="H17" s="399" t="s">
        <v>0</v>
      </c>
      <c r="I17" s="399"/>
    </row>
    <row r="18" spans="2:9" x14ac:dyDescent="0.25">
      <c r="B18" s="5" t="s">
        <v>1</v>
      </c>
      <c r="C18" s="6" t="s">
        <v>2</v>
      </c>
      <c r="D18" s="6" t="s">
        <v>3</v>
      </c>
      <c r="E18" s="7" t="s">
        <v>4</v>
      </c>
      <c r="F18" s="7" t="s">
        <v>5</v>
      </c>
      <c r="G18" s="4"/>
      <c r="H18" s="8" t="s">
        <v>6</v>
      </c>
      <c r="I18" s="9">
        <f>SUM(Tabla110345345445545647945586877869510811712713622823724627233260269297315333[Total costo])</f>
        <v>346929</v>
      </c>
    </row>
    <row r="19" spans="2:9" x14ac:dyDescent="0.25">
      <c r="B19" s="10" t="s">
        <v>929</v>
      </c>
      <c r="C19" s="11" t="s">
        <v>252</v>
      </c>
      <c r="D19" s="12">
        <v>22</v>
      </c>
      <c r="E19" s="13">
        <f>+VLOOKUP(Tabla110345345445545647945586877869510811712713622823724627233260269297315333[[#This Row],[Ingrediente]],Tabla34[#All],3,0)</f>
        <v>15769.5</v>
      </c>
      <c r="F19" s="14">
        <f>+Tabla110345345445545647945586877869510811712713622823724627233260269297315333[[#This Row],[Costo]]*Tabla110345345445545647945586877869510811712713622823724627233260269297315333[[#This Row],[Cant.]]</f>
        <v>346929</v>
      </c>
      <c r="G19" s="4"/>
      <c r="H19" s="8" t="s">
        <v>12</v>
      </c>
      <c r="I19" s="15"/>
    </row>
    <row r="20" spans="2:9" x14ac:dyDescent="0.25">
      <c r="B20" s="16"/>
      <c r="C20" s="17"/>
      <c r="D20" s="17"/>
      <c r="E20" s="18"/>
      <c r="F20" s="18">
        <f>SUBTOTAL(109,Tabla110345345445545647945586877869510811712713622823724627233260269297315333[Total costo])</f>
        <v>346929</v>
      </c>
      <c r="G20" s="4"/>
      <c r="H20" s="8" t="s">
        <v>13</v>
      </c>
      <c r="I20" s="15">
        <f>+I18+I19</f>
        <v>346929</v>
      </c>
    </row>
    <row r="21" spans="2:9" x14ac:dyDescent="0.25">
      <c r="G21" s="4"/>
      <c r="H21" s="20" t="s">
        <v>14</v>
      </c>
      <c r="I21" s="21">
        <v>620000</v>
      </c>
    </row>
    <row r="22" spans="2:9" x14ac:dyDescent="0.25">
      <c r="G22" s="4"/>
      <c r="H22" s="8" t="s">
        <v>15</v>
      </c>
      <c r="I22" s="15">
        <f>+I21/1.08*0.08</f>
        <v>45925.925925925927</v>
      </c>
    </row>
    <row r="23" spans="2:9" x14ac:dyDescent="0.25">
      <c r="G23" s="4"/>
      <c r="H23" s="8" t="s">
        <v>16</v>
      </c>
      <c r="I23" s="15">
        <f>+I21-I22</f>
        <v>574074.07407407404</v>
      </c>
    </row>
    <row r="24" spans="2:9" x14ac:dyDescent="0.25">
      <c r="G24" s="4"/>
      <c r="H24" s="8" t="s">
        <v>17</v>
      </c>
      <c r="I24" s="41">
        <f>+I20/I23</f>
        <v>0.60432793548387098</v>
      </c>
    </row>
    <row r="25" spans="2:9" x14ac:dyDescent="0.25">
      <c r="G25" s="4"/>
      <c r="H25" s="8" t="s">
        <v>18</v>
      </c>
      <c r="I25" s="42">
        <f>+I23-I20</f>
        <v>227145.07407407404</v>
      </c>
    </row>
    <row r="26" spans="2:9" x14ac:dyDescent="0.25">
      <c r="G26" s="4"/>
      <c r="H26" s="8" t="s">
        <v>19</v>
      </c>
      <c r="I26" s="43">
        <f>+I25/I20</f>
        <v>0.65473072033203927</v>
      </c>
    </row>
    <row r="28" spans="2:9" x14ac:dyDescent="0.25">
      <c r="B28" s="19" t="s">
        <v>856</v>
      </c>
      <c r="C28" s="2"/>
      <c r="D28" s="2"/>
      <c r="E28" s="3"/>
      <c r="F28" s="3"/>
      <c r="G28" s="4"/>
      <c r="H28" s="399" t="s">
        <v>0</v>
      </c>
      <c r="I28" s="399"/>
    </row>
    <row r="29" spans="2:9" x14ac:dyDescent="0.25">
      <c r="B29" s="5" t="s">
        <v>1</v>
      </c>
      <c r="C29" s="6" t="s">
        <v>2</v>
      </c>
      <c r="D29" s="6" t="s">
        <v>3</v>
      </c>
      <c r="E29" s="7" t="s">
        <v>4</v>
      </c>
      <c r="F29" s="7" t="s">
        <v>5</v>
      </c>
      <c r="G29" s="4"/>
      <c r="H29" s="8" t="s">
        <v>6</v>
      </c>
      <c r="I29" s="9">
        <f>SUM(Tabla110345345445545647945586877869510811712713622823724627233260269297315337345[Total costo])</f>
        <v>253722.99999991999</v>
      </c>
    </row>
    <row r="30" spans="2:9" x14ac:dyDescent="0.25">
      <c r="B30" s="10" t="s">
        <v>1178</v>
      </c>
      <c r="C30" s="11" t="s">
        <v>252</v>
      </c>
      <c r="D30" s="12">
        <v>22</v>
      </c>
      <c r="E30" s="13">
        <f>+VLOOKUP(Tabla110345345445545647945586877869510811712713622823724627233260269297315337345[[#This Row],[Ingrediente]],Tabla34[#All],3,0)</f>
        <v>11532.86363636</v>
      </c>
      <c r="F30" s="14">
        <f>+Tabla110345345445545647945586877869510811712713622823724627233260269297315337345[[#This Row],[Costo]]*Tabla110345345445545647945586877869510811712713622823724627233260269297315337345[[#This Row],[Cant.]]</f>
        <v>253722.99999991999</v>
      </c>
      <c r="G30" s="4"/>
      <c r="H30" s="8" t="s">
        <v>12</v>
      </c>
      <c r="I30" s="15"/>
    </row>
    <row r="31" spans="2:9" x14ac:dyDescent="0.25">
      <c r="B31" s="16"/>
      <c r="C31" s="17"/>
      <c r="D31" s="17"/>
      <c r="E31" s="18"/>
      <c r="F31" s="18">
        <f>SUBTOTAL(109,Tabla110345345445545647945586877869510811712713622823724627233260269297315337345[Total costo])</f>
        <v>253722.99999991999</v>
      </c>
      <c r="G31" s="4"/>
      <c r="H31" s="8" t="s">
        <v>13</v>
      </c>
      <c r="I31" s="15">
        <f>+I29+I30</f>
        <v>253722.99999991999</v>
      </c>
    </row>
    <row r="32" spans="2:9" x14ac:dyDescent="0.25">
      <c r="G32" s="4"/>
      <c r="H32" s="20" t="s">
        <v>14</v>
      </c>
      <c r="I32" s="21">
        <v>545000</v>
      </c>
    </row>
    <row r="33" spans="2:9" x14ac:dyDescent="0.25">
      <c r="G33" s="4"/>
      <c r="H33" s="8" t="s">
        <v>15</v>
      </c>
      <c r="I33" s="15">
        <f>+I32/1.08*0.08</f>
        <v>40370.370370370372</v>
      </c>
    </row>
    <row r="34" spans="2:9" x14ac:dyDescent="0.25">
      <c r="G34" s="4"/>
      <c r="H34" s="8" t="s">
        <v>16</v>
      </c>
      <c r="I34" s="15">
        <f>+I32-I33</f>
        <v>504629.62962962961</v>
      </c>
    </row>
    <row r="35" spans="2:9" x14ac:dyDescent="0.25">
      <c r="G35" s="4"/>
      <c r="H35" s="8" t="s">
        <v>17</v>
      </c>
      <c r="I35" s="41">
        <f>+I31/I34</f>
        <v>0.50279053210993319</v>
      </c>
    </row>
    <row r="36" spans="2:9" x14ac:dyDescent="0.25">
      <c r="G36" s="4"/>
      <c r="H36" s="8" t="s">
        <v>18</v>
      </c>
      <c r="I36" s="42">
        <f>+I34-I31</f>
        <v>250906.62962970961</v>
      </c>
    </row>
    <row r="37" spans="2:9" x14ac:dyDescent="0.25">
      <c r="G37" s="4"/>
      <c r="H37" s="8" t="s">
        <v>19</v>
      </c>
      <c r="I37" s="43">
        <f>+I36/I31</f>
        <v>0.9888998223645028</v>
      </c>
    </row>
    <row r="41" spans="2:9" x14ac:dyDescent="0.25">
      <c r="B41" s="19" t="s">
        <v>359</v>
      </c>
      <c r="C41" s="2"/>
      <c r="D41" s="2"/>
      <c r="E41" s="3"/>
      <c r="F41" s="3"/>
      <c r="G41" s="4"/>
      <c r="H41" s="399" t="s">
        <v>0</v>
      </c>
      <c r="I41" s="399"/>
    </row>
    <row r="42" spans="2:9" x14ac:dyDescent="0.25">
      <c r="B42" s="5" t="s">
        <v>1</v>
      </c>
      <c r="C42" s="6" t="s">
        <v>2</v>
      </c>
      <c r="D42" s="6" t="s">
        <v>3</v>
      </c>
      <c r="E42" s="7" t="s">
        <v>4</v>
      </c>
      <c r="F42" s="7" t="s">
        <v>5</v>
      </c>
      <c r="G42" s="4"/>
      <c r="H42" s="8" t="s">
        <v>6</v>
      </c>
      <c r="I42" s="9">
        <f>SUM(Tabla110345345445545647945586877869510811712713622823724627233260269297315335[Total costo])</f>
        <v>203896</v>
      </c>
    </row>
    <row r="43" spans="2:9" x14ac:dyDescent="0.25">
      <c r="B43" s="10" t="s">
        <v>310</v>
      </c>
      <c r="C43" s="11" t="s">
        <v>252</v>
      </c>
      <c r="D43" s="12">
        <v>22</v>
      </c>
      <c r="E43" s="13">
        <f>+VLOOKUP(Tabla110345345445545647945586877869510811712713622823724627233260269297315335[[#This Row],[Ingrediente]],Tabla34[#All],3,0)</f>
        <v>9268</v>
      </c>
      <c r="F43" s="14">
        <f>+Tabla110345345445545647945586877869510811712713622823724627233260269297315335[[#This Row],[Costo]]*Tabla110345345445545647945586877869510811712713622823724627233260269297315335[[#This Row],[Cant.]]</f>
        <v>203896</v>
      </c>
      <c r="G43" s="4"/>
      <c r="H43" s="8" t="s">
        <v>12</v>
      </c>
      <c r="I43" s="15"/>
    </row>
    <row r="44" spans="2:9" x14ac:dyDescent="0.25">
      <c r="B44" s="16"/>
      <c r="C44" s="17"/>
      <c r="D44" s="17"/>
      <c r="E44" s="18"/>
      <c r="F44" s="18">
        <f>SUBTOTAL(109,Tabla110345345445545647945586877869510811712713622823724627233260269297315335[Total costo])</f>
        <v>203896</v>
      </c>
      <c r="G44" s="4"/>
      <c r="H44" s="8" t="s">
        <v>13</v>
      </c>
      <c r="I44" s="15">
        <f>+I42+I43</f>
        <v>203896</v>
      </c>
    </row>
    <row r="45" spans="2:9" x14ac:dyDescent="0.25">
      <c r="G45" s="4"/>
      <c r="H45" s="20" t="s">
        <v>14</v>
      </c>
      <c r="I45" s="21">
        <v>455000</v>
      </c>
    </row>
    <row r="46" spans="2:9" x14ac:dyDescent="0.25">
      <c r="G46" s="4"/>
      <c r="H46" s="8" t="s">
        <v>15</v>
      </c>
      <c r="I46" s="15">
        <f>+I45/1.08*0.08</f>
        <v>33703.703703703701</v>
      </c>
    </row>
    <row r="47" spans="2:9" x14ac:dyDescent="0.25">
      <c r="G47" s="4"/>
      <c r="H47" s="8" t="s">
        <v>16</v>
      </c>
      <c r="I47" s="15">
        <f>+I45-I46</f>
        <v>421296.29629629629</v>
      </c>
    </row>
    <row r="48" spans="2:9" x14ac:dyDescent="0.25">
      <c r="G48" s="4"/>
      <c r="H48" s="8" t="s">
        <v>17</v>
      </c>
      <c r="I48" s="41">
        <f>+I44/I47</f>
        <v>0.48397292307692308</v>
      </c>
    </row>
    <row r="49" spans="2:9" x14ac:dyDescent="0.25">
      <c r="G49" s="4"/>
      <c r="H49" s="8" t="s">
        <v>18</v>
      </c>
      <c r="I49" s="42">
        <f>+I47-I44</f>
        <v>217400.29629629629</v>
      </c>
    </row>
    <row r="50" spans="2:9" x14ac:dyDescent="0.25">
      <c r="G50" s="4"/>
      <c r="H50" s="8" t="s">
        <v>19</v>
      </c>
      <c r="I50" s="43">
        <f>+I49/I44</f>
        <v>1.0662312958385465</v>
      </c>
    </row>
    <row r="53" spans="2:9" x14ac:dyDescent="0.25">
      <c r="B53" s="1" t="s">
        <v>364</v>
      </c>
      <c r="C53" s="2"/>
      <c r="D53" s="2"/>
      <c r="E53" s="3"/>
      <c r="F53" s="3"/>
      <c r="G53" s="4"/>
      <c r="H53" s="399" t="s">
        <v>0</v>
      </c>
      <c r="I53" s="399"/>
    </row>
    <row r="54" spans="2:9" x14ac:dyDescent="0.25">
      <c r="B54" s="5" t="s">
        <v>1</v>
      </c>
      <c r="C54" s="6" t="s">
        <v>2</v>
      </c>
      <c r="D54" s="6" t="s">
        <v>3</v>
      </c>
      <c r="E54" s="7" t="s">
        <v>4</v>
      </c>
      <c r="F54" s="7" t="s">
        <v>5</v>
      </c>
      <c r="G54" s="4"/>
      <c r="H54" s="8" t="s">
        <v>6</v>
      </c>
      <c r="I54" s="9">
        <f>SUM(Tabla110345345445545647945586877869510811712713622823724627233260269297315337[Total costo])</f>
        <v>207306</v>
      </c>
    </row>
    <row r="55" spans="2:9" x14ac:dyDescent="0.25">
      <c r="B55" s="10" t="s">
        <v>766</v>
      </c>
      <c r="C55" s="11" t="s">
        <v>252</v>
      </c>
      <c r="D55" s="12">
        <v>22</v>
      </c>
      <c r="E55" s="13">
        <f>+VLOOKUP(Tabla110345345445545647945586877869510811712713622823724627233260269297315337[[#This Row],[Ingrediente]],Tabla34[#All],3,0)</f>
        <v>9423</v>
      </c>
      <c r="F55" s="14">
        <f>+Tabla110345345445545647945586877869510811712713622823724627233260269297315337[[#This Row],[Costo]]*Tabla110345345445545647945586877869510811712713622823724627233260269297315337[[#This Row],[Cant.]]</f>
        <v>207306</v>
      </c>
      <c r="G55" s="4"/>
      <c r="H55" s="8" t="s">
        <v>12</v>
      </c>
      <c r="I55" s="15"/>
    </row>
    <row r="56" spans="2:9" x14ac:dyDescent="0.25">
      <c r="B56" s="16"/>
      <c r="C56" s="17"/>
      <c r="D56" s="17"/>
      <c r="E56" s="18"/>
      <c r="F56" s="18">
        <f>SUBTOTAL(109,Tabla110345345445545647945586877869510811712713622823724627233260269297315337[Total costo])</f>
        <v>207306</v>
      </c>
      <c r="G56" s="4"/>
      <c r="H56" s="8" t="s">
        <v>13</v>
      </c>
      <c r="I56" s="15">
        <f>+I54+I55</f>
        <v>207306</v>
      </c>
    </row>
    <row r="57" spans="2:9" x14ac:dyDescent="0.25">
      <c r="G57" s="4"/>
      <c r="H57" s="20" t="s">
        <v>14</v>
      </c>
      <c r="I57" s="21">
        <v>480000</v>
      </c>
    </row>
    <row r="58" spans="2:9" x14ac:dyDescent="0.25">
      <c r="G58" s="4"/>
      <c r="H58" s="8" t="s">
        <v>15</v>
      </c>
      <c r="I58" s="15">
        <f>+I57/1.08*0.08</f>
        <v>35555.555555555555</v>
      </c>
    </row>
    <row r="59" spans="2:9" x14ac:dyDescent="0.25">
      <c r="G59" s="4"/>
      <c r="H59" s="8" t="s">
        <v>16</v>
      </c>
      <c r="I59" s="15">
        <f>+I57-I58</f>
        <v>444444.44444444444</v>
      </c>
    </row>
    <row r="60" spans="2:9" x14ac:dyDescent="0.25">
      <c r="G60" s="4"/>
      <c r="H60" s="8" t="s">
        <v>17</v>
      </c>
      <c r="I60" s="41">
        <f>+I56/I59</f>
        <v>0.46643850000000003</v>
      </c>
    </row>
    <row r="61" spans="2:9" x14ac:dyDescent="0.25">
      <c r="G61" s="4"/>
      <c r="H61" s="8" t="s">
        <v>18</v>
      </c>
      <c r="I61" s="42">
        <f>+I59-I56</f>
        <v>237138.44444444444</v>
      </c>
    </row>
    <row r="62" spans="2:9" x14ac:dyDescent="0.25">
      <c r="G62" s="4"/>
      <c r="H62" s="8" t="s">
        <v>19</v>
      </c>
      <c r="I62" s="43">
        <f>+I61/I56</f>
        <v>1.1439053594418127</v>
      </c>
    </row>
    <row r="64" spans="2:9" x14ac:dyDescent="0.25">
      <c r="B64" s="19" t="s">
        <v>366</v>
      </c>
      <c r="C64" s="2"/>
      <c r="D64" s="2"/>
      <c r="E64" s="3"/>
      <c r="F64" s="3"/>
      <c r="G64" s="4"/>
      <c r="H64" s="399" t="s">
        <v>0</v>
      </c>
      <c r="I64" s="399"/>
    </row>
    <row r="65" spans="2:9" x14ac:dyDescent="0.25">
      <c r="B65" s="5" t="s">
        <v>1</v>
      </c>
      <c r="C65" s="6" t="s">
        <v>2</v>
      </c>
      <c r="D65" s="6" t="s">
        <v>3</v>
      </c>
      <c r="E65" s="7" t="s">
        <v>4</v>
      </c>
      <c r="F65" s="7" t="s">
        <v>5</v>
      </c>
      <c r="G65" s="4"/>
      <c r="H65" s="8" t="s">
        <v>6</v>
      </c>
      <c r="I65" s="9">
        <f>SUM(Tabla110345345445545647945586877869510811712713622823724627233260269297315339[Total costo])</f>
        <v>207304.16666674</v>
      </c>
    </row>
    <row r="66" spans="2:9" x14ac:dyDescent="0.25">
      <c r="B66" s="10" t="s">
        <v>774</v>
      </c>
      <c r="C66" s="11" t="s">
        <v>252</v>
      </c>
      <c r="D66" s="12">
        <v>22</v>
      </c>
      <c r="E66" s="13">
        <f>+VLOOKUP(Tabla110345345445545647945586877869510811712713622823724627233260269297315339[[#This Row],[Ingrediente]],Tabla34[#All],3,0)</f>
        <v>9422.9166666700003</v>
      </c>
      <c r="F66" s="14">
        <f>+Tabla110345345445545647945586877869510811712713622823724627233260269297315339[[#This Row],[Costo]]*Tabla110345345445545647945586877869510811712713622823724627233260269297315339[[#This Row],[Cant.]]</f>
        <v>207304.16666674</v>
      </c>
      <c r="G66" s="4"/>
      <c r="H66" s="8" t="s">
        <v>12</v>
      </c>
      <c r="I66" s="15"/>
    </row>
    <row r="67" spans="2:9" x14ac:dyDescent="0.25">
      <c r="B67" s="16"/>
      <c r="C67" s="17"/>
      <c r="D67" s="17"/>
      <c r="E67" s="18"/>
      <c r="F67" s="18">
        <f>SUBTOTAL(109,Tabla110345345445545647945586877869510811712713622823724627233260269297315339[Total costo])</f>
        <v>207304.16666674</v>
      </c>
      <c r="G67" s="4"/>
      <c r="H67" s="8" t="s">
        <v>13</v>
      </c>
      <c r="I67" s="15">
        <f>+I65+I66</f>
        <v>207304.16666674</v>
      </c>
    </row>
    <row r="68" spans="2:9" x14ac:dyDescent="0.25">
      <c r="G68" s="4"/>
      <c r="H68" s="20" t="s">
        <v>14</v>
      </c>
      <c r="I68" s="21">
        <v>455000</v>
      </c>
    </row>
    <row r="69" spans="2:9" x14ac:dyDescent="0.25">
      <c r="G69" s="4"/>
      <c r="H69" s="8" t="s">
        <v>15</v>
      </c>
      <c r="I69" s="15">
        <f>+I68/1.08*0.08</f>
        <v>33703.703703703701</v>
      </c>
    </row>
    <row r="70" spans="2:9" x14ac:dyDescent="0.25">
      <c r="G70" s="4"/>
      <c r="H70" s="8" t="s">
        <v>16</v>
      </c>
      <c r="I70" s="15">
        <f>+I68-I69</f>
        <v>421296.29629629629</v>
      </c>
    </row>
    <row r="71" spans="2:9" x14ac:dyDescent="0.25">
      <c r="G71" s="4"/>
      <c r="H71" s="8" t="s">
        <v>17</v>
      </c>
      <c r="I71" s="41">
        <f>+I67/I70</f>
        <v>0.49206263736281142</v>
      </c>
    </row>
    <row r="72" spans="2:9" x14ac:dyDescent="0.25">
      <c r="G72" s="4"/>
      <c r="H72" s="8" t="s">
        <v>18</v>
      </c>
      <c r="I72" s="42">
        <f>+I70-I67</f>
        <v>213992.12962955629</v>
      </c>
    </row>
    <row r="73" spans="2:9" x14ac:dyDescent="0.25">
      <c r="G73" s="4"/>
      <c r="H73" s="8" t="s">
        <v>19</v>
      </c>
      <c r="I73" s="43">
        <f>+I72/I67</f>
        <v>1.0322615944983287</v>
      </c>
    </row>
    <row r="76" spans="2:9" x14ac:dyDescent="0.25">
      <c r="B76" s="19" t="s">
        <v>368</v>
      </c>
      <c r="C76" s="2"/>
      <c r="D76" s="2"/>
      <c r="E76" s="3"/>
      <c r="F76" s="3"/>
      <c r="G76" s="4"/>
      <c r="H76" s="399" t="s">
        <v>0</v>
      </c>
      <c r="I76" s="399"/>
    </row>
    <row r="77" spans="2:9" x14ac:dyDescent="0.25">
      <c r="B77" s="5" t="s">
        <v>1</v>
      </c>
      <c r="C77" s="6" t="s">
        <v>2</v>
      </c>
      <c r="D77" s="6" t="s">
        <v>3</v>
      </c>
      <c r="E77" s="7" t="s">
        <v>4</v>
      </c>
      <c r="F77" s="7" t="s">
        <v>5</v>
      </c>
      <c r="G77" s="4"/>
      <c r="H77" s="8" t="s">
        <v>6</v>
      </c>
      <c r="I77" s="9">
        <f>SUM(Tabla110345345445545647945586877869510811712713622823724627233260269297315341[Total costo])</f>
        <v>282333.33333325997</v>
      </c>
    </row>
    <row r="78" spans="2:9" x14ac:dyDescent="0.25">
      <c r="B78" s="10" t="s">
        <v>756</v>
      </c>
      <c r="C78" s="11" t="s">
        <v>252</v>
      </c>
      <c r="D78" s="12">
        <v>22</v>
      </c>
      <c r="E78" s="13">
        <f>+VLOOKUP(Tabla110345345445545647945586877869510811712713622823724627233260269297315341[[#This Row],[Ingrediente]],Tabla34[#All],3,0)</f>
        <v>12833.33333333</v>
      </c>
      <c r="F78" s="14">
        <f>+Tabla110345345445545647945586877869510811712713622823724627233260269297315341[[#This Row],[Costo]]*Tabla110345345445545647945586877869510811712713622823724627233260269297315341[[#This Row],[Cant.]]</f>
        <v>282333.33333325997</v>
      </c>
      <c r="G78" s="4"/>
      <c r="H78" s="8" t="s">
        <v>12</v>
      </c>
      <c r="I78" s="15"/>
    </row>
    <row r="79" spans="2:9" x14ac:dyDescent="0.25">
      <c r="B79" s="16"/>
      <c r="C79" s="17"/>
      <c r="D79" s="17"/>
      <c r="E79" s="18"/>
      <c r="F79" s="18">
        <f>SUBTOTAL(109,Tabla110345345445545647945586877869510811712713622823724627233260269297315341[Total costo])</f>
        <v>282333.33333325997</v>
      </c>
      <c r="G79" s="4"/>
      <c r="H79" s="8" t="s">
        <v>13</v>
      </c>
      <c r="I79" s="15">
        <f>+I77+I78</f>
        <v>282333.33333325997</v>
      </c>
    </row>
    <row r="80" spans="2:9" x14ac:dyDescent="0.25">
      <c r="G80" s="4"/>
      <c r="H80" s="20" t="s">
        <v>14</v>
      </c>
      <c r="I80" s="21">
        <v>623000</v>
      </c>
    </row>
    <row r="81" spans="2:9" x14ac:dyDescent="0.25">
      <c r="G81" s="4"/>
      <c r="H81" s="8" t="s">
        <v>15</v>
      </c>
      <c r="I81" s="15">
        <f>+I80/1.08*0.08</f>
        <v>46148.148148148146</v>
      </c>
    </row>
    <row r="82" spans="2:9" x14ac:dyDescent="0.25">
      <c r="G82" s="4"/>
      <c r="H82" s="8" t="s">
        <v>16</v>
      </c>
      <c r="I82" s="15">
        <f>+I80-I81</f>
        <v>576851.85185185191</v>
      </c>
    </row>
    <row r="83" spans="2:9" x14ac:dyDescent="0.25">
      <c r="G83" s="4"/>
      <c r="H83" s="8" t="s">
        <v>17</v>
      </c>
      <c r="I83" s="41">
        <f>+I79/I82</f>
        <v>0.4894382022470638</v>
      </c>
    </row>
    <row r="84" spans="2:9" x14ac:dyDescent="0.25">
      <c r="G84" s="4"/>
      <c r="H84" s="8" t="s">
        <v>18</v>
      </c>
      <c r="I84" s="42">
        <f>+I82-I79</f>
        <v>294518.51851859194</v>
      </c>
    </row>
    <row r="85" spans="2:9" x14ac:dyDescent="0.25">
      <c r="G85" s="4"/>
      <c r="H85" s="8" t="s">
        <v>19</v>
      </c>
      <c r="I85" s="43">
        <f>+I84/I79</f>
        <v>1.0431588613412106</v>
      </c>
    </row>
    <row r="89" spans="2:9" x14ac:dyDescent="0.25">
      <c r="B89" s="19" t="s">
        <v>1146</v>
      </c>
      <c r="C89" s="2"/>
      <c r="D89" s="2"/>
      <c r="E89" s="3"/>
      <c r="F89" s="3"/>
      <c r="G89" s="4"/>
      <c r="H89" s="399" t="s">
        <v>0</v>
      </c>
      <c r="I89" s="399"/>
    </row>
    <row r="90" spans="2:9" x14ac:dyDescent="0.25">
      <c r="B90" s="5" t="s">
        <v>1</v>
      </c>
      <c r="C90" s="6" t="s">
        <v>2</v>
      </c>
      <c r="D90" s="6" t="s">
        <v>3</v>
      </c>
      <c r="E90" s="7" t="s">
        <v>4</v>
      </c>
      <c r="F90" s="7" t="s">
        <v>5</v>
      </c>
      <c r="G90" s="4"/>
      <c r="H90" s="8" t="s">
        <v>6</v>
      </c>
      <c r="I90" s="9">
        <f>SUM(Tabla110345345445545647945586877869510811712713622823724627233260269297315343127[Total costo])</f>
        <v>195235.00000003999</v>
      </c>
    </row>
    <row r="91" spans="2:9" x14ac:dyDescent="0.25">
      <c r="B91" s="10" t="s">
        <v>1251</v>
      </c>
      <c r="C91" s="11" t="s">
        <v>252</v>
      </c>
      <c r="D91" s="12">
        <v>22</v>
      </c>
      <c r="E91" s="13">
        <f>+VLOOKUP(Tabla110345345445545647945586877869510811712713622823724627233260269297315343127[[#This Row],[Ingrediente]],Tabla34[#All],3,0)</f>
        <v>8874.3181818199992</v>
      </c>
      <c r="F91" s="14">
        <f>+Tabla110345345445545647945586877869510811712713622823724627233260269297315343127[[#This Row],[Costo]]*Tabla110345345445545647945586877869510811712713622823724627233260269297315343127[[#This Row],[Cant.]]</f>
        <v>195235.00000003999</v>
      </c>
      <c r="G91" s="4"/>
      <c r="H91" s="8" t="s">
        <v>12</v>
      </c>
      <c r="I91" s="15"/>
    </row>
    <row r="92" spans="2:9" x14ac:dyDescent="0.25">
      <c r="B92" s="16"/>
      <c r="C92" s="17"/>
      <c r="D92" s="17"/>
      <c r="E92" s="18"/>
      <c r="F92" s="18">
        <f>SUBTOTAL(109,Tabla110345345445545647945586877869510811712713622823724627233260269297315343127[Total costo])</f>
        <v>195235.00000003999</v>
      </c>
      <c r="G92" s="4"/>
      <c r="H92" s="8" t="s">
        <v>13</v>
      </c>
      <c r="I92" s="15">
        <f>+I90+I91</f>
        <v>195235.00000003999</v>
      </c>
    </row>
    <row r="93" spans="2:9" x14ac:dyDescent="0.25">
      <c r="G93" s="4"/>
      <c r="H93" s="20" t="s">
        <v>14</v>
      </c>
      <c r="I93" s="21">
        <v>623000</v>
      </c>
    </row>
    <row r="94" spans="2:9" x14ac:dyDescent="0.25">
      <c r="G94" s="4"/>
      <c r="H94" s="8" t="s">
        <v>15</v>
      </c>
      <c r="I94" s="15">
        <f>+I93/1.08*0.08</f>
        <v>46148.148148148146</v>
      </c>
    </row>
    <row r="95" spans="2:9" x14ac:dyDescent="0.25">
      <c r="G95" s="4"/>
      <c r="H95" s="8" t="s">
        <v>16</v>
      </c>
      <c r="I95" s="15">
        <f>+I93-I94</f>
        <v>576851.85185185191</v>
      </c>
    </row>
    <row r="96" spans="2:9" x14ac:dyDescent="0.25">
      <c r="G96" s="4"/>
      <c r="H96" s="8" t="s">
        <v>17</v>
      </c>
      <c r="I96" s="41">
        <f>+I92/I95</f>
        <v>0.33844911717502918</v>
      </c>
    </row>
    <row r="97" spans="2:9" x14ac:dyDescent="0.25">
      <c r="G97" s="4"/>
      <c r="H97" s="8" t="s">
        <v>18</v>
      </c>
      <c r="I97" s="42">
        <f>+I95-I92</f>
        <v>381616.85185181192</v>
      </c>
    </row>
    <row r="98" spans="2:9" x14ac:dyDescent="0.25">
      <c r="G98" s="4"/>
      <c r="H98" s="8" t="s">
        <v>19</v>
      </c>
      <c r="I98" s="43">
        <f>+I97/I92</f>
        <v>1.9546538881436923</v>
      </c>
    </row>
    <row r="104" spans="2:9" x14ac:dyDescent="0.25">
      <c r="B104" s="19" t="s">
        <v>1147</v>
      </c>
      <c r="C104" s="2"/>
      <c r="D104" s="2"/>
      <c r="E104" s="3"/>
      <c r="F104" s="3"/>
      <c r="G104" s="4"/>
      <c r="H104" s="399" t="s">
        <v>0</v>
      </c>
      <c r="I104" s="399"/>
    </row>
    <row r="105" spans="2:9" x14ac:dyDescent="0.25">
      <c r="B105" s="5" t="s">
        <v>1</v>
      </c>
      <c r="C105" s="6" t="s">
        <v>2</v>
      </c>
      <c r="D105" s="6" t="s">
        <v>3</v>
      </c>
      <c r="E105" s="7" t="s">
        <v>4</v>
      </c>
      <c r="F105" s="7" t="s">
        <v>5</v>
      </c>
      <c r="G105" s="4"/>
      <c r="H105" s="8" t="s">
        <v>6</v>
      </c>
      <c r="I105" s="9">
        <f>SUM(Tabla110345345445545647945586877869510811712713622823724627233260269297315343127146[Total costo])</f>
        <v>201968.6</v>
      </c>
    </row>
    <row r="106" spans="2:9" x14ac:dyDescent="0.25">
      <c r="B106" s="10" t="s">
        <v>1138</v>
      </c>
      <c r="C106" s="11" t="s">
        <v>252</v>
      </c>
      <c r="D106" s="12">
        <v>22</v>
      </c>
      <c r="E106" s="13">
        <f>+VLOOKUP(Tabla110345345445545647945586877869510811712713622823724627233260269297315343127146[[#This Row],[Ingrediente]],Tabla34[#All],3,0)</f>
        <v>9180.3909090909092</v>
      </c>
      <c r="F106" s="14">
        <f>+Tabla110345345445545647945586877869510811712713622823724627233260269297315343127146[[#This Row],[Costo]]*Tabla110345345445545647945586877869510811712713622823724627233260269297315343127146[[#This Row],[Cant.]]</f>
        <v>201968.6</v>
      </c>
      <c r="G106" s="4"/>
      <c r="H106" s="8" t="s">
        <v>12</v>
      </c>
      <c r="I106" s="15"/>
    </row>
    <row r="107" spans="2:9" x14ac:dyDescent="0.25">
      <c r="B107" s="16"/>
      <c r="C107" s="17"/>
      <c r="D107" s="17"/>
      <c r="E107" s="18"/>
      <c r="F107" s="18">
        <f>SUBTOTAL(109,Tabla110345345445545647945586877869510811712713622823724627233260269297315343127146[Total costo])</f>
        <v>201968.6</v>
      </c>
      <c r="G107" s="4"/>
      <c r="H107" s="8" t="s">
        <v>13</v>
      </c>
      <c r="I107" s="15">
        <f>+I105+I106</f>
        <v>201968.6</v>
      </c>
    </row>
    <row r="108" spans="2:9" x14ac:dyDescent="0.25">
      <c r="G108" s="4"/>
      <c r="H108" s="20" t="s">
        <v>14</v>
      </c>
      <c r="I108" s="21">
        <v>623000</v>
      </c>
    </row>
    <row r="109" spans="2:9" x14ac:dyDescent="0.25">
      <c r="G109" s="4"/>
      <c r="H109" s="8" t="s">
        <v>15</v>
      </c>
      <c r="I109" s="15">
        <f>+I108/1.08*0.08</f>
        <v>46148.148148148146</v>
      </c>
    </row>
    <row r="110" spans="2:9" x14ac:dyDescent="0.25">
      <c r="G110" s="4"/>
      <c r="H110" s="8" t="s">
        <v>16</v>
      </c>
      <c r="I110" s="15">
        <f>+I108-I109</f>
        <v>576851.85185185191</v>
      </c>
    </row>
    <row r="111" spans="2:9" x14ac:dyDescent="0.25">
      <c r="G111" s="4"/>
      <c r="H111" s="8" t="s">
        <v>17</v>
      </c>
      <c r="I111" s="41">
        <f>+I107/I110</f>
        <v>0.35012213162118777</v>
      </c>
    </row>
    <row r="112" spans="2:9" x14ac:dyDescent="0.25">
      <c r="G112" s="4"/>
      <c r="H112" s="8" t="s">
        <v>18</v>
      </c>
      <c r="I112" s="42">
        <f>+I110-I107</f>
        <v>374883.25185185194</v>
      </c>
    </row>
    <row r="113" spans="2:9" x14ac:dyDescent="0.25">
      <c r="G113" s="4"/>
      <c r="H113" s="8" t="s">
        <v>19</v>
      </c>
      <c r="I113" s="43">
        <f>+I112/I107</f>
        <v>1.8561462120936221</v>
      </c>
    </row>
    <row r="118" spans="2:9" x14ac:dyDescent="0.25">
      <c r="B118" s="19" t="s">
        <v>1149</v>
      </c>
      <c r="C118" s="2"/>
      <c r="D118" s="2"/>
      <c r="E118" s="3"/>
      <c r="F118" s="3"/>
      <c r="G118" s="4"/>
      <c r="H118" s="399" t="s">
        <v>0</v>
      </c>
      <c r="I118" s="399"/>
    </row>
    <row r="119" spans="2:9" x14ac:dyDescent="0.25">
      <c r="B119" s="5" t="s">
        <v>1</v>
      </c>
      <c r="C119" s="6" t="s">
        <v>2</v>
      </c>
      <c r="D119" s="6" t="s">
        <v>3</v>
      </c>
      <c r="E119" s="7" t="s">
        <v>4</v>
      </c>
      <c r="F119" s="7" t="s">
        <v>5</v>
      </c>
      <c r="G119" s="4"/>
      <c r="H119" s="8" t="s">
        <v>6</v>
      </c>
      <c r="I119" s="9">
        <f>SUM(Tabla110345345445545647945586877869510811712713622823724627233260269297315343127146150[Total costo])</f>
        <v>314466.00000001997</v>
      </c>
    </row>
    <row r="120" spans="2:9" x14ac:dyDescent="0.25">
      <c r="B120" s="10" t="s">
        <v>1139</v>
      </c>
      <c r="C120" s="11" t="s">
        <v>252</v>
      </c>
      <c r="D120" s="12">
        <v>22</v>
      </c>
      <c r="E120" s="13">
        <f>+VLOOKUP(Tabla110345345445545647945586877869510811712713622823724627233260269297315343127146150[[#This Row],[Ingrediente]],Tabla34[#All],3,0)</f>
        <v>14293.90909091</v>
      </c>
      <c r="F120" s="14">
        <f>+Tabla110345345445545647945586877869510811712713622823724627233260269297315343127146150[[#This Row],[Costo]]*Tabla110345345445545647945586877869510811712713622823724627233260269297315343127146150[[#This Row],[Cant.]]</f>
        <v>314466.00000001997</v>
      </c>
      <c r="G120" s="4"/>
      <c r="H120" s="8" t="s">
        <v>12</v>
      </c>
      <c r="I120" s="15"/>
    </row>
    <row r="121" spans="2:9" x14ac:dyDescent="0.25">
      <c r="B121" s="16"/>
      <c r="C121" s="17"/>
      <c r="D121" s="17"/>
      <c r="E121" s="18"/>
      <c r="F121" s="18">
        <f>SUBTOTAL(109,Tabla110345345445545647945586877869510811712713622823724627233260269297315343127146150[Total costo])</f>
        <v>314466.00000001997</v>
      </c>
      <c r="G121" s="4"/>
      <c r="H121" s="8" t="s">
        <v>13</v>
      </c>
      <c r="I121" s="15">
        <f>+I119+I120</f>
        <v>314466.00000001997</v>
      </c>
    </row>
    <row r="122" spans="2:9" x14ac:dyDescent="0.25">
      <c r="G122" s="4"/>
      <c r="H122" s="20" t="s">
        <v>14</v>
      </c>
      <c r="I122" s="21">
        <v>623000</v>
      </c>
    </row>
    <row r="123" spans="2:9" x14ac:dyDescent="0.25">
      <c r="G123" s="4"/>
      <c r="H123" s="8" t="s">
        <v>15</v>
      </c>
      <c r="I123" s="15">
        <f>+I122/1.08*0.08</f>
        <v>46148.148148148146</v>
      </c>
    </row>
    <row r="124" spans="2:9" x14ac:dyDescent="0.25">
      <c r="G124" s="4"/>
      <c r="H124" s="8" t="s">
        <v>16</v>
      </c>
      <c r="I124" s="15">
        <f>+I122-I123</f>
        <v>576851.85185185191</v>
      </c>
    </row>
    <row r="125" spans="2:9" x14ac:dyDescent="0.25">
      <c r="G125" s="4"/>
      <c r="H125" s="8" t="s">
        <v>17</v>
      </c>
      <c r="I125" s="41">
        <f>+I121/I124</f>
        <v>0.54514170144465735</v>
      </c>
    </row>
    <row r="126" spans="2:9" x14ac:dyDescent="0.25">
      <c r="G126" s="4"/>
      <c r="H126" s="8" t="s">
        <v>18</v>
      </c>
      <c r="I126" s="42">
        <f>+I124-I121</f>
        <v>262385.85185183195</v>
      </c>
    </row>
    <row r="127" spans="2:9" x14ac:dyDescent="0.25">
      <c r="G127" s="4"/>
      <c r="H127" s="8" t="s">
        <v>19</v>
      </c>
      <c r="I127" s="43">
        <f>+I126/I121</f>
        <v>0.83438544024414496</v>
      </c>
    </row>
    <row r="131" spans="2:9" x14ac:dyDescent="0.25">
      <c r="B131" s="19" t="s">
        <v>358</v>
      </c>
      <c r="C131" s="2"/>
      <c r="D131" s="2"/>
      <c r="E131" s="3"/>
      <c r="F131" s="3"/>
      <c r="G131" s="4"/>
      <c r="H131" s="399" t="s">
        <v>0</v>
      </c>
      <c r="I131" s="399"/>
    </row>
    <row r="132" spans="2:9" x14ac:dyDescent="0.25">
      <c r="B132" s="5" t="s">
        <v>1</v>
      </c>
      <c r="C132" s="6" t="s">
        <v>2</v>
      </c>
      <c r="D132" s="6" t="s">
        <v>3</v>
      </c>
      <c r="E132" s="7" t="s">
        <v>4</v>
      </c>
      <c r="F132" s="7" t="s">
        <v>5</v>
      </c>
      <c r="G132" s="4"/>
      <c r="H132" s="8" t="s">
        <v>6</v>
      </c>
      <c r="I132" s="9">
        <f>SUM(Tabla110345345445545647945586877869510811712713622823724627233260269297315332199[Total costo])</f>
        <v>23065.72727272</v>
      </c>
    </row>
    <row r="133" spans="2:9" x14ac:dyDescent="0.25">
      <c r="B133" s="10" t="s">
        <v>767</v>
      </c>
      <c r="C133" s="11" t="s">
        <v>252</v>
      </c>
      <c r="D133" s="12">
        <v>2</v>
      </c>
      <c r="E133" s="13">
        <f>+VLOOKUP(Tabla110345345445545647945586877869510811712713622823724627233260269297315332199[[#This Row],[Ingrediente]],Tabla34[#All],3,0)</f>
        <v>11532.86363636</v>
      </c>
      <c r="F133" s="14">
        <f>+Tabla110345345445545647945586877869510811712713622823724627233260269297315332199[[#This Row],[Costo]]*Tabla110345345445545647945586877869510811712713622823724627233260269297315332199[[#This Row],[Cant.]]</f>
        <v>23065.72727272</v>
      </c>
      <c r="G133" s="4"/>
      <c r="H133" s="8" t="s">
        <v>12</v>
      </c>
      <c r="I133" s="15">
        <f>+I132*5%</f>
        <v>1153.286363636</v>
      </c>
    </row>
    <row r="134" spans="2:9" x14ac:dyDescent="0.25">
      <c r="B134" s="16"/>
      <c r="C134" s="17"/>
      <c r="D134" s="17"/>
      <c r="E134" s="18"/>
      <c r="F134" s="18">
        <f>SUBTOTAL(109,Tabla110345345445545647945586877869510811712713622823724627233260269297315332199[Total costo])</f>
        <v>23065.72727272</v>
      </c>
      <c r="G134" s="4"/>
      <c r="H134" s="8" t="s">
        <v>13</v>
      </c>
      <c r="I134" s="15">
        <f>+I132+I133</f>
        <v>24219.013636356001</v>
      </c>
    </row>
    <row r="135" spans="2:9" x14ac:dyDescent="0.25">
      <c r="G135" s="4"/>
      <c r="H135" s="20" t="s">
        <v>14</v>
      </c>
      <c r="I135" s="21">
        <v>60000</v>
      </c>
    </row>
    <row r="136" spans="2:9" x14ac:dyDescent="0.25">
      <c r="G136" s="4"/>
      <c r="H136" s="8" t="s">
        <v>15</v>
      </c>
      <c r="I136" s="15">
        <f>+I135/1.08*0.08</f>
        <v>4444.4444444444443</v>
      </c>
    </row>
    <row r="137" spans="2:9" x14ac:dyDescent="0.25">
      <c r="G137" s="4"/>
      <c r="H137" s="8" t="s">
        <v>16</v>
      </c>
      <c r="I137" s="15">
        <f>+I135-I136</f>
        <v>55555.555555555555</v>
      </c>
    </row>
    <row r="138" spans="2:9" x14ac:dyDescent="0.25">
      <c r="G138" s="4"/>
      <c r="H138" s="8" t="s">
        <v>17</v>
      </c>
      <c r="I138" s="41">
        <f>+I134/I137</f>
        <v>0.43594224545440802</v>
      </c>
    </row>
    <row r="139" spans="2:9" x14ac:dyDescent="0.25">
      <c r="G139" s="4"/>
      <c r="H139" s="8" t="s">
        <v>18</v>
      </c>
      <c r="I139" s="42">
        <f>+I137-I134</f>
        <v>31336.541919199553</v>
      </c>
    </row>
    <row r="140" spans="2:9" x14ac:dyDescent="0.25">
      <c r="G140" s="4"/>
      <c r="H140" s="8" t="s">
        <v>19</v>
      </c>
      <c r="I140" s="43">
        <f>+I139/I134</f>
        <v>1.2938818396864513</v>
      </c>
    </row>
    <row r="142" spans="2:9" x14ac:dyDescent="0.25">
      <c r="B142" s="19" t="s">
        <v>362</v>
      </c>
      <c r="C142" s="2"/>
      <c r="D142" s="2"/>
      <c r="E142" s="3"/>
      <c r="F142" s="3"/>
      <c r="G142" s="4"/>
      <c r="H142" s="399" t="s">
        <v>0</v>
      </c>
      <c r="I142" s="399"/>
    </row>
    <row r="143" spans="2:9" x14ac:dyDescent="0.25">
      <c r="B143" s="5" t="s">
        <v>1</v>
      </c>
      <c r="C143" s="6" t="s">
        <v>2</v>
      </c>
      <c r="D143" s="6" t="s">
        <v>3</v>
      </c>
      <c r="E143" s="7" t="s">
        <v>4</v>
      </c>
      <c r="F143" s="7" t="s">
        <v>5</v>
      </c>
      <c r="G143" s="4"/>
      <c r="H143" s="8" t="s">
        <v>6</v>
      </c>
      <c r="I143" s="9">
        <f>SUM(Tabla110345345445545647945586877869510811712713622823724627233260269297315332334200[Total costo])</f>
        <v>31539</v>
      </c>
    </row>
    <row r="144" spans="2:9" x14ac:dyDescent="0.25">
      <c r="B144" s="10" t="s">
        <v>929</v>
      </c>
      <c r="C144" s="11" t="s">
        <v>252</v>
      </c>
      <c r="D144" s="12">
        <v>2</v>
      </c>
      <c r="E144" s="13">
        <f>+VLOOKUP(Tabla110345345445545647945586877869510811712713622823724627233260269297315332334200[[#This Row],[Ingrediente]],Tabla34[#All],3,0)</f>
        <v>15769.5</v>
      </c>
      <c r="F144" s="14">
        <f>+Tabla110345345445545647945586877869510811712713622823724627233260269297315332334200[[#This Row],[Costo]]*Tabla110345345445545647945586877869510811712713622823724627233260269297315332334200[[#This Row],[Cant.]]</f>
        <v>31539</v>
      </c>
      <c r="G144" s="4"/>
      <c r="H144" s="8" t="s">
        <v>12</v>
      </c>
      <c r="I144" s="15">
        <f>+I143*5%</f>
        <v>1576.95</v>
      </c>
    </row>
    <row r="145" spans="2:9" x14ac:dyDescent="0.25">
      <c r="B145" s="16"/>
      <c r="C145" s="17"/>
      <c r="D145" s="17"/>
      <c r="E145" s="18"/>
      <c r="F145" s="18">
        <f>SUBTOTAL(109,Tabla110345345445545647945586877869510811712713622823724627233260269297315332334200[Total costo])</f>
        <v>31539</v>
      </c>
      <c r="G145" s="4"/>
      <c r="H145" s="8" t="s">
        <v>13</v>
      </c>
      <c r="I145" s="15">
        <f>+I143+I144</f>
        <v>33115.949999999997</v>
      </c>
    </row>
    <row r="146" spans="2:9" x14ac:dyDescent="0.25">
      <c r="G146" s="4"/>
      <c r="H146" s="20" t="s">
        <v>14</v>
      </c>
      <c r="I146" s="21">
        <v>83000</v>
      </c>
    </row>
    <row r="147" spans="2:9" x14ac:dyDescent="0.25">
      <c r="G147" s="4"/>
      <c r="H147" s="8" t="s">
        <v>15</v>
      </c>
      <c r="I147" s="15">
        <f>+I146/1.08*0.08</f>
        <v>6148.1481481481487</v>
      </c>
    </row>
    <row r="148" spans="2:9" x14ac:dyDescent="0.25">
      <c r="G148" s="4"/>
      <c r="H148" s="8" t="s">
        <v>16</v>
      </c>
      <c r="I148" s="15">
        <f>+I146-I147</f>
        <v>76851.851851851854</v>
      </c>
    </row>
    <row r="149" spans="2:9" x14ac:dyDescent="0.25">
      <c r="G149" s="4"/>
      <c r="H149" s="8" t="s">
        <v>17</v>
      </c>
      <c r="I149" s="41">
        <f>+I145/I148</f>
        <v>0.43090633734939754</v>
      </c>
    </row>
    <row r="150" spans="2:9" x14ac:dyDescent="0.25">
      <c r="G150" s="4"/>
      <c r="H150" s="8" t="s">
        <v>18</v>
      </c>
      <c r="I150" s="42">
        <f>+I148-I145</f>
        <v>43735.901851851857</v>
      </c>
    </row>
    <row r="151" spans="2:9" x14ac:dyDescent="0.25">
      <c r="G151" s="4"/>
      <c r="H151" s="8" t="s">
        <v>19</v>
      </c>
      <c r="I151" s="43">
        <f>+I150/I145</f>
        <v>1.3206899349664394</v>
      </c>
    </row>
    <row r="153" spans="2:9" x14ac:dyDescent="0.25">
      <c r="B153" s="19" t="s">
        <v>363</v>
      </c>
      <c r="C153" s="2"/>
      <c r="D153" s="2"/>
      <c r="E153" s="3"/>
      <c r="F153" s="3"/>
      <c r="G153" s="4"/>
      <c r="H153" s="399" t="s">
        <v>0</v>
      </c>
      <c r="I153" s="399"/>
    </row>
    <row r="154" spans="2:9" x14ac:dyDescent="0.25">
      <c r="B154" s="5" t="s">
        <v>1</v>
      </c>
      <c r="C154" s="6" t="s">
        <v>2</v>
      </c>
      <c r="D154" s="6" t="s">
        <v>3</v>
      </c>
      <c r="E154" s="7" t="s">
        <v>4</v>
      </c>
      <c r="F154" s="7" t="s">
        <v>5</v>
      </c>
      <c r="G154" s="4"/>
      <c r="H154" s="8" t="s">
        <v>6</v>
      </c>
      <c r="I154" s="9">
        <f>SUM(Tabla110345345445545647945586877869510811712713622823724627233260269297315332338346205[Total costo])</f>
        <v>23065.72727272</v>
      </c>
    </row>
    <row r="155" spans="2:9" x14ac:dyDescent="0.25">
      <c r="B155" s="10" t="s">
        <v>1178</v>
      </c>
      <c r="C155" s="11" t="s">
        <v>252</v>
      </c>
      <c r="D155" s="12">
        <v>2</v>
      </c>
      <c r="E155" s="13">
        <f>+VLOOKUP(Tabla110345345445545647945586877869510811712713622823724627233260269297315332338346205[[#This Row],[Ingrediente]],Tabla34[#All],3,0)</f>
        <v>11532.86363636</v>
      </c>
      <c r="F155" s="14">
        <f>+Tabla110345345445545647945586877869510811712713622823724627233260269297315332338346205[[#This Row],[Costo]]*Tabla110345345445545647945586877869510811712713622823724627233260269297315332338346205[[#This Row],[Cant.]]</f>
        <v>23065.72727272</v>
      </c>
      <c r="G155" s="4"/>
      <c r="H155" s="8" t="s">
        <v>12</v>
      </c>
      <c r="I155" s="15">
        <f>+I154*5%</f>
        <v>1153.286363636</v>
      </c>
    </row>
    <row r="156" spans="2:9" x14ac:dyDescent="0.25">
      <c r="B156" s="16"/>
      <c r="C156" s="17"/>
      <c r="D156" s="17"/>
      <c r="E156" s="18"/>
      <c r="F156" s="18">
        <f>SUBTOTAL(109,Tabla110345345445545647945586877869510811712713622823724627233260269297315332338346205[Total costo])</f>
        <v>23065.72727272</v>
      </c>
      <c r="G156" s="4"/>
      <c r="H156" s="8" t="s">
        <v>13</v>
      </c>
      <c r="I156" s="15">
        <f>+I154+I155</f>
        <v>24219.013636356001</v>
      </c>
    </row>
    <row r="157" spans="2:9" x14ac:dyDescent="0.25">
      <c r="G157" s="4"/>
      <c r="H157" s="20" t="s">
        <v>14</v>
      </c>
      <c r="I157" s="21">
        <v>53000</v>
      </c>
    </row>
    <row r="158" spans="2:9" x14ac:dyDescent="0.25">
      <c r="G158" s="4"/>
      <c r="H158" s="8" t="s">
        <v>15</v>
      </c>
      <c r="I158" s="15">
        <f>+I157/1.08*0.08</f>
        <v>3925.9259259259261</v>
      </c>
    </row>
    <row r="159" spans="2:9" x14ac:dyDescent="0.25">
      <c r="G159" s="4"/>
      <c r="H159" s="8" t="s">
        <v>16</v>
      </c>
      <c r="I159" s="15">
        <f>+I157-I158</f>
        <v>49074.074074074073</v>
      </c>
    </row>
    <row r="160" spans="2:9" x14ac:dyDescent="0.25">
      <c r="G160" s="4"/>
      <c r="H160" s="8" t="s">
        <v>17</v>
      </c>
      <c r="I160" s="41">
        <f>+I156/I159</f>
        <v>0.49351952315593361</v>
      </c>
    </row>
    <row r="161" spans="2:9" x14ac:dyDescent="0.25">
      <c r="G161" s="4"/>
      <c r="H161" s="8" t="s">
        <v>18</v>
      </c>
      <c r="I161" s="42">
        <f>+I159-I156</f>
        <v>24855.060437718072</v>
      </c>
    </row>
    <row r="162" spans="2:9" x14ac:dyDescent="0.25">
      <c r="G162" s="4"/>
      <c r="H162" s="8" t="s">
        <v>19</v>
      </c>
      <c r="I162" s="43">
        <f>+I161/I156</f>
        <v>1.026262291723032</v>
      </c>
    </row>
    <row r="166" spans="2:9" x14ac:dyDescent="0.25">
      <c r="B166" s="19" t="s">
        <v>360</v>
      </c>
      <c r="C166" s="2"/>
      <c r="D166" s="2"/>
      <c r="E166" s="3"/>
      <c r="F166" s="3"/>
      <c r="G166" s="4"/>
      <c r="H166" s="399" t="s">
        <v>0</v>
      </c>
      <c r="I166" s="399"/>
    </row>
    <row r="167" spans="2:9" x14ac:dyDescent="0.25">
      <c r="B167" s="5" t="s">
        <v>1</v>
      </c>
      <c r="C167" s="6" t="s">
        <v>2</v>
      </c>
      <c r="D167" s="6" t="s">
        <v>3</v>
      </c>
      <c r="E167" s="7" t="s">
        <v>4</v>
      </c>
      <c r="F167" s="7" t="s">
        <v>5</v>
      </c>
      <c r="G167" s="4"/>
      <c r="H167" s="8" t="s">
        <v>6</v>
      </c>
      <c r="I167" s="9">
        <f>SUM(Tabla110345345445545647945586877869510811712713622823724627233260269297315332336201[Total costo])</f>
        <v>18536</v>
      </c>
    </row>
    <row r="168" spans="2:9" x14ac:dyDescent="0.25">
      <c r="B168" s="10" t="s">
        <v>310</v>
      </c>
      <c r="C168" s="11" t="s">
        <v>252</v>
      </c>
      <c r="D168" s="12">
        <v>2</v>
      </c>
      <c r="E168" s="13">
        <f>+VLOOKUP(Tabla110345345445545647945586877869510811712713622823724627233260269297315332336201[[#This Row],[Ingrediente]],Tabla34[#All],3,0)</f>
        <v>9268</v>
      </c>
      <c r="F168" s="14">
        <f>+Tabla110345345445545647945586877869510811712713622823724627233260269297315332336201[[#This Row],[Costo]]*Tabla110345345445545647945586877869510811712713622823724627233260269297315332336201[[#This Row],[Cant.]]</f>
        <v>18536</v>
      </c>
      <c r="G168" s="4"/>
      <c r="H168" s="8" t="s">
        <v>12</v>
      </c>
      <c r="I168" s="15">
        <f>+I167*5%</f>
        <v>926.80000000000007</v>
      </c>
    </row>
    <row r="169" spans="2:9" x14ac:dyDescent="0.25">
      <c r="B169" s="16"/>
      <c r="C169" s="17"/>
      <c r="D169" s="17"/>
      <c r="E169" s="18"/>
      <c r="F169" s="18">
        <f>SUBTOTAL(109,Tabla110345345445545647945586877869510811712713622823724627233260269297315332336201[Total costo])</f>
        <v>18536</v>
      </c>
      <c r="G169" s="4"/>
      <c r="H169" s="8" t="s">
        <v>13</v>
      </c>
      <c r="I169" s="15">
        <f>+I167+I168</f>
        <v>19462.8</v>
      </c>
    </row>
    <row r="170" spans="2:9" x14ac:dyDescent="0.25">
      <c r="G170" s="4"/>
      <c r="H170" s="20" t="s">
        <v>14</v>
      </c>
      <c r="I170" s="21">
        <v>46500</v>
      </c>
    </row>
    <row r="171" spans="2:9" x14ac:dyDescent="0.25">
      <c r="G171" s="4"/>
      <c r="H171" s="8" t="s">
        <v>15</v>
      </c>
      <c r="I171" s="15">
        <f>+I170/1.08*0.08</f>
        <v>3444.4444444444443</v>
      </c>
    </row>
    <row r="172" spans="2:9" x14ac:dyDescent="0.25">
      <c r="G172" s="4"/>
      <c r="H172" s="8" t="s">
        <v>16</v>
      </c>
      <c r="I172" s="15">
        <f>+I170-I171</f>
        <v>43055.555555555555</v>
      </c>
    </row>
    <row r="173" spans="2:9" x14ac:dyDescent="0.25">
      <c r="G173" s="4"/>
      <c r="H173" s="8" t="s">
        <v>17</v>
      </c>
      <c r="I173" s="41">
        <f>+I169/I172</f>
        <v>0.45203922580645162</v>
      </c>
    </row>
    <row r="174" spans="2:9" x14ac:dyDescent="0.25">
      <c r="G174" s="4"/>
      <c r="H174" s="8" t="s">
        <v>18</v>
      </c>
      <c r="I174" s="42">
        <f>+I172-I169</f>
        <v>23592.755555555555</v>
      </c>
    </row>
    <row r="175" spans="2:9" x14ac:dyDescent="0.25">
      <c r="G175" s="4"/>
      <c r="H175" s="8" t="s">
        <v>19</v>
      </c>
      <c r="I175" s="43">
        <f>+I174/I169</f>
        <v>1.2121973999401707</v>
      </c>
    </row>
    <row r="178" spans="2:9" x14ac:dyDescent="0.25">
      <c r="B178" s="19" t="s">
        <v>365</v>
      </c>
      <c r="C178" s="2"/>
      <c r="D178" s="2"/>
      <c r="E178" s="3"/>
      <c r="F178" s="3"/>
      <c r="G178" s="4"/>
      <c r="H178" s="399" t="s">
        <v>0</v>
      </c>
      <c r="I178" s="399"/>
    </row>
    <row r="179" spans="2:9" x14ac:dyDescent="0.25">
      <c r="B179" s="5" t="s">
        <v>1</v>
      </c>
      <c r="C179" s="6" t="s">
        <v>2</v>
      </c>
      <c r="D179" s="6" t="s">
        <v>3</v>
      </c>
      <c r="E179" s="7" t="s">
        <v>4</v>
      </c>
      <c r="F179" s="7" t="s">
        <v>5</v>
      </c>
      <c r="G179" s="4"/>
      <c r="H179" s="8" t="s">
        <v>6</v>
      </c>
      <c r="I179" s="9">
        <f>SUM(Tabla110345345445545647945586877869510811712713622823724627233260269297315332338202[Total costo])</f>
        <v>18846</v>
      </c>
    </row>
    <row r="180" spans="2:9" x14ac:dyDescent="0.25">
      <c r="B180" s="10" t="s">
        <v>766</v>
      </c>
      <c r="C180" s="11" t="s">
        <v>252</v>
      </c>
      <c r="D180" s="12">
        <v>2</v>
      </c>
      <c r="E180" s="13">
        <f>+VLOOKUP(Tabla110345345445545647945586877869510811712713622823724627233260269297315332338202[[#This Row],[Ingrediente]],Tabla34[#All],3,0)</f>
        <v>9423</v>
      </c>
      <c r="F180" s="14">
        <f>+Tabla110345345445545647945586877869510811712713622823724627233260269297315332338202[[#This Row],[Costo]]*Tabla110345345445545647945586877869510811712713622823724627233260269297315332338202[[#This Row],[Cant.]]</f>
        <v>18846</v>
      </c>
      <c r="G180" s="4"/>
      <c r="H180" s="8" t="s">
        <v>12</v>
      </c>
      <c r="I180" s="15">
        <f>+I179*5%</f>
        <v>942.30000000000007</v>
      </c>
    </row>
    <row r="181" spans="2:9" x14ac:dyDescent="0.25">
      <c r="B181" s="16"/>
      <c r="C181" s="17"/>
      <c r="D181" s="17"/>
      <c r="E181" s="18"/>
      <c r="F181" s="18">
        <f>SUBTOTAL(109,Tabla110345345445545647945586877869510811712713622823724627233260269297315332338202[Total costo])</f>
        <v>18846</v>
      </c>
      <c r="G181" s="4"/>
      <c r="H181" s="8" t="s">
        <v>13</v>
      </c>
      <c r="I181" s="15">
        <f>+I179+I180</f>
        <v>19788.3</v>
      </c>
    </row>
    <row r="182" spans="2:9" x14ac:dyDescent="0.25">
      <c r="G182" s="4"/>
      <c r="H182" s="20" t="s">
        <v>14</v>
      </c>
      <c r="I182" s="21">
        <v>49000</v>
      </c>
    </row>
    <row r="183" spans="2:9" x14ac:dyDescent="0.25">
      <c r="G183" s="4"/>
      <c r="H183" s="8" t="s">
        <v>15</v>
      </c>
      <c r="I183" s="15">
        <f>+I182/1.08*0.08</f>
        <v>3629.6296296296291</v>
      </c>
    </row>
    <row r="184" spans="2:9" x14ac:dyDescent="0.25">
      <c r="G184" s="4"/>
      <c r="H184" s="8" t="s">
        <v>16</v>
      </c>
      <c r="I184" s="15">
        <f>+I182-I183</f>
        <v>45370.370370370372</v>
      </c>
    </row>
    <row r="185" spans="2:9" x14ac:dyDescent="0.25">
      <c r="G185" s="4"/>
      <c r="H185" s="8" t="s">
        <v>17</v>
      </c>
      <c r="I185" s="41">
        <f>+I181/I184</f>
        <v>0.43615028571428566</v>
      </c>
    </row>
    <row r="186" spans="2:9" x14ac:dyDescent="0.25">
      <c r="G186" s="4"/>
      <c r="H186" s="8" t="s">
        <v>18</v>
      </c>
      <c r="I186" s="42">
        <f>+I184-I181</f>
        <v>25582.070370370373</v>
      </c>
    </row>
    <row r="187" spans="2:9" x14ac:dyDescent="0.25">
      <c r="G187" s="4"/>
      <c r="H187" s="8" t="s">
        <v>19</v>
      </c>
      <c r="I187" s="43">
        <f>+I186/I181</f>
        <v>1.2927876760697166</v>
      </c>
    </row>
    <row r="189" spans="2:9" x14ac:dyDescent="0.25">
      <c r="B189" s="19" t="s">
        <v>367</v>
      </c>
      <c r="C189" s="2"/>
      <c r="D189" s="2"/>
      <c r="E189" s="3"/>
      <c r="F189" s="3"/>
      <c r="G189" s="4"/>
      <c r="H189" s="399" t="s">
        <v>0</v>
      </c>
      <c r="I189" s="399"/>
    </row>
    <row r="190" spans="2:9" x14ac:dyDescent="0.25">
      <c r="B190" s="5" t="s">
        <v>1</v>
      </c>
      <c r="C190" s="6" t="s">
        <v>2</v>
      </c>
      <c r="D190" s="6" t="s">
        <v>3</v>
      </c>
      <c r="E190" s="7" t="s">
        <v>4</v>
      </c>
      <c r="F190" s="7" t="s">
        <v>5</v>
      </c>
      <c r="G190" s="4"/>
      <c r="H190" s="8" t="s">
        <v>6</v>
      </c>
      <c r="I190" s="9">
        <f>SUM(Tabla110345345445545647945586877869510811712713622823724627233260269297315332340203[Total costo])</f>
        <v>18845.833333340001</v>
      </c>
    </row>
    <row r="191" spans="2:9" x14ac:dyDescent="0.25">
      <c r="B191" s="10" t="s">
        <v>774</v>
      </c>
      <c r="C191" s="11" t="s">
        <v>252</v>
      </c>
      <c r="D191" s="12">
        <v>2</v>
      </c>
      <c r="E191" s="13">
        <f>+VLOOKUP(Tabla110345345445545647945586877869510811712713622823724627233260269297315332340203[[#This Row],[Ingrediente]],Tabla34[#All],3,0)</f>
        <v>9422.9166666700003</v>
      </c>
      <c r="F191" s="14">
        <f>+Tabla110345345445545647945586877869510811712713622823724627233260269297315332340203[[#This Row],[Costo]]*Tabla110345345445545647945586877869510811712713622823724627233260269297315332340203[[#This Row],[Cant.]]</f>
        <v>18845.833333340001</v>
      </c>
      <c r="G191" s="4"/>
      <c r="H191" s="8" t="s">
        <v>12</v>
      </c>
      <c r="I191" s="15">
        <f>+I190*5%</f>
        <v>942.29166666700007</v>
      </c>
    </row>
    <row r="192" spans="2:9" x14ac:dyDescent="0.25">
      <c r="B192" s="16"/>
      <c r="C192" s="17"/>
      <c r="D192" s="17"/>
      <c r="E192" s="18"/>
      <c r="F192" s="18">
        <f>SUBTOTAL(109,Tabla110345345445545647945586877869510811712713622823724627233260269297315332340203[Total costo])</f>
        <v>18845.833333340001</v>
      </c>
      <c r="G192" s="4"/>
      <c r="H192" s="8" t="s">
        <v>13</v>
      </c>
      <c r="I192" s="15">
        <f>+I190+I191</f>
        <v>19788.125000006999</v>
      </c>
    </row>
    <row r="193" spans="2:9" x14ac:dyDescent="0.25">
      <c r="G193" s="4"/>
      <c r="H193" s="20" t="s">
        <v>14</v>
      </c>
      <c r="I193" s="21">
        <v>44000</v>
      </c>
    </row>
    <row r="194" spans="2:9" x14ac:dyDescent="0.25">
      <c r="G194" s="4"/>
      <c r="H194" s="8" t="s">
        <v>15</v>
      </c>
      <c r="I194" s="15">
        <f>+I193/1.08*0.08</f>
        <v>3259.2592592592591</v>
      </c>
    </row>
    <row r="195" spans="2:9" x14ac:dyDescent="0.25">
      <c r="G195" s="4"/>
      <c r="H195" s="8" t="s">
        <v>16</v>
      </c>
      <c r="I195" s="15">
        <f>+I193-I194</f>
        <v>40740.740740740745</v>
      </c>
    </row>
    <row r="196" spans="2:9" x14ac:dyDescent="0.25">
      <c r="G196" s="4"/>
      <c r="H196" s="8" t="s">
        <v>17</v>
      </c>
      <c r="I196" s="41">
        <f>+I192/I195</f>
        <v>0.48570852272744447</v>
      </c>
    </row>
    <row r="197" spans="2:9" x14ac:dyDescent="0.25">
      <c r="G197" s="4"/>
      <c r="H197" s="8" t="s">
        <v>18</v>
      </c>
      <c r="I197" s="42">
        <f>+I195-I192</f>
        <v>20952.615740733745</v>
      </c>
    </row>
    <row r="198" spans="2:9" x14ac:dyDescent="0.25">
      <c r="G198" s="4"/>
      <c r="H198" s="8" t="s">
        <v>19</v>
      </c>
      <c r="I198" s="43">
        <f>+I197/I192</f>
        <v>1.058847957587004</v>
      </c>
    </row>
    <row r="201" spans="2:9" x14ac:dyDescent="0.25">
      <c r="B201" s="19" t="s">
        <v>369</v>
      </c>
      <c r="C201" s="2"/>
      <c r="D201" s="2"/>
      <c r="E201" s="3"/>
      <c r="F201" s="3"/>
      <c r="G201" s="4"/>
      <c r="H201" s="399" t="s">
        <v>0</v>
      </c>
      <c r="I201" s="399"/>
    </row>
    <row r="202" spans="2:9" x14ac:dyDescent="0.25">
      <c r="B202" s="5" t="s">
        <v>1</v>
      </c>
      <c r="C202" s="6" t="s">
        <v>2</v>
      </c>
      <c r="D202" s="6" t="s">
        <v>3</v>
      </c>
      <c r="E202" s="7" t="s">
        <v>4</v>
      </c>
      <c r="F202" s="7" t="s">
        <v>5</v>
      </c>
      <c r="G202" s="4"/>
      <c r="H202" s="8" t="s">
        <v>6</v>
      </c>
      <c r="I202" s="9">
        <f>SUM(Tabla110345345445545647945586877869510811712713622823724627233260269297315332342204[Total costo])</f>
        <v>25666.666666659999</v>
      </c>
    </row>
    <row r="203" spans="2:9" x14ac:dyDescent="0.25">
      <c r="B203" s="10" t="s">
        <v>756</v>
      </c>
      <c r="C203" s="11" t="s">
        <v>252</v>
      </c>
      <c r="D203" s="12">
        <v>2</v>
      </c>
      <c r="E203" s="13">
        <f>+VLOOKUP(Tabla110345345445545647945586877869510811712713622823724627233260269297315332342204[[#This Row],[Ingrediente]],Tabla34[#All],3,0)</f>
        <v>12833.33333333</v>
      </c>
      <c r="F203" s="14">
        <f>+Tabla110345345445545647945586877869510811712713622823724627233260269297315332342204[[#This Row],[Costo]]*Tabla110345345445545647945586877869510811712713622823724627233260269297315332342204[[#This Row],[Cant.]]</f>
        <v>25666.666666659999</v>
      </c>
      <c r="G203" s="4"/>
      <c r="H203" s="8" t="s">
        <v>12</v>
      </c>
      <c r="I203" s="15">
        <f>+I202*5%</f>
        <v>1283.3333333330002</v>
      </c>
    </row>
    <row r="204" spans="2:9" x14ac:dyDescent="0.25">
      <c r="B204" s="16"/>
      <c r="C204" s="17"/>
      <c r="D204" s="17"/>
      <c r="E204" s="18"/>
      <c r="F204" s="18">
        <f>SUBTOTAL(109,Tabla110345345445545647945586877869510811712713622823724627233260269297315332342204[Total costo])</f>
        <v>25666.666666659999</v>
      </c>
      <c r="G204" s="4"/>
      <c r="H204" s="8" t="s">
        <v>13</v>
      </c>
      <c r="I204" s="15">
        <f>+I202+I203</f>
        <v>26949.999999993001</v>
      </c>
    </row>
    <row r="205" spans="2:9" x14ac:dyDescent="0.25">
      <c r="G205" s="4"/>
      <c r="H205" s="20" t="s">
        <v>14</v>
      </c>
      <c r="I205" s="21">
        <v>63300</v>
      </c>
    </row>
    <row r="206" spans="2:9" x14ac:dyDescent="0.25">
      <c r="G206" s="4"/>
      <c r="H206" s="8" t="s">
        <v>15</v>
      </c>
      <c r="I206" s="15">
        <f>+I205/1.08*0.08</f>
        <v>4688.8888888888887</v>
      </c>
    </row>
    <row r="207" spans="2:9" x14ac:dyDescent="0.25">
      <c r="G207" s="4"/>
      <c r="H207" s="8" t="s">
        <v>16</v>
      </c>
      <c r="I207" s="15">
        <f>+I205-I206</f>
        <v>58611.111111111109</v>
      </c>
    </row>
    <row r="208" spans="2:9" x14ac:dyDescent="0.25">
      <c r="G208" s="4"/>
      <c r="H208" s="8" t="s">
        <v>17</v>
      </c>
      <c r="I208" s="41">
        <f>+I204/I207</f>
        <v>0.45981042654016496</v>
      </c>
    </row>
    <row r="209" spans="2:9" x14ac:dyDescent="0.25">
      <c r="G209" s="4"/>
      <c r="H209" s="8" t="s">
        <v>18</v>
      </c>
      <c r="I209" s="42">
        <f>+I207-I204</f>
        <v>31661.111111118109</v>
      </c>
    </row>
    <row r="210" spans="2:9" x14ac:dyDescent="0.25">
      <c r="G210" s="4"/>
      <c r="H210" s="8" t="s">
        <v>19</v>
      </c>
      <c r="I210" s="43">
        <f>+I209/I204</f>
        <v>1.1748093176670253</v>
      </c>
    </row>
    <row r="214" spans="2:9" x14ac:dyDescent="0.25">
      <c r="B214" s="19" t="s">
        <v>1145</v>
      </c>
      <c r="C214" s="2"/>
      <c r="D214" s="2"/>
      <c r="E214" s="3"/>
      <c r="F214" s="3"/>
      <c r="G214" s="4"/>
      <c r="H214" s="399" t="s">
        <v>0</v>
      </c>
      <c r="I214" s="399"/>
    </row>
    <row r="215" spans="2:9" x14ac:dyDescent="0.25">
      <c r="B215" s="5" t="s">
        <v>1</v>
      </c>
      <c r="C215" s="6" t="s">
        <v>2</v>
      </c>
      <c r="D215" s="6" t="s">
        <v>3</v>
      </c>
      <c r="E215" s="7" t="s">
        <v>4</v>
      </c>
      <c r="F215" s="7" t="s">
        <v>5</v>
      </c>
      <c r="G215" s="4"/>
      <c r="H215" s="8" t="s">
        <v>6</v>
      </c>
      <c r="I215" s="9">
        <f>SUM(Tabla110345345445545647945586877869510811712713622823724627233260269297315332344145206[Total costo])</f>
        <v>17748.636363639998</v>
      </c>
    </row>
    <row r="216" spans="2:9" x14ac:dyDescent="0.25">
      <c r="B216" s="10" t="s">
        <v>1251</v>
      </c>
      <c r="C216" s="11" t="s">
        <v>252</v>
      </c>
      <c r="D216" s="12">
        <v>2</v>
      </c>
      <c r="E216" s="13">
        <f>+VLOOKUP(Tabla110345345445545647945586877869510811712713622823724627233260269297315332344145206[[#This Row],[Ingrediente]],Tabla34[#All],3,0)</f>
        <v>8874.3181818199992</v>
      </c>
      <c r="F216" s="14">
        <f>+Tabla110345345445545647945586877869510811712713622823724627233260269297315332344145206[[#This Row],[Costo]]*Tabla110345345445545647945586877869510811712713622823724627233260269297315332344145206[[#This Row],[Cant.]]</f>
        <v>17748.636363639998</v>
      </c>
      <c r="G216" s="4"/>
      <c r="H216" s="8" t="s">
        <v>12</v>
      </c>
      <c r="I216" s="15">
        <f>+I215*5%</f>
        <v>887.43181818199992</v>
      </c>
    </row>
    <row r="217" spans="2:9" x14ac:dyDescent="0.25">
      <c r="B217" s="16"/>
      <c r="C217" s="17"/>
      <c r="D217" s="17"/>
      <c r="E217" s="18"/>
      <c r="F217" s="18">
        <f>SUBTOTAL(109,Tabla110345345445545647945586877869510811712713622823724627233260269297315332344145206[Total costo])</f>
        <v>17748.636363639998</v>
      </c>
      <c r="G217" s="4"/>
      <c r="H217" s="8" t="s">
        <v>13</v>
      </c>
      <c r="I217" s="15">
        <f>+I215+I216</f>
        <v>18636.068181821996</v>
      </c>
    </row>
    <row r="218" spans="2:9" x14ac:dyDescent="0.25">
      <c r="G218" s="4"/>
      <c r="H218" s="20" t="s">
        <v>14</v>
      </c>
      <c r="I218" s="21">
        <v>63300</v>
      </c>
    </row>
    <row r="219" spans="2:9" x14ac:dyDescent="0.25">
      <c r="G219" s="4"/>
      <c r="H219" s="8" t="s">
        <v>15</v>
      </c>
      <c r="I219" s="15">
        <f>+I218/1.08*0.08</f>
        <v>4688.8888888888887</v>
      </c>
    </row>
    <row r="220" spans="2:9" x14ac:dyDescent="0.25">
      <c r="G220" s="4"/>
      <c r="H220" s="8" t="s">
        <v>16</v>
      </c>
      <c r="I220" s="15">
        <f>+I218-I219</f>
        <v>58611.111111111109</v>
      </c>
    </row>
    <row r="221" spans="2:9" x14ac:dyDescent="0.25">
      <c r="G221" s="4"/>
      <c r="H221" s="8" t="s">
        <v>17</v>
      </c>
      <c r="I221" s="41">
        <f>+I217/I220</f>
        <v>0.31796135286520943</v>
      </c>
    </row>
    <row r="222" spans="2:9" x14ac:dyDescent="0.25">
      <c r="G222" s="4"/>
      <c r="H222" s="8" t="s">
        <v>18</v>
      </c>
      <c r="I222" s="42">
        <f>+I220-I217</f>
        <v>39975.042929289113</v>
      </c>
    </row>
    <row r="223" spans="2:9" x14ac:dyDescent="0.25">
      <c r="G223" s="4"/>
      <c r="H223" s="8" t="s">
        <v>19</v>
      </c>
      <c r="I223" s="43">
        <f>+I222/I217</f>
        <v>2.1450363101956018</v>
      </c>
    </row>
    <row r="229" spans="2:9" x14ac:dyDescent="0.25">
      <c r="B229" s="19" t="s">
        <v>1148</v>
      </c>
      <c r="C229" s="2"/>
      <c r="D229" s="2"/>
      <c r="E229" s="3"/>
      <c r="F229" s="3"/>
      <c r="G229" s="4"/>
      <c r="H229" s="399" t="s">
        <v>0</v>
      </c>
      <c r="I229" s="399"/>
    </row>
    <row r="230" spans="2:9" x14ac:dyDescent="0.25">
      <c r="B230" s="5" t="s">
        <v>1</v>
      </c>
      <c r="C230" s="6" t="s">
        <v>2</v>
      </c>
      <c r="D230" s="6" t="s">
        <v>3</v>
      </c>
      <c r="E230" s="7" t="s">
        <v>4</v>
      </c>
      <c r="F230" s="7" t="s">
        <v>5</v>
      </c>
      <c r="G230" s="4"/>
      <c r="H230" s="8" t="s">
        <v>6</v>
      </c>
      <c r="I230" s="9">
        <f>SUM(Tabla110345345445545647945586877869510811712713622823724627233260269297315332344145147207[Total costo])</f>
        <v>18360.781818181818</v>
      </c>
    </row>
    <row r="231" spans="2:9" x14ac:dyDescent="0.25">
      <c r="B231" s="10" t="s">
        <v>1138</v>
      </c>
      <c r="C231" s="11" t="s">
        <v>252</v>
      </c>
      <c r="D231" s="12">
        <v>2</v>
      </c>
      <c r="E231" s="13">
        <f>+VLOOKUP(Tabla110345345445545647945586877869510811712713622823724627233260269297315332344145147207[[#This Row],[Ingrediente]],Tabla34[#All],3,0)</f>
        <v>9180.3909090909092</v>
      </c>
      <c r="F231" s="14">
        <f>+Tabla110345345445545647945586877869510811712713622823724627233260269297315332344145147207[[#This Row],[Costo]]*Tabla110345345445545647945586877869510811712713622823724627233260269297315332344145147207[[#This Row],[Cant.]]</f>
        <v>18360.781818181818</v>
      </c>
      <c r="G231" s="4"/>
      <c r="H231" s="8" t="s">
        <v>12</v>
      </c>
      <c r="I231" s="15">
        <f>+I230*5%</f>
        <v>918.03909090909099</v>
      </c>
    </row>
    <row r="232" spans="2:9" x14ac:dyDescent="0.25">
      <c r="B232" s="16"/>
      <c r="C232" s="17"/>
      <c r="D232" s="17"/>
      <c r="E232" s="18"/>
      <c r="F232" s="18">
        <f>SUBTOTAL(109,Tabla110345345445545647945586877869510811712713622823724627233260269297315332344145147207[Total costo])</f>
        <v>18360.781818181818</v>
      </c>
      <c r="G232" s="4"/>
      <c r="H232" s="8" t="s">
        <v>13</v>
      </c>
      <c r="I232" s="15">
        <f>+I230+I231</f>
        <v>19278.820909090908</v>
      </c>
    </row>
    <row r="233" spans="2:9" x14ac:dyDescent="0.25">
      <c r="G233" s="4"/>
      <c r="H233" s="20" t="s">
        <v>14</v>
      </c>
      <c r="I233" s="21">
        <v>63300</v>
      </c>
    </row>
    <row r="234" spans="2:9" x14ac:dyDescent="0.25">
      <c r="G234" s="4"/>
      <c r="H234" s="8" t="s">
        <v>15</v>
      </c>
      <c r="I234" s="15">
        <f>+I233/1.08*0.08</f>
        <v>4688.8888888888887</v>
      </c>
    </row>
    <row r="235" spans="2:9" x14ac:dyDescent="0.25">
      <c r="G235" s="4"/>
      <c r="H235" s="8" t="s">
        <v>16</v>
      </c>
      <c r="I235" s="15">
        <f>+I233-I234</f>
        <v>58611.111111111109</v>
      </c>
    </row>
    <row r="236" spans="2:9" x14ac:dyDescent="0.25">
      <c r="G236" s="4"/>
      <c r="H236" s="8" t="s">
        <v>17</v>
      </c>
      <c r="I236" s="41">
        <f>+I232/I235</f>
        <v>0.32892775010771219</v>
      </c>
    </row>
    <row r="237" spans="2:9" x14ac:dyDescent="0.25">
      <c r="G237" s="4"/>
      <c r="H237" s="8" t="s">
        <v>18</v>
      </c>
      <c r="I237" s="42">
        <f>+I235-I232</f>
        <v>39332.290202020202</v>
      </c>
    </row>
    <row r="238" spans="2:9" x14ac:dyDescent="0.25">
      <c r="G238" s="4"/>
      <c r="H238" s="8" t="s">
        <v>19</v>
      </c>
      <c r="I238" s="43">
        <f>+I237/I232</f>
        <v>2.0401813154181592</v>
      </c>
    </row>
    <row r="243" spans="2:9" x14ac:dyDescent="0.25">
      <c r="B243" s="19" t="s">
        <v>1150</v>
      </c>
      <c r="C243" s="2"/>
      <c r="D243" s="2"/>
      <c r="E243" s="3"/>
      <c r="F243" s="3"/>
      <c r="G243" s="4"/>
      <c r="H243" s="399" t="s">
        <v>0</v>
      </c>
      <c r="I243" s="399"/>
    </row>
    <row r="244" spans="2:9" x14ac:dyDescent="0.25">
      <c r="B244" s="5" t="s">
        <v>1</v>
      </c>
      <c r="C244" s="6" t="s">
        <v>2</v>
      </c>
      <c r="D244" s="6" t="s">
        <v>3</v>
      </c>
      <c r="E244" s="7" t="s">
        <v>4</v>
      </c>
      <c r="F244" s="7" t="s">
        <v>5</v>
      </c>
      <c r="G244" s="4"/>
      <c r="H244" s="8" t="s">
        <v>6</v>
      </c>
      <c r="I244" s="9">
        <f>SUM(Tabla110345345445545647945586877869510811712713622823724627233260269297315332344145147151208[Total costo])</f>
        <v>28587.818181819999</v>
      </c>
    </row>
    <row r="245" spans="2:9" x14ac:dyDescent="0.25">
      <c r="B245" s="10" t="s">
        <v>1139</v>
      </c>
      <c r="C245" s="11" t="s">
        <v>252</v>
      </c>
      <c r="D245" s="12">
        <v>2</v>
      </c>
      <c r="E245" s="13">
        <f>+VLOOKUP(Tabla110345345445545647945586877869510811712713622823724627233260269297315332344145147151208[[#This Row],[Ingrediente]],Tabla34[#All],3,0)</f>
        <v>14293.90909091</v>
      </c>
      <c r="F245" s="14">
        <f>+Tabla110345345445545647945586877869510811712713622823724627233260269297315332344145147151208[[#This Row],[Costo]]*Tabla110345345445545647945586877869510811712713622823724627233260269297315332344145147151208[[#This Row],[Cant.]]</f>
        <v>28587.818181819999</v>
      </c>
      <c r="G245" s="4"/>
      <c r="H245" s="8" t="s">
        <v>12</v>
      </c>
      <c r="I245" s="15">
        <f>+I244*5%</f>
        <v>1429.3909090910001</v>
      </c>
    </row>
    <row r="246" spans="2:9" x14ac:dyDescent="0.25">
      <c r="B246" s="16"/>
      <c r="C246" s="17"/>
      <c r="D246" s="17"/>
      <c r="E246" s="18"/>
      <c r="F246" s="18">
        <f>SUBTOTAL(109,Tabla110345345445545647945586877869510811712713622823724627233260269297315332344145147151208[Total costo])</f>
        <v>28587.818181819999</v>
      </c>
      <c r="G246" s="4"/>
      <c r="H246" s="8" t="s">
        <v>13</v>
      </c>
      <c r="I246" s="15">
        <f>+I244+I245</f>
        <v>30017.209090910997</v>
      </c>
    </row>
    <row r="247" spans="2:9" x14ac:dyDescent="0.25">
      <c r="G247" s="4"/>
      <c r="H247" s="20" t="s">
        <v>14</v>
      </c>
      <c r="I247" s="21">
        <v>63300</v>
      </c>
    </row>
    <row r="248" spans="2:9" x14ac:dyDescent="0.25">
      <c r="G248" s="4"/>
      <c r="H248" s="8" t="s">
        <v>15</v>
      </c>
      <c r="I248" s="15">
        <f>+I247/1.08*0.08</f>
        <v>4688.8888888888887</v>
      </c>
    </row>
    <row r="249" spans="2:9" x14ac:dyDescent="0.25">
      <c r="G249" s="4"/>
      <c r="H249" s="8" t="s">
        <v>16</v>
      </c>
      <c r="I249" s="15">
        <f>+I247-I248</f>
        <v>58611.111111111109</v>
      </c>
    </row>
    <row r="250" spans="2:9" x14ac:dyDescent="0.25">
      <c r="G250" s="4"/>
      <c r="H250" s="8" t="s">
        <v>17</v>
      </c>
      <c r="I250" s="41">
        <f>+I246/I249</f>
        <v>0.5121419560534578</v>
      </c>
    </row>
    <row r="251" spans="2:9" x14ac:dyDescent="0.25">
      <c r="G251" s="4"/>
      <c r="H251" s="8" t="s">
        <v>18</v>
      </c>
      <c r="I251" s="42">
        <f>+I249-I246</f>
        <v>28593.902020200112</v>
      </c>
    </row>
    <row r="252" spans="2:9" x14ac:dyDescent="0.25">
      <c r="G252" s="4"/>
      <c r="H252" s="8" t="s">
        <v>19</v>
      </c>
      <c r="I252" s="43">
        <f>+I251/I246</f>
        <v>0.95258363072995178</v>
      </c>
    </row>
  </sheetData>
  <mergeCells count="20">
    <mergeCell ref="H189:I189"/>
    <mergeCell ref="H201:I201"/>
    <mergeCell ref="H214:I214"/>
    <mergeCell ref="H229:I229"/>
    <mergeCell ref="H243:I243"/>
    <mergeCell ref="H131:I131"/>
    <mergeCell ref="H142:I142"/>
    <mergeCell ref="H153:I153"/>
    <mergeCell ref="H166:I166"/>
    <mergeCell ref="H178:I178"/>
    <mergeCell ref="H17:I17"/>
    <mergeCell ref="H41:I41"/>
    <mergeCell ref="H6:I6"/>
    <mergeCell ref="H28:I28"/>
    <mergeCell ref="H64:I64"/>
    <mergeCell ref="H118:I118"/>
    <mergeCell ref="H89:I89"/>
    <mergeCell ref="H104:I104"/>
    <mergeCell ref="H76:I76"/>
    <mergeCell ref="H53:I53"/>
  </mergeCells>
  <conditionalFormatting sqref="I13">
    <cfRule type="cellIs" dxfId="2259" priority="91" operator="lessThan">
      <formula>0.3</formula>
    </cfRule>
    <cfRule type="cellIs" dxfId="2258" priority="92" operator="greaterThan">
      <formula>0.3</formula>
    </cfRule>
  </conditionalFormatting>
  <conditionalFormatting sqref="I24">
    <cfRule type="cellIs" dxfId="2257" priority="63" operator="lessThan">
      <formula>0.3</formula>
    </cfRule>
    <cfRule type="cellIs" dxfId="2256" priority="64" operator="greaterThan">
      <formula>0.3</formula>
    </cfRule>
  </conditionalFormatting>
  <conditionalFormatting sqref="I35">
    <cfRule type="cellIs" dxfId="2255" priority="39" operator="lessThan">
      <formula>0.3</formula>
    </cfRule>
    <cfRule type="cellIs" dxfId="2254" priority="40" operator="greaterThan">
      <formula>0.3</formula>
    </cfRule>
  </conditionalFormatting>
  <conditionalFormatting sqref="I48">
    <cfRule type="cellIs" dxfId="2253" priority="59" operator="lessThan">
      <formula>0.3</formula>
    </cfRule>
    <cfRule type="cellIs" dxfId="2252" priority="60" operator="greaterThan">
      <formula>0.3</formula>
    </cfRule>
  </conditionalFormatting>
  <conditionalFormatting sqref="I60">
    <cfRule type="cellIs" dxfId="2251" priority="55" operator="lessThan">
      <formula>0.3</formula>
    </cfRule>
    <cfRule type="cellIs" dxfId="2250" priority="56" operator="greaterThan">
      <formula>0.3</formula>
    </cfRule>
  </conditionalFormatting>
  <conditionalFormatting sqref="I71">
    <cfRule type="cellIs" dxfId="2249" priority="51" operator="lessThan">
      <formula>0.3</formula>
    </cfRule>
    <cfRule type="cellIs" dxfId="2248" priority="52" operator="greaterThan">
      <formula>0.3</formula>
    </cfRule>
  </conditionalFormatting>
  <conditionalFormatting sqref="I83">
    <cfRule type="cellIs" dxfId="2247" priority="47" operator="lessThan">
      <formula>0.3</formula>
    </cfRule>
    <cfRule type="cellIs" dxfId="2246" priority="48" operator="greaterThan">
      <formula>0.3</formula>
    </cfRule>
  </conditionalFormatting>
  <conditionalFormatting sqref="I96">
    <cfRule type="cellIs" dxfId="2245" priority="35" operator="lessThan">
      <formula>0.3</formula>
    </cfRule>
    <cfRule type="cellIs" dxfId="2244" priority="36" operator="greaterThan">
      <formula>0.3</formula>
    </cfRule>
  </conditionalFormatting>
  <conditionalFormatting sqref="I111">
    <cfRule type="cellIs" dxfId="2243" priority="31" operator="lessThan">
      <formula>0.3</formula>
    </cfRule>
    <cfRule type="cellIs" dxfId="2242" priority="32" operator="greaterThan">
      <formula>0.3</formula>
    </cfRule>
  </conditionalFormatting>
  <conditionalFormatting sqref="I125">
    <cfRule type="cellIs" dxfId="2241" priority="23" operator="lessThan">
      <formula>0.3</formula>
    </cfRule>
    <cfRule type="cellIs" dxfId="2240" priority="24" operator="greaterThan">
      <formula>0.3</formula>
    </cfRule>
  </conditionalFormatting>
  <conditionalFormatting sqref="I138">
    <cfRule type="cellIs" dxfId="2239" priority="19" operator="lessThan">
      <formula>0.3</formula>
    </cfRule>
    <cfRule type="cellIs" dxfId="2238" priority="20" operator="greaterThan">
      <formula>0.3</formula>
    </cfRule>
  </conditionalFormatting>
  <conditionalFormatting sqref="I149">
    <cfRule type="cellIs" dxfId="2237" priority="17" operator="lessThan">
      <formula>0.3</formula>
    </cfRule>
    <cfRule type="cellIs" dxfId="2236" priority="18" operator="greaterThan">
      <formula>0.3</formula>
    </cfRule>
  </conditionalFormatting>
  <conditionalFormatting sqref="I160">
    <cfRule type="cellIs" dxfId="2235" priority="7" operator="lessThan">
      <formula>0.3</formula>
    </cfRule>
    <cfRule type="cellIs" dxfId="2234" priority="8" operator="greaterThan">
      <formula>0.3</formula>
    </cfRule>
  </conditionalFormatting>
  <conditionalFormatting sqref="I173">
    <cfRule type="cellIs" dxfId="2233" priority="15" operator="lessThan">
      <formula>0.3</formula>
    </cfRule>
    <cfRule type="cellIs" dxfId="2232" priority="16" operator="greaterThan">
      <formula>0.3</formula>
    </cfRule>
  </conditionalFormatting>
  <conditionalFormatting sqref="I185">
    <cfRule type="cellIs" dxfId="2231" priority="13" operator="lessThan">
      <formula>0.3</formula>
    </cfRule>
    <cfRule type="cellIs" dxfId="2230" priority="14" operator="greaterThan">
      <formula>0.3</formula>
    </cfRule>
  </conditionalFormatting>
  <conditionalFormatting sqref="I196">
    <cfRule type="cellIs" dxfId="2229" priority="11" operator="lessThan">
      <formula>0.3</formula>
    </cfRule>
    <cfRule type="cellIs" dxfId="2228" priority="12" operator="greaterThan">
      <formula>0.3</formula>
    </cfRule>
  </conditionalFormatting>
  <conditionalFormatting sqref="I208">
    <cfRule type="cellIs" dxfId="2227" priority="9" operator="lessThan">
      <formula>0.3</formula>
    </cfRule>
    <cfRule type="cellIs" dxfId="2226" priority="10" operator="greaterThan">
      <formula>0.3</formula>
    </cfRule>
  </conditionalFormatting>
  <conditionalFormatting sqref="I221">
    <cfRule type="cellIs" dxfId="2225" priority="5" operator="lessThan">
      <formula>0.3</formula>
    </cfRule>
    <cfRule type="cellIs" dxfId="2224" priority="6" operator="greaterThan">
      <formula>0.3</formula>
    </cfRule>
  </conditionalFormatting>
  <conditionalFormatting sqref="I236">
    <cfRule type="cellIs" dxfId="2223" priority="3" operator="lessThan">
      <formula>0.3</formula>
    </cfRule>
    <cfRule type="cellIs" dxfId="2222" priority="4" operator="greaterThan">
      <formula>0.3</formula>
    </cfRule>
  </conditionalFormatting>
  <conditionalFormatting sqref="I250">
    <cfRule type="cellIs" dxfId="2221" priority="1" operator="lessThan">
      <formula>0.3</formula>
    </cfRule>
    <cfRule type="cellIs" dxfId="2220" priority="2" operator="greaterThan">
      <formula>0.3</formula>
    </cfRule>
  </conditionalFormatting>
  <pageMargins left="0.7" right="0.7" top="0.75" bottom="0.75" header="0.3" footer="0.3"/>
  <drawing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CAE6-26AF-4B04-B865-4DE71C85BFA0}">
  <dimension ref="B6:I57"/>
  <sheetViews>
    <sheetView showGridLines="0" topLeftCell="A17" zoomScale="80" zoomScaleNormal="80" workbookViewId="0">
      <selection activeCell="S27" sqref="S27"/>
    </sheetView>
  </sheetViews>
  <sheetFormatPr baseColWidth="10" defaultColWidth="10.88671875" defaultRowHeight="13.2" x14ac:dyDescent="0.25"/>
  <cols>
    <col min="1" max="1" width="4" style="40" customWidth="1"/>
    <col min="2" max="2" width="42.109375" style="40" bestFit="1" customWidth="1"/>
    <col min="3" max="3" width="8.6640625" style="40" customWidth="1"/>
    <col min="4" max="4" width="8.5546875" style="40" customWidth="1"/>
    <col min="5" max="5" width="9.44140625" style="40" customWidth="1"/>
    <col min="6" max="6" width="10.88671875" style="40" customWidth="1"/>
    <col min="7" max="7" width="3.33203125" style="40" customWidth="1"/>
    <col min="8" max="8" width="20.33203125" style="40" customWidth="1"/>
    <col min="9" max="9" width="10.88671875" style="40"/>
    <col min="10" max="10" width="2.6640625" style="40" customWidth="1"/>
    <col min="11" max="16384" width="10.88671875" style="40"/>
  </cols>
  <sheetData>
    <row r="6" spans="2:9" x14ac:dyDescent="0.25">
      <c r="B6" s="1" t="s">
        <v>408</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SUM(Tabla110345345445545647945586877869510811712713622823724627233260269297315316384392394396[Total costo])</f>
        <v>221000</v>
      </c>
    </row>
    <row r="8" spans="2:9" x14ac:dyDescent="0.25">
      <c r="B8" s="10" t="s">
        <v>211</v>
      </c>
      <c r="C8" s="11" t="s">
        <v>252</v>
      </c>
      <c r="D8" s="12">
        <v>22</v>
      </c>
      <c r="E8" s="13">
        <f>+VLOOKUP(Tabla110345345445545647945586877869510811712713622823724627233260269297315316384392394396[[#This Row],[Ingrediente]],Tabla34[#All],3,0)</f>
        <v>10045.454545454546</v>
      </c>
      <c r="F8" s="14">
        <f>+Tabla110345345445545647945586877869510811712713622823724627233260269297315316384392394396[[#This Row],[Costo]]*Tabla110345345445545647945586877869510811712713622823724627233260269297315316384392394396[[#This Row],[Cant.]]</f>
        <v>221000</v>
      </c>
      <c r="G8" s="4"/>
      <c r="H8" s="8" t="s">
        <v>372</v>
      </c>
      <c r="I8" s="15"/>
    </row>
    <row r="9" spans="2:9" x14ac:dyDescent="0.25">
      <c r="B9" s="16"/>
      <c r="C9" s="17"/>
      <c r="D9" s="17"/>
      <c r="E9" s="18"/>
      <c r="F9" s="18">
        <f>SUBTOTAL(109,Tabla110345345445545647945586877869510811712713622823724627233260269297315316384392394396[Total costo])</f>
        <v>221000</v>
      </c>
      <c r="G9" s="4"/>
      <c r="H9" s="8" t="s">
        <v>13</v>
      </c>
      <c r="I9" s="15">
        <f>+I7+I8</f>
        <v>221000</v>
      </c>
    </row>
    <row r="10" spans="2:9" x14ac:dyDescent="0.25">
      <c r="G10" s="4"/>
      <c r="H10" s="20" t="s">
        <v>14</v>
      </c>
      <c r="I10" s="21">
        <v>390000</v>
      </c>
    </row>
    <row r="11" spans="2:9" x14ac:dyDescent="0.25">
      <c r="G11" s="4"/>
      <c r="H11" s="8" t="s">
        <v>15</v>
      </c>
      <c r="I11" s="15">
        <f>+I10/1.08*0.08</f>
        <v>28888.888888888887</v>
      </c>
    </row>
    <row r="12" spans="2:9" x14ac:dyDescent="0.25">
      <c r="G12" s="4"/>
      <c r="H12" s="8" t="s">
        <v>16</v>
      </c>
      <c r="I12" s="15">
        <f>+I10-I11</f>
        <v>361111.11111111112</v>
      </c>
    </row>
    <row r="13" spans="2:9" x14ac:dyDescent="0.25">
      <c r="G13" s="4"/>
      <c r="H13" s="8" t="s">
        <v>17</v>
      </c>
      <c r="I13" s="41">
        <f>+I9/I12</f>
        <v>0.61199999999999999</v>
      </c>
    </row>
    <row r="14" spans="2:9" x14ac:dyDescent="0.25">
      <c r="G14" s="4"/>
      <c r="H14" s="8" t="s">
        <v>18</v>
      </c>
      <c r="I14" s="42">
        <f>+I12-I9</f>
        <v>140111.11111111112</v>
      </c>
    </row>
    <row r="15" spans="2:9" x14ac:dyDescent="0.25">
      <c r="G15" s="4"/>
      <c r="H15" s="8" t="s">
        <v>19</v>
      </c>
      <c r="I15" s="43">
        <f>+I14/I9</f>
        <v>0.63398692810457524</v>
      </c>
    </row>
    <row r="21" spans="2:9" x14ac:dyDescent="0.25">
      <c r="B21" s="1" t="s">
        <v>1292</v>
      </c>
      <c r="C21" s="2"/>
      <c r="D21" s="2"/>
      <c r="E21" s="3"/>
      <c r="F21" s="3"/>
      <c r="G21" s="4"/>
      <c r="H21" s="399" t="s">
        <v>0</v>
      </c>
      <c r="I21" s="399"/>
    </row>
    <row r="22" spans="2:9" x14ac:dyDescent="0.25">
      <c r="B22" s="5" t="s">
        <v>1</v>
      </c>
      <c r="C22" s="6" t="s">
        <v>2</v>
      </c>
      <c r="D22" s="6" t="s">
        <v>3</v>
      </c>
      <c r="E22" s="7" t="s">
        <v>4</v>
      </c>
      <c r="F22" s="7" t="s">
        <v>5</v>
      </c>
      <c r="G22" s="4"/>
      <c r="H22" s="8" t="s">
        <v>6</v>
      </c>
      <c r="I22" s="9">
        <f>SUM(Tabla110345345445545647945586877869510811712713622823724627233260269297315316384392394396169[Total costo])</f>
        <v>156675</v>
      </c>
    </row>
    <row r="23" spans="2:9" x14ac:dyDescent="0.25">
      <c r="B23" s="10" t="s">
        <v>1205</v>
      </c>
      <c r="C23" s="11" t="s">
        <v>252</v>
      </c>
      <c r="D23" s="12">
        <v>20</v>
      </c>
      <c r="E23" s="13">
        <f>+VLOOKUP(Tabla110345345445545647945586877869510811712713622823724627233260269297315316384392394396169[[#This Row],[Ingrediente]],Tabla34[#All],3,0)</f>
        <v>7833.75</v>
      </c>
      <c r="F23" s="14">
        <f>+Tabla110345345445545647945586877869510811712713622823724627233260269297315316384392394396169[[#This Row],[Costo]]*Tabla110345345445545647945586877869510811712713622823724627233260269297315316384392394396169[[#This Row],[Cant.]]</f>
        <v>156675</v>
      </c>
      <c r="G23" s="4"/>
      <c r="H23" s="8" t="s">
        <v>372</v>
      </c>
      <c r="I23" s="15"/>
    </row>
    <row r="24" spans="2:9" x14ac:dyDescent="0.25">
      <c r="B24" s="16"/>
      <c r="C24" s="17"/>
      <c r="D24" s="17"/>
      <c r="E24" s="18"/>
      <c r="F24" s="18">
        <f>SUBTOTAL(109,Tabla110345345445545647945586877869510811712713622823724627233260269297315316384392394396169[Total costo])</f>
        <v>156675</v>
      </c>
      <c r="G24" s="4"/>
      <c r="H24" s="8" t="s">
        <v>13</v>
      </c>
      <c r="I24" s="15">
        <f>+I22+I23</f>
        <v>156675</v>
      </c>
    </row>
    <row r="25" spans="2:9" x14ac:dyDescent="0.25">
      <c r="G25" s="4"/>
      <c r="H25" s="20" t="s">
        <v>14</v>
      </c>
      <c r="I25" s="21">
        <v>390000</v>
      </c>
    </row>
    <row r="26" spans="2:9" x14ac:dyDescent="0.25">
      <c r="G26" s="4"/>
      <c r="H26" s="8" t="s">
        <v>15</v>
      </c>
      <c r="I26" s="15">
        <f>+I25/1.08*0.08</f>
        <v>28888.888888888887</v>
      </c>
    </row>
    <row r="27" spans="2:9" x14ac:dyDescent="0.25">
      <c r="G27" s="4"/>
      <c r="H27" s="8" t="s">
        <v>16</v>
      </c>
      <c r="I27" s="15">
        <f>+I25-I26</f>
        <v>361111.11111111112</v>
      </c>
    </row>
    <row r="28" spans="2:9" x14ac:dyDescent="0.25">
      <c r="G28" s="4"/>
      <c r="H28" s="8" t="s">
        <v>17</v>
      </c>
      <c r="I28" s="41">
        <f>+I24/I27</f>
        <v>0.43386923076923073</v>
      </c>
    </row>
    <row r="29" spans="2:9" x14ac:dyDescent="0.25">
      <c r="G29" s="4"/>
      <c r="H29" s="8" t="s">
        <v>18</v>
      </c>
      <c r="I29" s="42">
        <f>+I27-I24</f>
        <v>204436.11111111112</v>
      </c>
    </row>
    <row r="30" spans="2:9" x14ac:dyDescent="0.25">
      <c r="G30" s="4"/>
      <c r="H30" s="8" t="s">
        <v>19</v>
      </c>
      <c r="I30" s="43">
        <f>+I29/I24</f>
        <v>1.3048419410315055</v>
      </c>
    </row>
    <row r="33" spans="2:9" x14ac:dyDescent="0.25">
      <c r="B33" s="19" t="s">
        <v>409</v>
      </c>
      <c r="C33" s="2"/>
      <c r="D33" s="2"/>
      <c r="E33" s="3"/>
      <c r="F33" s="3"/>
      <c r="G33" s="4"/>
      <c r="H33" s="399" t="s">
        <v>0</v>
      </c>
      <c r="I33" s="399"/>
    </row>
    <row r="34" spans="2:9" x14ac:dyDescent="0.25">
      <c r="B34" s="5" t="s">
        <v>1</v>
      </c>
      <c r="C34" s="6" t="s">
        <v>2</v>
      </c>
      <c r="D34" s="6" t="s">
        <v>3</v>
      </c>
      <c r="E34" s="7" t="s">
        <v>4</v>
      </c>
      <c r="F34" s="7" t="s">
        <v>5</v>
      </c>
      <c r="G34" s="4"/>
      <c r="H34" s="8" t="s">
        <v>6</v>
      </c>
      <c r="I34" s="9">
        <f>SUM(Tabla110345345445545647945586877869510811712713622823724627233260269297315316347385393395397192[Total costo])</f>
        <v>20090.909090909092</v>
      </c>
    </row>
    <row r="35" spans="2:9" x14ac:dyDescent="0.25">
      <c r="B35" s="10" t="s">
        <v>211</v>
      </c>
      <c r="C35" s="11" t="s">
        <v>252</v>
      </c>
      <c r="D35" s="12">
        <v>2</v>
      </c>
      <c r="E35" s="13">
        <f>+VLOOKUP(Tabla110345345445545647945586877869510811712713622823724627233260269297315316347385393395397192[[#This Row],[Ingrediente]],Tabla34[#All],3,0)</f>
        <v>10045.454545454546</v>
      </c>
      <c r="F35" s="14">
        <f>+Tabla110345345445545647945586877869510811712713622823724627233260269297315316347385393395397192[[#This Row],[Costo]]*Tabla110345345445545647945586877869510811712713622823724627233260269297315316347385393395397192[[#This Row],[Cant.]]</f>
        <v>20090.909090909092</v>
      </c>
      <c r="G35" s="4"/>
      <c r="H35" s="8" t="s">
        <v>12</v>
      </c>
      <c r="I35" s="15">
        <f>+I34*10%</f>
        <v>2009.0909090909092</v>
      </c>
    </row>
    <row r="36" spans="2:9" x14ac:dyDescent="0.25">
      <c r="B36" s="16"/>
      <c r="C36" s="17"/>
      <c r="D36" s="17"/>
      <c r="E36" s="18"/>
      <c r="F36" s="18">
        <f>SUBTOTAL(109,Tabla110345345445545647945586877869510811712713622823724627233260269297315316347385393395397192[Total costo])</f>
        <v>20090.909090909092</v>
      </c>
      <c r="G36" s="4"/>
      <c r="H36" s="8" t="s">
        <v>13</v>
      </c>
      <c r="I36" s="15">
        <f>+I34+I35</f>
        <v>22100</v>
      </c>
    </row>
    <row r="37" spans="2:9" x14ac:dyDescent="0.25">
      <c r="G37" s="4"/>
      <c r="H37" s="20" t="s">
        <v>14</v>
      </c>
      <c r="I37" s="21">
        <v>40000</v>
      </c>
    </row>
    <row r="38" spans="2:9" x14ac:dyDescent="0.25">
      <c r="G38" s="4"/>
      <c r="H38" s="8" t="s">
        <v>15</v>
      </c>
      <c r="I38" s="15">
        <f>+I37/1.08*0.08</f>
        <v>2962.962962962963</v>
      </c>
    </row>
    <row r="39" spans="2:9" x14ac:dyDescent="0.25">
      <c r="G39" s="4"/>
      <c r="H39" s="8" t="s">
        <v>16</v>
      </c>
      <c r="I39" s="15">
        <f>+I37-I38</f>
        <v>37037.037037037036</v>
      </c>
    </row>
    <row r="40" spans="2:9" x14ac:dyDescent="0.25">
      <c r="G40" s="4"/>
      <c r="H40" s="8" t="s">
        <v>17</v>
      </c>
      <c r="I40" s="41">
        <f>+I36/I39</f>
        <v>0.59670000000000001</v>
      </c>
    </row>
    <row r="41" spans="2:9" x14ac:dyDescent="0.25">
      <c r="G41" s="4"/>
      <c r="H41" s="8" t="s">
        <v>18</v>
      </c>
      <c r="I41" s="42">
        <f>+I39-I36</f>
        <v>14937.037037037036</v>
      </c>
    </row>
    <row r="42" spans="2:9" x14ac:dyDescent="0.25">
      <c r="G42" s="4"/>
      <c r="H42" s="8" t="s">
        <v>19</v>
      </c>
      <c r="I42" s="43">
        <f>+I41/I36</f>
        <v>0.67588402882520526</v>
      </c>
    </row>
    <row r="48" spans="2:9" x14ac:dyDescent="0.25">
      <c r="B48" s="19" t="s">
        <v>1293</v>
      </c>
      <c r="C48" s="2"/>
      <c r="D48" s="2"/>
      <c r="E48" s="3"/>
      <c r="F48" s="3"/>
      <c r="G48" s="4"/>
      <c r="H48" s="399" t="s">
        <v>0</v>
      </c>
      <c r="I48" s="399"/>
    </row>
    <row r="49" spans="2:9" x14ac:dyDescent="0.25">
      <c r="B49" s="5" t="s">
        <v>1</v>
      </c>
      <c r="C49" s="6" t="s">
        <v>2</v>
      </c>
      <c r="D49" s="6" t="s">
        <v>3</v>
      </c>
      <c r="E49" s="7" t="s">
        <v>4</v>
      </c>
      <c r="F49" s="7" t="s">
        <v>5</v>
      </c>
      <c r="G49" s="4"/>
      <c r="H49" s="8" t="s">
        <v>6</v>
      </c>
      <c r="I49" s="9">
        <f>SUM(Tabla110345345445545647945586877869510811712713622823724627233260269297315316347385393395397170193[Total costo])</f>
        <v>15667.5</v>
      </c>
    </row>
    <row r="50" spans="2:9" x14ac:dyDescent="0.25">
      <c r="B50" s="10" t="s">
        <v>1205</v>
      </c>
      <c r="C50" s="11" t="s">
        <v>252</v>
      </c>
      <c r="D50" s="12">
        <v>2</v>
      </c>
      <c r="E50" s="13">
        <f>+VLOOKUP(Tabla110345345445545647945586877869510811712713622823724627233260269297315316347385393395397170193[[#This Row],[Ingrediente]],Tabla34[#All],3,0)</f>
        <v>7833.75</v>
      </c>
      <c r="F50" s="14">
        <f>+Tabla110345345445545647945586877869510811712713622823724627233260269297315316347385393395397170193[[#This Row],[Costo]]*Tabla110345345445545647945586877869510811712713622823724627233260269297315316347385393395397170193[[#This Row],[Cant.]]</f>
        <v>15667.5</v>
      </c>
      <c r="G50" s="4"/>
      <c r="H50" s="8" t="s">
        <v>12</v>
      </c>
      <c r="I50" s="15">
        <f>+I49*10%</f>
        <v>1566.75</v>
      </c>
    </row>
    <row r="51" spans="2:9" x14ac:dyDescent="0.25">
      <c r="B51" s="16"/>
      <c r="C51" s="17"/>
      <c r="D51" s="17"/>
      <c r="E51" s="18"/>
      <c r="F51" s="18">
        <f>SUBTOTAL(109,Tabla110345345445545647945586877869510811712713622823724627233260269297315316347385393395397170193[Total costo])</f>
        <v>15667.5</v>
      </c>
      <c r="G51" s="4"/>
      <c r="H51" s="8" t="s">
        <v>13</v>
      </c>
      <c r="I51" s="15">
        <f>+I49+I50</f>
        <v>17234.25</v>
      </c>
    </row>
    <row r="52" spans="2:9" x14ac:dyDescent="0.25">
      <c r="G52" s="4"/>
      <c r="H52" s="20" t="s">
        <v>14</v>
      </c>
      <c r="I52" s="21">
        <v>40000</v>
      </c>
    </row>
    <row r="53" spans="2:9" x14ac:dyDescent="0.25">
      <c r="G53" s="4"/>
      <c r="H53" s="8" t="s">
        <v>15</v>
      </c>
      <c r="I53" s="15">
        <f>+I52/1.08*0.08</f>
        <v>2962.962962962963</v>
      </c>
    </row>
    <row r="54" spans="2:9" x14ac:dyDescent="0.25">
      <c r="G54" s="4"/>
      <c r="H54" s="8" t="s">
        <v>16</v>
      </c>
      <c r="I54" s="15">
        <f>+I52-I53</f>
        <v>37037.037037037036</v>
      </c>
    </row>
    <row r="55" spans="2:9" x14ac:dyDescent="0.25">
      <c r="G55" s="4"/>
      <c r="H55" s="8" t="s">
        <v>17</v>
      </c>
      <c r="I55" s="41">
        <f>+I51/I54</f>
        <v>0.46532475000000001</v>
      </c>
    </row>
    <row r="56" spans="2:9" x14ac:dyDescent="0.25">
      <c r="G56" s="4"/>
      <c r="H56" s="8" t="s">
        <v>18</v>
      </c>
      <c r="I56" s="42">
        <f>+I54-I51</f>
        <v>19802.787037037036</v>
      </c>
    </row>
    <row r="57" spans="2:9" x14ac:dyDescent="0.25">
      <c r="G57" s="4"/>
      <c r="H57" s="8" t="s">
        <v>19</v>
      </c>
      <c r="I57" s="43">
        <f>+I56/I51</f>
        <v>1.1490367748545505</v>
      </c>
    </row>
  </sheetData>
  <mergeCells count="4">
    <mergeCell ref="H48:I48"/>
    <mergeCell ref="H6:I6"/>
    <mergeCell ref="H21:I21"/>
    <mergeCell ref="H33:I33"/>
  </mergeCells>
  <conditionalFormatting sqref="I13">
    <cfRule type="cellIs" dxfId="2219" priority="11" operator="lessThan">
      <formula>0.3</formula>
    </cfRule>
    <cfRule type="cellIs" dxfId="2218" priority="12" operator="greaterThan">
      <formula>0.3</formula>
    </cfRule>
  </conditionalFormatting>
  <conditionalFormatting sqref="I28">
    <cfRule type="cellIs" dxfId="2217" priority="7" operator="lessThan">
      <formula>0.3</formula>
    </cfRule>
    <cfRule type="cellIs" dxfId="2216" priority="8" operator="greaterThan">
      <formula>0.3</formula>
    </cfRule>
  </conditionalFormatting>
  <conditionalFormatting sqref="I40">
    <cfRule type="cellIs" dxfId="2215" priority="3" operator="lessThan">
      <formula>0.3</formula>
    </cfRule>
    <cfRule type="cellIs" dxfId="2214" priority="4" operator="greaterThan">
      <formula>0.3</formula>
    </cfRule>
  </conditionalFormatting>
  <conditionalFormatting sqref="I55">
    <cfRule type="cellIs" dxfId="2213" priority="1" operator="lessThan">
      <formula>0.3</formula>
    </cfRule>
    <cfRule type="cellIs" dxfId="2212" priority="2" operator="greaterThan">
      <formula>0.3</formula>
    </cfRule>
  </conditionalFormatting>
  <pageMargins left="0.7" right="0.7" top="0.75" bottom="0.75" header="0.3" footer="0.3"/>
  <drawing r:id="rId1"/>
  <tableParts count="4">
    <tablePart r:id="rId2"/>
    <tablePart r:id="rId3"/>
    <tablePart r:id="rId4"/>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1CDDF-8484-4F95-9B8C-9604D83E579E}">
  <dimension ref="B6:I174"/>
  <sheetViews>
    <sheetView showGridLines="0" topLeftCell="A78" zoomScale="80" zoomScaleNormal="80" workbookViewId="0">
      <selection activeCell="P94" sqref="P94"/>
    </sheetView>
  </sheetViews>
  <sheetFormatPr baseColWidth="10" defaultColWidth="10.88671875" defaultRowHeight="13.2" x14ac:dyDescent="0.25"/>
  <cols>
    <col min="1" max="1" width="4" style="40" customWidth="1"/>
    <col min="2" max="2" width="39.33203125" style="40" bestFit="1" customWidth="1"/>
    <col min="3" max="3" width="8.6640625" style="40" customWidth="1"/>
    <col min="4" max="4" width="8.5546875" style="40" customWidth="1"/>
    <col min="5" max="5" width="9.44140625" style="40" customWidth="1"/>
    <col min="6" max="6" width="10.88671875" style="40" customWidth="1"/>
    <col min="7" max="7" width="3.33203125" style="40" customWidth="1"/>
    <col min="8" max="8" width="20.33203125" style="40" customWidth="1"/>
    <col min="9" max="9" width="10.88671875" style="40"/>
    <col min="10" max="10" width="2.6640625" style="40" customWidth="1"/>
    <col min="11" max="16384" width="10.88671875" style="40"/>
  </cols>
  <sheetData>
    <row r="6" spans="2:9" x14ac:dyDescent="0.25">
      <c r="B6" s="19" t="s">
        <v>402</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SUM(Tabla110345345445545647945586877869510811712713622823724627233260269297315316384392394[Total costo])</f>
        <v>22770</v>
      </c>
    </row>
    <row r="8" spans="2:9" x14ac:dyDescent="0.25">
      <c r="B8" s="10" t="s">
        <v>658</v>
      </c>
      <c r="C8" s="11" t="s">
        <v>11</v>
      </c>
      <c r="D8" s="12">
        <v>1</v>
      </c>
      <c r="E8" s="13">
        <f>+VLOOKUP(Tabla110345345445545647945586877869510811712713622823724627233260269297315316384392394[[#This Row],[Ingrediente]],Tabla34[#All],3,0)</f>
        <v>22770</v>
      </c>
      <c r="F8" s="14">
        <f>+Tabla110345345445545647945586877869510811712713622823724627233260269297315316384392394[[#This Row],[Costo]]*Tabla110345345445545647945586877869510811712713622823724627233260269297315316384392394[[#This Row],[Cant.]]</f>
        <v>22770</v>
      </c>
      <c r="G8" s="4"/>
      <c r="H8" s="8" t="s">
        <v>372</v>
      </c>
      <c r="I8" s="15"/>
    </row>
    <row r="9" spans="2:9" x14ac:dyDescent="0.25">
      <c r="B9" s="16"/>
      <c r="C9" s="17"/>
      <c r="D9" s="17"/>
      <c r="E9" s="18"/>
      <c r="F9" s="18">
        <f>SUBTOTAL(109,Tabla110345345445545647945586877869510811712713622823724627233260269297315316384392394[Total costo])</f>
        <v>22770</v>
      </c>
      <c r="G9" s="4"/>
      <c r="H9" s="8" t="s">
        <v>13</v>
      </c>
      <c r="I9" s="15">
        <f>+I7+I8</f>
        <v>22770</v>
      </c>
    </row>
    <row r="10" spans="2:9" x14ac:dyDescent="0.25">
      <c r="G10" s="4"/>
      <c r="H10" s="20" t="s">
        <v>14</v>
      </c>
      <c r="I10" s="21">
        <v>80000</v>
      </c>
    </row>
    <row r="11" spans="2:9" x14ac:dyDescent="0.25">
      <c r="G11" s="4"/>
      <c r="H11" s="8" t="s">
        <v>15</v>
      </c>
      <c r="I11" s="15">
        <f>+I10/1.08*0.08</f>
        <v>5925.9259259259261</v>
      </c>
    </row>
    <row r="12" spans="2:9" x14ac:dyDescent="0.25">
      <c r="G12" s="4"/>
      <c r="H12" s="8" t="s">
        <v>16</v>
      </c>
      <c r="I12" s="15">
        <f>+I10-I11</f>
        <v>74074.074074074073</v>
      </c>
    </row>
    <row r="13" spans="2:9" x14ac:dyDescent="0.25">
      <c r="G13" s="4"/>
      <c r="H13" s="8" t="s">
        <v>17</v>
      </c>
      <c r="I13" s="41">
        <f>+I9/I12</f>
        <v>0.30739500000000003</v>
      </c>
    </row>
    <row r="14" spans="2:9" x14ac:dyDescent="0.25">
      <c r="G14" s="4"/>
      <c r="H14" s="8" t="s">
        <v>18</v>
      </c>
      <c r="I14" s="42">
        <f>+I12-I9</f>
        <v>51304.074074074073</v>
      </c>
    </row>
    <row r="15" spans="2:9" x14ac:dyDescent="0.25">
      <c r="G15" s="4"/>
      <c r="H15" s="8" t="s">
        <v>19</v>
      </c>
      <c r="I15" s="43">
        <f>+I14/I9</f>
        <v>2.2531433497617073</v>
      </c>
    </row>
    <row r="21" spans="2:9" x14ac:dyDescent="0.25">
      <c r="B21" s="19" t="s">
        <v>404</v>
      </c>
      <c r="C21" s="2"/>
      <c r="D21" s="2"/>
      <c r="E21" s="3"/>
      <c r="F21" s="3"/>
      <c r="G21" s="4"/>
      <c r="H21" s="399" t="s">
        <v>0</v>
      </c>
      <c r="I21" s="399"/>
    </row>
    <row r="22" spans="2:9" x14ac:dyDescent="0.25">
      <c r="B22" s="5" t="s">
        <v>1</v>
      </c>
      <c r="C22" s="6" t="s">
        <v>2</v>
      </c>
      <c r="D22" s="6" t="s">
        <v>3</v>
      </c>
      <c r="E22" s="7" t="s">
        <v>4</v>
      </c>
      <c r="F22" s="7" t="s">
        <v>5</v>
      </c>
      <c r="G22" s="4"/>
      <c r="H22" s="8" t="s">
        <v>6</v>
      </c>
      <c r="I22" s="9">
        <f>SUM(Tabla110345345445545647945586877869510811712713622823724627233260269297315316384392394412[Total costo])</f>
        <v>24402.1</v>
      </c>
    </row>
    <row r="23" spans="2:9" x14ac:dyDescent="0.25">
      <c r="B23" s="10" t="s">
        <v>694</v>
      </c>
      <c r="C23" s="11" t="s">
        <v>11</v>
      </c>
      <c r="D23" s="12">
        <v>1</v>
      </c>
      <c r="E23" s="13">
        <f>+VLOOKUP(Tabla110345345445545647945586877869510811712713622823724627233260269297315316384392394412[[#This Row],[Ingrediente]],Tabla34[#All],3,0)</f>
        <v>24402.1</v>
      </c>
      <c r="F23" s="14">
        <f>+Tabla110345345445545647945586877869510811712713622823724627233260269297315316384392394412[[#This Row],[Costo]]*Tabla110345345445545647945586877869510811712713622823724627233260269297315316384392394412[[#This Row],[Cant.]]</f>
        <v>24402.1</v>
      </c>
      <c r="G23" s="4"/>
      <c r="H23" s="8" t="s">
        <v>372</v>
      </c>
      <c r="I23" s="15"/>
    </row>
    <row r="24" spans="2:9" x14ac:dyDescent="0.25">
      <c r="B24" s="16"/>
      <c r="C24" s="17"/>
      <c r="D24" s="17"/>
      <c r="E24" s="18"/>
      <c r="F24" s="18">
        <f>SUBTOTAL(109,Tabla110345345445545647945586877869510811712713622823724627233260269297315316384392394412[Total costo])</f>
        <v>24402.1</v>
      </c>
      <c r="G24" s="4"/>
      <c r="H24" s="8" t="s">
        <v>13</v>
      </c>
      <c r="I24" s="15">
        <f>+I22+I23</f>
        <v>24402.1</v>
      </c>
    </row>
    <row r="25" spans="2:9" x14ac:dyDescent="0.25">
      <c r="G25" s="4"/>
      <c r="H25" s="20" t="s">
        <v>14</v>
      </c>
      <c r="I25" s="21">
        <v>80000</v>
      </c>
    </row>
    <row r="26" spans="2:9" x14ac:dyDescent="0.25">
      <c r="G26" s="4"/>
      <c r="H26" s="8" t="s">
        <v>15</v>
      </c>
      <c r="I26" s="15">
        <f>+I25/1.08*0.08</f>
        <v>5925.9259259259261</v>
      </c>
    </row>
    <row r="27" spans="2:9" x14ac:dyDescent="0.25">
      <c r="G27" s="4"/>
      <c r="H27" s="8" t="s">
        <v>16</v>
      </c>
      <c r="I27" s="15">
        <f>+I25-I26</f>
        <v>74074.074074074073</v>
      </c>
    </row>
    <row r="28" spans="2:9" x14ac:dyDescent="0.25">
      <c r="G28" s="4"/>
      <c r="H28" s="8" t="s">
        <v>17</v>
      </c>
      <c r="I28" s="41">
        <f>+I24/I27</f>
        <v>0.32942834999999998</v>
      </c>
    </row>
    <row r="29" spans="2:9" x14ac:dyDescent="0.25">
      <c r="G29" s="4"/>
      <c r="H29" s="8" t="s">
        <v>18</v>
      </c>
      <c r="I29" s="42">
        <f>+I27-I24</f>
        <v>49671.974074074074</v>
      </c>
    </row>
    <row r="30" spans="2:9" x14ac:dyDescent="0.25">
      <c r="G30" s="4"/>
      <c r="H30" s="8" t="s">
        <v>19</v>
      </c>
      <c r="I30" s="43">
        <f>+I29/I24</f>
        <v>2.035561450615893</v>
      </c>
    </row>
    <row r="34" spans="2:9" x14ac:dyDescent="0.25">
      <c r="B34" s="19" t="s">
        <v>406</v>
      </c>
      <c r="C34" s="2"/>
      <c r="D34" s="2"/>
      <c r="E34" s="3"/>
      <c r="F34" s="3"/>
      <c r="G34" s="4"/>
      <c r="H34" s="399" t="s">
        <v>0</v>
      </c>
      <c r="I34" s="399"/>
    </row>
    <row r="35" spans="2:9" x14ac:dyDescent="0.25">
      <c r="B35" s="5" t="s">
        <v>1</v>
      </c>
      <c r="C35" s="6" t="s">
        <v>2</v>
      </c>
      <c r="D35" s="6" t="s">
        <v>3</v>
      </c>
      <c r="E35" s="7" t="s">
        <v>4</v>
      </c>
      <c r="F35" s="7" t="s">
        <v>5</v>
      </c>
      <c r="G35" s="4"/>
      <c r="H35" s="8" t="s">
        <v>6</v>
      </c>
      <c r="I35" s="9">
        <f>SUM(Tabla110345345445545647945586877869510811712713622823724627233260269297315316384392394414[Total costo])</f>
        <v>21480</v>
      </c>
    </row>
    <row r="36" spans="2:9" x14ac:dyDescent="0.25">
      <c r="B36" s="10" t="s">
        <v>686</v>
      </c>
      <c r="C36" s="11" t="s">
        <v>11</v>
      </c>
      <c r="D36" s="12">
        <v>1</v>
      </c>
      <c r="E36" s="13">
        <f>+VLOOKUP(Tabla110345345445545647945586877869510811712713622823724627233260269297315316384392394414[[#This Row],[Ingrediente]],Tabla34[#All],3,0)</f>
        <v>21480</v>
      </c>
      <c r="F36" s="14">
        <f>+Tabla110345345445545647945586877869510811712713622823724627233260269297315316384392394414[[#This Row],[Costo]]*Tabla110345345445545647945586877869510811712713622823724627233260269297315316384392394414[[#This Row],[Cant.]]</f>
        <v>21480</v>
      </c>
      <c r="G36" s="4"/>
      <c r="H36" s="8" t="s">
        <v>372</v>
      </c>
      <c r="I36" s="15"/>
    </row>
    <row r="37" spans="2:9" x14ac:dyDescent="0.25">
      <c r="B37" s="16"/>
      <c r="C37" s="17"/>
      <c r="D37" s="17"/>
      <c r="E37" s="18"/>
      <c r="F37" s="18">
        <f>SUBTOTAL(109,Tabla110345345445545647945586877869510811712713622823724627233260269297315316384392394414[Total costo])</f>
        <v>21480</v>
      </c>
      <c r="G37" s="4"/>
      <c r="H37" s="8" t="s">
        <v>13</v>
      </c>
      <c r="I37" s="15">
        <f>+I35+I36</f>
        <v>21480</v>
      </c>
    </row>
    <row r="38" spans="2:9" x14ac:dyDescent="0.25">
      <c r="G38" s="4"/>
      <c r="H38" s="20" t="s">
        <v>14</v>
      </c>
      <c r="I38" s="21">
        <v>80000</v>
      </c>
    </row>
    <row r="39" spans="2:9" x14ac:dyDescent="0.25">
      <c r="G39" s="4"/>
      <c r="H39" s="8" t="s">
        <v>15</v>
      </c>
      <c r="I39" s="15">
        <f>+I38/1.08*0.08</f>
        <v>5925.9259259259261</v>
      </c>
    </row>
    <row r="40" spans="2:9" x14ac:dyDescent="0.25">
      <c r="G40" s="4"/>
      <c r="H40" s="8" t="s">
        <v>16</v>
      </c>
      <c r="I40" s="15">
        <f>+I38-I39</f>
        <v>74074.074074074073</v>
      </c>
    </row>
    <row r="41" spans="2:9" x14ac:dyDescent="0.25">
      <c r="G41" s="4"/>
      <c r="H41" s="8" t="s">
        <v>17</v>
      </c>
      <c r="I41" s="41">
        <f>+I37/I40</f>
        <v>0.28998000000000002</v>
      </c>
    </row>
    <row r="42" spans="2:9" x14ac:dyDescent="0.25">
      <c r="G42" s="4"/>
      <c r="H42" s="8" t="s">
        <v>18</v>
      </c>
      <c r="I42" s="42">
        <f>+I40-I37</f>
        <v>52594.074074074073</v>
      </c>
    </row>
    <row r="43" spans="2:9" x14ac:dyDescent="0.25">
      <c r="G43" s="4"/>
      <c r="H43" s="8" t="s">
        <v>19</v>
      </c>
      <c r="I43" s="43">
        <f>+I42/I37</f>
        <v>2.4485136905993516</v>
      </c>
    </row>
    <row r="48" spans="2:9" x14ac:dyDescent="0.25">
      <c r="B48" s="19" t="s">
        <v>1272</v>
      </c>
      <c r="C48" s="2"/>
      <c r="D48" s="2"/>
      <c r="E48" s="3"/>
      <c r="F48" s="3"/>
      <c r="G48" s="4"/>
      <c r="H48" s="399" t="s">
        <v>0</v>
      </c>
      <c r="I48" s="399"/>
    </row>
    <row r="49" spans="2:9" x14ac:dyDescent="0.25">
      <c r="B49" s="5" t="s">
        <v>1</v>
      </c>
      <c r="C49" s="6" t="s">
        <v>2</v>
      </c>
      <c r="D49" s="6" t="s">
        <v>3</v>
      </c>
      <c r="E49" s="7" t="s">
        <v>4</v>
      </c>
      <c r="F49" s="7" t="s">
        <v>5</v>
      </c>
      <c r="G49" s="4"/>
      <c r="H49" s="8" t="s">
        <v>6</v>
      </c>
      <c r="I49" s="9">
        <f>SUM(Tabla110345345445545647945586877869510811712713622823724627233260269297315316347385393395158[Total costo])</f>
        <v>41500.000000079999</v>
      </c>
    </row>
    <row r="50" spans="2:9" x14ac:dyDescent="0.25">
      <c r="B50" s="60" t="s">
        <v>965</v>
      </c>
      <c r="C50" s="11" t="s">
        <v>252</v>
      </c>
      <c r="D50" s="12">
        <v>24</v>
      </c>
      <c r="E50" s="13">
        <f>+VLOOKUP(Tabla110345345445545647945586877869510811712713622823724627233260269297315316347385393395158[[#This Row],[Ingrediente]],Tabla34[#All],3,0)</f>
        <v>1729.16666667</v>
      </c>
      <c r="F50" s="14">
        <f>+Tabla110345345445545647945586877869510811712713622823724627233260269297315316347385393395158[[#This Row],[Costo]]*Tabla110345345445545647945586877869510811712713622823724627233260269297315316347385393395158[[#This Row],[Cant.]]</f>
        <v>41500.000000079999</v>
      </c>
      <c r="G50" s="4"/>
      <c r="H50" s="8" t="s">
        <v>12</v>
      </c>
      <c r="I50" s="15">
        <v>0</v>
      </c>
    </row>
    <row r="51" spans="2:9" x14ac:dyDescent="0.25">
      <c r="B51" s="16"/>
      <c r="C51" s="17"/>
      <c r="D51" s="17"/>
      <c r="E51" s="18"/>
      <c r="F51" s="18">
        <f>SUBTOTAL(109,Tabla110345345445545647945586877869510811712713622823724627233260269297315316347385393395158[Total costo])</f>
        <v>41500.000000079999</v>
      </c>
      <c r="G51" s="4"/>
      <c r="H51" s="8" t="s">
        <v>13</v>
      </c>
      <c r="I51" s="15">
        <f>+I49+I50</f>
        <v>41500.000000079999</v>
      </c>
    </row>
    <row r="52" spans="2:9" x14ac:dyDescent="0.25">
      <c r="G52" s="4"/>
      <c r="H52" s="20" t="s">
        <v>14</v>
      </c>
      <c r="I52" s="21">
        <v>9000</v>
      </c>
    </row>
    <row r="53" spans="2:9" x14ac:dyDescent="0.25">
      <c r="G53" s="4"/>
      <c r="H53" s="8" t="s">
        <v>15</v>
      </c>
      <c r="I53" s="15">
        <f>+I52/1.08*0.08</f>
        <v>666.66666666666663</v>
      </c>
    </row>
    <row r="54" spans="2:9" x14ac:dyDescent="0.25">
      <c r="G54" s="4"/>
      <c r="H54" s="8" t="s">
        <v>16</v>
      </c>
      <c r="I54" s="15">
        <f>+I52-I53</f>
        <v>8333.3333333333339</v>
      </c>
    </row>
    <row r="55" spans="2:9" x14ac:dyDescent="0.25">
      <c r="G55" s="4"/>
      <c r="H55" s="8" t="s">
        <v>17</v>
      </c>
      <c r="I55" s="41">
        <f>+I51/I54</f>
        <v>4.9800000000095999</v>
      </c>
    </row>
    <row r="56" spans="2:9" x14ac:dyDescent="0.25">
      <c r="G56" s="4"/>
      <c r="H56" s="8" t="s">
        <v>18</v>
      </c>
      <c r="I56" s="42">
        <f>+I54-I51</f>
        <v>-33166.666666746663</v>
      </c>
    </row>
    <row r="57" spans="2:9" x14ac:dyDescent="0.25">
      <c r="G57" s="4"/>
      <c r="H57" s="8" t="s">
        <v>19</v>
      </c>
      <c r="I57" s="43">
        <f>+I56/I51</f>
        <v>-0.79919678714898146</v>
      </c>
    </row>
    <row r="63" spans="2:9" x14ac:dyDescent="0.25">
      <c r="B63" s="19" t="s">
        <v>1273</v>
      </c>
      <c r="C63" s="2"/>
      <c r="D63" s="2"/>
      <c r="E63" s="3"/>
      <c r="F63" s="3"/>
      <c r="G63" s="4"/>
      <c r="H63" s="399" t="s">
        <v>0</v>
      </c>
      <c r="I63" s="399"/>
    </row>
    <row r="64" spans="2:9" x14ac:dyDescent="0.25">
      <c r="B64" s="5" t="s">
        <v>1</v>
      </c>
      <c r="C64" s="6" t="s">
        <v>2</v>
      </c>
      <c r="D64" s="6" t="s">
        <v>3</v>
      </c>
      <c r="E64" s="7" t="s">
        <v>4</v>
      </c>
      <c r="F64" s="7" t="s">
        <v>5</v>
      </c>
      <c r="G64" s="4"/>
      <c r="H64" s="8" t="s">
        <v>6</v>
      </c>
      <c r="I64" s="9">
        <f>SUM(Tabla110345345445545647945586877869510811712713622823724627233260269297315316347385393395413159[Total costo])</f>
        <v>45556.999999920001</v>
      </c>
    </row>
    <row r="65" spans="2:9" x14ac:dyDescent="0.25">
      <c r="B65" s="60" t="s">
        <v>955</v>
      </c>
      <c r="C65" s="11" t="s">
        <v>252</v>
      </c>
      <c r="D65" s="12">
        <v>24</v>
      </c>
      <c r="E65" s="13">
        <f>+VLOOKUP(Tabla110345345445545647945586877869510811712713622823724627233260269297315316347385393395413159[[#This Row],[Ingrediente]],Tabla34[#All],3,0)</f>
        <v>1898.20833333</v>
      </c>
      <c r="F65" s="14">
        <f>+Tabla110345345445545647945586877869510811712713622823724627233260269297315316347385393395413159[[#This Row],[Costo]]*Tabla110345345445545647945586877869510811712713622823724627233260269297315316347385393395413159[[#This Row],[Cant.]]</f>
        <v>45556.999999920001</v>
      </c>
      <c r="G65" s="4"/>
      <c r="H65" s="8" t="s">
        <v>12</v>
      </c>
      <c r="I65" s="15"/>
    </row>
    <row r="66" spans="2:9" x14ac:dyDescent="0.25">
      <c r="B66" s="16"/>
      <c r="C66" s="17"/>
      <c r="D66" s="17"/>
      <c r="E66" s="18"/>
      <c r="F66" s="18">
        <f>SUBTOTAL(109,Tabla110345345445545647945586877869510811712713622823724627233260269297315316347385393395413159[Total costo])</f>
        <v>45556.999999920001</v>
      </c>
      <c r="G66" s="4"/>
      <c r="H66" s="8" t="s">
        <v>13</v>
      </c>
      <c r="I66" s="15">
        <f>+I64+I65</f>
        <v>45556.999999920001</v>
      </c>
    </row>
    <row r="67" spans="2:9" x14ac:dyDescent="0.25">
      <c r="G67" s="4"/>
      <c r="H67" s="20" t="s">
        <v>14</v>
      </c>
      <c r="I67" s="21">
        <v>9000</v>
      </c>
    </row>
    <row r="68" spans="2:9" x14ac:dyDescent="0.25">
      <c r="G68" s="4"/>
      <c r="H68" s="8" t="s">
        <v>15</v>
      </c>
      <c r="I68" s="15">
        <f>+I67/1.08*0.08</f>
        <v>666.66666666666663</v>
      </c>
    </row>
    <row r="69" spans="2:9" x14ac:dyDescent="0.25">
      <c r="G69" s="4"/>
      <c r="H69" s="8" t="s">
        <v>16</v>
      </c>
      <c r="I69" s="15">
        <f>+I67-I68</f>
        <v>8333.3333333333339</v>
      </c>
    </row>
    <row r="70" spans="2:9" x14ac:dyDescent="0.25">
      <c r="G70" s="4"/>
      <c r="H70" s="8" t="s">
        <v>17</v>
      </c>
      <c r="I70" s="41">
        <f>+I66/I69</f>
        <v>5.4668399999904</v>
      </c>
    </row>
    <row r="71" spans="2:9" x14ac:dyDescent="0.25">
      <c r="G71" s="4"/>
      <c r="H71" s="8" t="s">
        <v>18</v>
      </c>
      <c r="I71" s="42">
        <f>+I69-I66</f>
        <v>-37223.666666586665</v>
      </c>
    </row>
    <row r="72" spans="2:9" x14ac:dyDescent="0.25">
      <c r="G72" s="4"/>
      <c r="H72" s="8" t="s">
        <v>19</v>
      </c>
      <c r="I72" s="43">
        <f>+I71/I66</f>
        <v>-0.81707897066646251</v>
      </c>
    </row>
    <row r="78" spans="2:9" x14ac:dyDescent="0.25">
      <c r="B78" s="19" t="s">
        <v>1274</v>
      </c>
      <c r="C78" s="2"/>
      <c r="D78" s="2"/>
      <c r="E78" s="3"/>
      <c r="F78" s="3"/>
      <c r="G78" s="4"/>
      <c r="H78" s="399" t="s">
        <v>0</v>
      </c>
      <c r="I78" s="399"/>
    </row>
    <row r="79" spans="2:9" x14ac:dyDescent="0.25">
      <c r="B79" s="5" t="s">
        <v>1</v>
      </c>
      <c r="C79" s="6" t="s">
        <v>2</v>
      </c>
      <c r="D79" s="6" t="s">
        <v>3</v>
      </c>
      <c r="E79" s="7" t="s">
        <v>4</v>
      </c>
      <c r="F79" s="7" t="s">
        <v>5</v>
      </c>
      <c r="G79" s="4"/>
      <c r="H79" s="8" t="s">
        <v>6</v>
      </c>
      <c r="I79" s="9">
        <f>SUM(Tabla110345345445545647945586877869510811712713622823724627233260269297315316347385393395413159160[Total costo])</f>
        <v>39807</v>
      </c>
    </row>
    <row r="80" spans="2:9" x14ac:dyDescent="0.25">
      <c r="B80" s="60" t="s">
        <v>1006</v>
      </c>
      <c r="C80" s="11" t="s">
        <v>252</v>
      </c>
      <c r="D80" s="12">
        <v>24</v>
      </c>
      <c r="E80" s="13">
        <f>+VLOOKUP(Tabla110345345445545647945586877869510811712713622823724627233260269297315316347385393395413159160[[#This Row],[Ingrediente]],Tabla34[#All],3,0)</f>
        <v>1658.625</v>
      </c>
      <c r="F80" s="14">
        <f>+Tabla110345345445545647945586877869510811712713622823724627233260269297315316347385393395413159160[[#This Row],[Costo]]*Tabla110345345445545647945586877869510811712713622823724627233260269297315316347385393395413159160[[#This Row],[Cant.]]</f>
        <v>39807</v>
      </c>
      <c r="G80" s="4"/>
      <c r="H80" s="8" t="s">
        <v>12</v>
      </c>
      <c r="I80" s="15"/>
    </row>
    <row r="81" spans="2:9" x14ac:dyDescent="0.25">
      <c r="B81" s="16"/>
      <c r="C81" s="17"/>
      <c r="D81" s="17"/>
      <c r="E81" s="18"/>
      <c r="F81" s="18">
        <f>SUBTOTAL(109,Tabla110345345445545647945586877869510811712713622823724627233260269297315316347385393395413159160[Total costo])</f>
        <v>39807</v>
      </c>
      <c r="G81" s="4"/>
      <c r="H81" s="8" t="s">
        <v>13</v>
      </c>
      <c r="I81" s="15">
        <f>+I79+I80</f>
        <v>39807</v>
      </c>
    </row>
    <row r="82" spans="2:9" x14ac:dyDescent="0.25">
      <c r="G82" s="4"/>
      <c r="H82" s="20" t="s">
        <v>14</v>
      </c>
      <c r="I82" s="21">
        <v>9000</v>
      </c>
    </row>
    <row r="83" spans="2:9" x14ac:dyDescent="0.25">
      <c r="G83" s="4"/>
      <c r="H83" s="8" t="s">
        <v>15</v>
      </c>
      <c r="I83" s="15">
        <f>+I82/1.08*0.08</f>
        <v>666.66666666666663</v>
      </c>
    </row>
    <row r="84" spans="2:9" x14ac:dyDescent="0.25">
      <c r="G84" s="4"/>
      <c r="H84" s="8" t="s">
        <v>16</v>
      </c>
      <c r="I84" s="15">
        <f>+I82-I83</f>
        <v>8333.3333333333339</v>
      </c>
    </row>
    <row r="85" spans="2:9" x14ac:dyDescent="0.25">
      <c r="G85" s="4"/>
      <c r="H85" s="8" t="s">
        <v>17</v>
      </c>
      <c r="I85" s="41">
        <f>+I81/I84</f>
        <v>4.77684</v>
      </c>
    </row>
    <row r="86" spans="2:9" x14ac:dyDescent="0.25">
      <c r="G86" s="4"/>
      <c r="H86" s="8" t="s">
        <v>18</v>
      </c>
      <c r="I86" s="42">
        <f>+I84-I81</f>
        <v>-31473.666666666664</v>
      </c>
    </row>
    <row r="87" spans="2:9" x14ac:dyDescent="0.25">
      <c r="G87" s="4"/>
      <c r="H87" s="8" t="s">
        <v>19</v>
      </c>
      <c r="I87" s="43">
        <f>+I86/I81</f>
        <v>-0.79065658468778521</v>
      </c>
    </row>
    <row r="93" spans="2:9" x14ac:dyDescent="0.25">
      <c r="B93" s="19" t="s">
        <v>403</v>
      </c>
      <c r="C93" s="2"/>
      <c r="D93" s="2"/>
      <c r="E93" s="3"/>
      <c r="F93" s="3"/>
      <c r="G93" s="4"/>
      <c r="H93" s="399" t="s">
        <v>0</v>
      </c>
      <c r="I93" s="399"/>
    </row>
    <row r="94" spans="2:9" x14ac:dyDescent="0.25">
      <c r="B94" s="5" t="s">
        <v>1</v>
      </c>
      <c r="C94" s="6" t="s">
        <v>2</v>
      </c>
      <c r="D94" s="6" t="s">
        <v>3</v>
      </c>
      <c r="E94" s="7" t="s">
        <v>4</v>
      </c>
      <c r="F94" s="7" t="s">
        <v>5</v>
      </c>
      <c r="G94" s="4"/>
      <c r="H94" s="8" t="s">
        <v>6</v>
      </c>
      <c r="I94" s="9">
        <f>SUM(Tabla110345345445545647945586877869510811712713622823724627233260269297315316347385393395189[Total costo])</f>
        <v>3458.3333333400001</v>
      </c>
    </row>
    <row r="95" spans="2:9" x14ac:dyDescent="0.25">
      <c r="B95" s="60" t="s">
        <v>965</v>
      </c>
      <c r="C95" s="11" t="s">
        <v>252</v>
      </c>
      <c r="D95" s="12">
        <v>2</v>
      </c>
      <c r="E95" s="13">
        <f>+VLOOKUP(Tabla110345345445545647945586877869510811712713622823724627233260269297315316347385393395189[[#This Row],[Ingrediente]],Tabla34[#All],3,0)</f>
        <v>1729.16666667</v>
      </c>
      <c r="F95" s="14">
        <f>+Tabla110345345445545647945586877869510811712713622823724627233260269297315316347385393395189[[#This Row],[Costo]]*Tabla110345345445545647945586877869510811712713622823724627233260269297315316347385393395189[[#This Row],[Cant.]]</f>
        <v>3458.3333333400001</v>
      </c>
      <c r="G95" s="4"/>
      <c r="H95" s="8" t="s">
        <v>12</v>
      </c>
      <c r="I95" s="15">
        <f>+I94*10%</f>
        <v>345.83333333400003</v>
      </c>
    </row>
    <row r="96" spans="2:9" x14ac:dyDescent="0.25">
      <c r="B96" s="16"/>
      <c r="C96" s="17"/>
      <c r="D96" s="17"/>
      <c r="E96" s="18"/>
      <c r="F96" s="18">
        <f>SUBTOTAL(109,Tabla110345345445545647945586877869510811712713622823724627233260269297315316347385393395189[Total costo])</f>
        <v>3458.3333333400001</v>
      </c>
      <c r="G96" s="4"/>
      <c r="H96" s="8" t="s">
        <v>13</v>
      </c>
      <c r="I96" s="15">
        <f>+I94+I95</f>
        <v>3804.1666666740002</v>
      </c>
    </row>
    <row r="97" spans="2:9" x14ac:dyDescent="0.25">
      <c r="G97" s="4"/>
      <c r="H97" s="20" t="s">
        <v>14</v>
      </c>
      <c r="I97" s="21">
        <v>9000</v>
      </c>
    </row>
    <row r="98" spans="2:9" x14ac:dyDescent="0.25">
      <c r="G98" s="4"/>
      <c r="H98" s="8" t="s">
        <v>15</v>
      </c>
      <c r="I98" s="15">
        <f>+I97/1.08*0.08</f>
        <v>666.66666666666663</v>
      </c>
    </row>
    <row r="99" spans="2:9" x14ac:dyDescent="0.25">
      <c r="G99" s="4"/>
      <c r="H99" s="8" t="s">
        <v>16</v>
      </c>
      <c r="I99" s="15">
        <f>+I97-I98</f>
        <v>8333.3333333333339</v>
      </c>
    </row>
    <row r="100" spans="2:9" x14ac:dyDescent="0.25">
      <c r="G100" s="4"/>
      <c r="H100" s="8" t="s">
        <v>17</v>
      </c>
      <c r="I100" s="41">
        <f>+I96/I99</f>
        <v>0.45650000000087998</v>
      </c>
    </row>
    <row r="101" spans="2:9" x14ac:dyDescent="0.25">
      <c r="G101" s="4"/>
      <c r="H101" s="8" t="s">
        <v>18</v>
      </c>
      <c r="I101" s="42">
        <f>+I99-I96</f>
        <v>4529.1666666593337</v>
      </c>
    </row>
    <row r="102" spans="2:9" x14ac:dyDescent="0.25">
      <c r="G102" s="4"/>
      <c r="H102" s="8" t="s">
        <v>19</v>
      </c>
      <c r="I102" s="43">
        <f>+I101/I96</f>
        <v>1.1905805038292931</v>
      </c>
    </row>
    <row r="108" spans="2:9" x14ac:dyDescent="0.25">
      <c r="B108" s="19" t="s">
        <v>405</v>
      </c>
      <c r="C108" s="2"/>
      <c r="D108" s="2"/>
      <c r="E108" s="3"/>
      <c r="F108" s="3"/>
      <c r="G108" s="4"/>
      <c r="H108" s="399" t="s">
        <v>0</v>
      </c>
      <c r="I108" s="399"/>
    </row>
    <row r="109" spans="2:9" x14ac:dyDescent="0.25">
      <c r="B109" s="5" t="s">
        <v>1</v>
      </c>
      <c r="C109" s="6" t="s">
        <v>2</v>
      </c>
      <c r="D109" s="6" t="s">
        <v>3</v>
      </c>
      <c r="E109" s="7" t="s">
        <v>4</v>
      </c>
      <c r="F109" s="7" t="s">
        <v>5</v>
      </c>
      <c r="G109" s="4"/>
      <c r="H109" s="8" t="s">
        <v>6</v>
      </c>
      <c r="I109" s="9">
        <f>SUM(Tabla110345345445545647945586877869510811712713622823724627233260269297315316347385393395413190[Total costo])</f>
        <v>3796.4166666599999</v>
      </c>
    </row>
    <row r="110" spans="2:9" x14ac:dyDescent="0.25">
      <c r="B110" s="60" t="s">
        <v>955</v>
      </c>
      <c r="C110" s="11" t="s">
        <v>252</v>
      </c>
      <c r="D110" s="12">
        <v>2</v>
      </c>
      <c r="E110" s="13">
        <f>+VLOOKUP(Tabla110345345445545647945586877869510811712713622823724627233260269297315316347385393395413190[[#This Row],[Ingrediente]],Tabla34[#All],3,0)</f>
        <v>1898.20833333</v>
      </c>
      <c r="F110" s="14">
        <f>+Tabla110345345445545647945586877869510811712713622823724627233260269297315316347385393395413190[[#This Row],[Costo]]*Tabla110345345445545647945586877869510811712713622823724627233260269297315316347385393395413190[[#This Row],[Cant.]]</f>
        <v>3796.4166666599999</v>
      </c>
      <c r="G110" s="4"/>
      <c r="H110" s="8" t="s">
        <v>12</v>
      </c>
      <c r="I110" s="15">
        <f>+I109*10%</f>
        <v>379.64166666599999</v>
      </c>
    </row>
    <row r="111" spans="2:9" x14ac:dyDescent="0.25">
      <c r="B111" s="16"/>
      <c r="C111" s="17"/>
      <c r="D111" s="17"/>
      <c r="E111" s="18"/>
      <c r="F111" s="18">
        <f>SUBTOTAL(109,Tabla110345345445545647945586877869510811712713622823724627233260269297315316347385393395413190[Total costo])</f>
        <v>3796.4166666599999</v>
      </c>
      <c r="G111" s="4"/>
      <c r="H111" s="8" t="s">
        <v>13</v>
      </c>
      <c r="I111" s="15">
        <f>+I109+I110</f>
        <v>4176.0583333260001</v>
      </c>
    </row>
    <row r="112" spans="2:9" x14ac:dyDescent="0.25">
      <c r="G112" s="4"/>
      <c r="H112" s="20" t="s">
        <v>14</v>
      </c>
      <c r="I112" s="21">
        <v>9000</v>
      </c>
    </row>
    <row r="113" spans="7:9" x14ac:dyDescent="0.25">
      <c r="G113" s="4"/>
      <c r="H113" s="8" t="s">
        <v>15</v>
      </c>
      <c r="I113" s="15">
        <f>+I112/1.08*0.08</f>
        <v>666.66666666666663</v>
      </c>
    </row>
    <row r="114" spans="7:9" x14ac:dyDescent="0.25">
      <c r="G114" s="4"/>
      <c r="H114" s="8" t="s">
        <v>16</v>
      </c>
      <c r="I114" s="15">
        <f>+I112-I113</f>
        <v>8333.3333333333339</v>
      </c>
    </row>
    <row r="115" spans="7:9" x14ac:dyDescent="0.25">
      <c r="G115" s="4"/>
      <c r="H115" s="8" t="s">
        <v>17</v>
      </c>
      <c r="I115" s="41">
        <f>+I111/I114</f>
        <v>0.50112699999912003</v>
      </c>
    </row>
    <row r="116" spans="7:9" x14ac:dyDescent="0.25">
      <c r="G116" s="4"/>
      <c r="H116" s="8" t="s">
        <v>18</v>
      </c>
      <c r="I116" s="42">
        <f>+I114-I111</f>
        <v>4157.2750000073338</v>
      </c>
    </row>
    <row r="117" spans="7:9" x14ac:dyDescent="0.25">
      <c r="G117" s="4"/>
      <c r="H117" s="8" t="s">
        <v>19</v>
      </c>
      <c r="I117" s="43">
        <f>+I116/I111</f>
        <v>0.99550213818404532</v>
      </c>
    </row>
    <row r="165" spans="2:9" x14ac:dyDescent="0.25">
      <c r="B165" s="19" t="s">
        <v>1291</v>
      </c>
      <c r="C165" s="2"/>
      <c r="D165" s="2"/>
      <c r="E165" s="3"/>
      <c r="F165" s="3"/>
      <c r="G165" s="4"/>
      <c r="H165" s="399" t="s">
        <v>0</v>
      </c>
      <c r="I165" s="399"/>
    </row>
    <row r="166" spans="2:9" x14ac:dyDescent="0.25">
      <c r="B166" s="5" t="s">
        <v>1</v>
      </c>
      <c r="C166" s="6" t="s">
        <v>2</v>
      </c>
      <c r="D166" s="6" t="s">
        <v>3</v>
      </c>
      <c r="E166" s="7" t="s">
        <v>4</v>
      </c>
      <c r="F166" s="7" t="s">
        <v>5</v>
      </c>
      <c r="G166" s="4"/>
      <c r="H166" s="8" t="s">
        <v>6</v>
      </c>
      <c r="I166" s="9">
        <f>SUM(Tabla110345345445545647945586877869510811712713622823724627233260269297315316347385393395413159160168191[Total costo])</f>
        <v>3317.25</v>
      </c>
    </row>
    <row r="167" spans="2:9" x14ac:dyDescent="0.25">
      <c r="B167" s="60" t="s">
        <v>1006</v>
      </c>
      <c r="C167" s="11" t="s">
        <v>252</v>
      </c>
      <c r="D167" s="12">
        <v>2</v>
      </c>
      <c r="E167" s="13">
        <f>+VLOOKUP(Tabla110345345445545647945586877869510811712713622823724627233260269297315316347385393395413159160168191[[#This Row],[Ingrediente]],Tabla34[#All],3,0)</f>
        <v>1658.625</v>
      </c>
      <c r="F167" s="14">
        <f>+Tabla110345345445545647945586877869510811712713622823724627233260269297315316347385393395413159160168191[[#This Row],[Costo]]*Tabla110345345445545647945586877869510811712713622823724627233260269297315316347385393395413159160168191[[#This Row],[Cant.]]</f>
        <v>3317.25</v>
      </c>
      <c r="G167" s="4"/>
      <c r="H167" s="8" t="s">
        <v>12</v>
      </c>
      <c r="I167" s="15">
        <f>+I166*5%</f>
        <v>165.86250000000001</v>
      </c>
    </row>
    <row r="168" spans="2:9" x14ac:dyDescent="0.25">
      <c r="B168" s="16"/>
      <c r="C168" s="17"/>
      <c r="D168" s="17"/>
      <c r="E168" s="18"/>
      <c r="F168" s="18">
        <f>SUBTOTAL(109,Tabla110345345445545647945586877869510811712713622823724627233260269297315316347385393395413159160168191[Total costo])</f>
        <v>3317.25</v>
      </c>
      <c r="G168" s="4"/>
      <c r="H168" s="8" t="s">
        <v>13</v>
      </c>
      <c r="I168" s="15">
        <f>+I166+I167</f>
        <v>3483.1125000000002</v>
      </c>
    </row>
    <row r="169" spans="2:9" x14ac:dyDescent="0.25">
      <c r="G169" s="4"/>
      <c r="H169" s="20" t="s">
        <v>14</v>
      </c>
      <c r="I169" s="21">
        <v>9000</v>
      </c>
    </row>
    <row r="170" spans="2:9" x14ac:dyDescent="0.25">
      <c r="G170" s="4"/>
      <c r="H170" s="8" t="s">
        <v>15</v>
      </c>
      <c r="I170" s="15">
        <f>+I169/1.08*0.08</f>
        <v>666.66666666666663</v>
      </c>
    </row>
    <row r="171" spans="2:9" x14ac:dyDescent="0.25">
      <c r="G171" s="4"/>
      <c r="H171" s="8" t="s">
        <v>16</v>
      </c>
      <c r="I171" s="15">
        <f>+I169-I170</f>
        <v>8333.3333333333339</v>
      </c>
    </row>
    <row r="172" spans="2:9" x14ac:dyDescent="0.25">
      <c r="G172" s="4"/>
      <c r="H172" s="8" t="s">
        <v>17</v>
      </c>
      <c r="I172" s="41">
        <f>+I168/I171</f>
        <v>0.4179735</v>
      </c>
    </row>
    <row r="173" spans="2:9" x14ac:dyDescent="0.25">
      <c r="G173" s="4"/>
      <c r="H173" s="8" t="s">
        <v>18</v>
      </c>
      <c r="I173" s="42">
        <f>+I171-I168</f>
        <v>4850.2208333333338</v>
      </c>
    </row>
    <row r="174" spans="2:9" x14ac:dyDescent="0.25">
      <c r="G174" s="4"/>
      <c r="H174" s="8" t="s">
        <v>19</v>
      </c>
      <c r="I174" s="43">
        <f>+I173/I168</f>
        <v>1.3924961749967402</v>
      </c>
    </row>
  </sheetData>
  <mergeCells count="9">
    <mergeCell ref="H165:I165"/>
    <mergeCell ref="H48:I48"/>
    <mergeCell ref="H63:I63"/>
    <mergeCell ref="H78:I78"/>
    <mergeCell ref="H6:I6"/>
    <mergeCell ref="H21:I21"/>
    <mergeCell ref="H34:I34"/>
    <mergeCell ref="H93:I93"/>
    <mergeCell ref="H108:I108"/>
  </mergeCells>
  <conditionalFormatting sqref="I13">
    <cfRule type="cellIs" dxfId="2211" priority="25" operator="lessThan">
      <formula>0.3</formula>
    </cfRule>
    <cfRule type="cellIs" dxfId="2210" priority="26" operator="greaterThan">
      <formula>0.3</formula>
    </cfRule>
  </conditionalFormatting>
  <conditionalFormatting sqref="I28">
    <cfRule type="cellIs" dxfId="2209" priority="21" operator="lessThan">
      <formula>0.3</formula>
    </cfRule>
    <cfRule type="cellIs" dxfId="2208" priority="22" operator="greaterThan">
      <formula>0.3</formula>
    </cfRule>
  </conditionalFormatting>
  <conditionalFormatting sqref="I41">
    <cfRule type="cellIs" dxfId="2207" priority="17" operator="lessThan">
      <formula>0.3</formula>
    </cfRule>
    <cfRule type="cellIs" dxfId="2206" priority="18" operator="greaterThan">
      <formula>0.3</formula>
    </cfRule>
  </conditionalFormatting>
  <conditionalFormatting sqref="I55">
    <cfRule type="cellIs" dxfId="2205" priority="13" operator="lessThan">
      <formula>0.3</formula>
    </cfRule>
    <cfRule type="cellIs" dxfId="2204" priority="14" operator="greaterThan">
      <formula>0.3</formula>
    </cfRule>
  </conditionalFormatting>
  <conditionalFormatting sqref="I70">
    <cfRule type="cellIs" dxfId="2203" priority="11" operator="lessThan">
      <formula>0.3</formula>
    </cfRule>
    <cfRule type="cellIs" dxfId="2202" priority="12" operator="greaterThan">
      <formula>0.3</formula>
    </cfRule>
  </conditionalFormatting>
  <conditionalFormatting sqref="I85">
    <cfRule type="cellIs" dxfId="2201" priority="9" operator="lessThan">
      <formula>0.3</formula>
    </cfRule>
    <cfRule type="cellIs" dxfId="2200" priority="10" operator="greaterThan">
      <formula>0.3</formula>
    </cfRule>
  </conditionalFormatting>
  <conditionalFormatting sqref="I100">
    <cfRule type="cellIs" dxfId="2199" priority="5" operator="lessThan">
      <formula>0.3</formula>
    </cfRule>
    <cfRule type="cellIs" dxfId="2198" priority="6" operator="greaterThan">
      <formula>0.3</formula>
    </cfRule>
  </conditionalFormatting>
  <conditionalFormatting sqref="I115">
    <cfRule type="cellIs" dxfId="2197" priority="3" operator="lessThan">
      <formula>0.3</formula>
    </cfRule>
    <cfRule type="cellIs" dxfId="2196" priority="4" operator="greaterThan">
      <formula>0.3</formula>
    </cfRule>
  </conditionalFormatting>
  <conditionalFormatting sqref="I172">
    <cfRule type="cellIs" dxfId="2195" priority="1" operator="lessThan">
      <formula>0.3</formula>
    </cfRule>
    <cfRule type="cellIs" dxfId="2194" priority="2" operator="greaterThan">
      <formula>0.3</formula>
    </cfRule>
  </conditionalFormatting>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A309-0415-414E-8D8B-18416E6E7EBD}">
  <dimension ref="B6:I131"/>
  <sheetViews>
    <sheetView showGridLines="0" zoomScale="80" zoomScaleNormal="80" workbookViewId="0">
      <selection activeCell="P62" sqref="P62"/>
    </sheetView>
  </sheetViews>
  <sheetFormatPr baseColWidth="10" defaultColWidth="10.88671875" defaultRowHeight="13.2" x14ac:dyDescent="0.25"/>
  <cols>
    <col min="1" max="1" width="4" style="40" customWidth="1"/>
    <col min="2" max="2" width="22.88671875" style="40" customWidth="1"/>
    <col min="3" max="3" width="8.6640625" style="40" customWidth="1"/>
    <col min="4" max="4" width="8.5546875" style="40" customWidth="1"/>
    <col min="5" max="5" width="9.44140625" style="40" customWidth="1"/>
    <col min="6" max="6" width="10.88671875" style="40" customWidth="1"/>
    <col min="7" max="7" width="3.33203125" style="40" customWidth="1"/>
    <col min="8" max="8" width="20.33203125" style="40" customWidth="1"/>
    <col min="9" max="9" width="10.88671875" style="40"/>
    <col min="10" max="10" width="2.6640625" style="40" customWidth="1"/>
    <col min="11" max="16384" width="10.88671875" style="40"/>
  </cols>
  <sheetData>
    <row r="6" spans="2:9" x14ac:dyDescent="0.25">
      <c r="B6" s="1" t="s">
        <v>231</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SUM(Tabla110345345445545647945586877869510811712713622823724627233260269297315316384392[Total costo])</f>
        <v>0</v>
      </c>
    </row>
    <row r="8" spans="2:9" x14ac:dyDescent="0.25">
      <c r="B8" s="10" t="s">
        <v>773</v>
      </c>
      <c r="C8" s="11" t="s">
        <v>252</v>
      </c>
      <c r="D8" s="12">
        <v>20</v>
      </c>
      <c r="E8" s="13">
        <f>+VLOOKUP(Tabla110345345445545647945586877869510811712713622823724627233260269297315316384392[[#This Row],[Ingrediente]],Tabla34[#All],3,0)</f>
        <v>0</v>
      </c>
      <c r="F8" s="14">
        <f>+Tabla110345345445545647945586877869510811712713622823724627233260269297315316384392[[#This Row],[Costo]]*Tabla110345345445545647945586877869510811712713622823724627233260269297315316384392[[#This Row],[Cant.]]</f>
        <v>0</v>
      </c>
      <c r="G8" s="4"/>
      <c r="H8" s="8" t="s">
        <v>372</v>
      </c>
      <c r="I8" s="15"/>
    </row>
    <row r="9" spans="2:9" x14ac:dyDescent="0.25">
      <c r="B9" s="16"/>
      <c r="C9" s="17"/>
      <c r="D9" s="17"/>
      <c r="E9" s="18"/>
      <c r="F9" s="18">
        <f>SUBTOTAL(109,Tabla110345345445545647945586877869510811712713622823724627233260269297315316384392[Total costo])</f>
        <v>0</v>
      </c>
      <c r="G9" s="4"/>
      <c r="H9" s="8" t="s">
        <v>13</v>
      </c>
      <c r="I9" s="15">
        <f>+I7+I8</f>
        <v>0</v>
      </c>
    </row>
    <row r="10" spans="2:9" x14ac:dyDescent="0.25">
      <c r="G10" s="4"/>
      <c r="H10" s="20" t="s">
        <v>14</v>
      </c>
      <c r="I10" s="21">
        <v>437000</v>
      </c>
    </row>
    <row r="11" spans="2:9" x14ac:dyDescent="0.25">
      <c r="G11" s="4"/>
      <c r="H11" s="8" t="s">
        <v>15</v>
      </c>
      <c r="I11" s="15">
        <f>+I10/1.08*0.08</f>
        <v>32370.370370370369</v>
      </c>
    </row>
    <row r="12" spans="2:9" x14ac:dyDescent="0.25">
      <c r="G12" s="4"/>
      <c r="H12" s="8" t="s">
        <v>16</v>
      </c>
      <c r="I12" s="15">
        <f>+I10-I11</f>
        <v>404629.62962962961</v>
      </c>
    </row>
    <row r="13" spans="2:9" x14ac:dyDescent="0.25">
      <c r="G13" s="4"/>
      <c r="H13" s="8" t="s">
        <v>17</v>
      </c>
      <c r="I13" s="41">
        <f>+I9/I12</f>
        <v>0</v>
      </c>
    </row>
    <row r="14" spans="2:9" x14ac:dyDescent="0.25">
      <c r="G14" s="4"/>
      <c r="H14" s="8" t="s">
        <v>18</v>
      </c>
      <c r="I14" s="42">
        <f>+I12-I9</f>
        <v>404629.62962962961</v>
      </c>
    </row>
    <row r="15" spans="2:9" x14ac:dyDescent="0.25">
      <c r="G15" s="4"/>
      <c r="H15" s="8" t="s">
        <v>19</v>
      </c>
      <c r="I15" s="43" t="e">
        <f>+I14/I9</f>
        <v>#DIV/0!</v>
      </c>
    </row>
    <row r="19" spans="2:9" x14ac:dyDescent="0.25">
      <c r="B19" s="1" t="s">
        <v>256</v>
      </c>
      <c r="C19" s="2"/>
      <c r="D19" s="2"/>
      <c r="E19" s="3"/>
      <c r="F19" s="3"/>
      <c r="G19" s="4"/>
      <c r="H19" s="399" t="s">
        <v>0</v>
      </c>
      <c r="I19" s="399"/>
    </row>
    <row r="20" spans="2:9" x14ac:dyDescent="0.25">
      <c r="B20" s="5" t="s">
        <v>1</v>
      </c>
      <c r="C20" s="6" t="s">
        <v>2</v>
      </c>
      <c r="D20" s="6" t="s">
        <v>3</v>
      </c>
      <c r="E20" s="7" t="s">
        <v>4</v>
      </c>
      <c r="F20" s="7" t="s">
        <v>5</v>
      </c>
      <c r="G20" s="4"/>
      <c r="H20" s="8" t="s">
        <v>6</v>
      </c>
      <c r="I20" s="9">
        <f>SUM(Tabla110345345445545647945586877869510811712713622823724627233260269297315316384392398[Total costo])</f>
        <v>131340</v>
      </c>
    </row>
    <row r="21" spans="2:9" x14ac:dyDescent="0.25">
      <c r="B21" s="10" t="s">
        <v>230</v>
      </c>
      <c r="C21" s="11" t="s">
        <v>252</v>
      </c>
      <c r="D21" s="12">
        <v>20</v>
      </c>
      <c r="E21" s="13">
        <f>+VLOOKUP(Tabla110345345445545647945586877869510811712713622823724627233260269297315316384392398[[#This Row],[Ingrediente]],Tabla34[#All],3,0)</f>
        <v>6567</v>
      </c>
      <c r="F21" s="14">
        <f>+Tabla110345345445545647945586877869510811712713622823724627233260269297315316384392398[[#This Row],[Costo]]*Tabla110345345445545647945586877869510811712713622823724627233260269297315316384392398[[#This Row],[Cant.]]</f>
        <v>131340</v>
      </c>
      <c r="G21" s="4"/>
      <c r="H21" s="8" t="s">
        <v>372</v>
      </c>
      <c r="I21" s="15"/>
    </row>
    <row r="22" spans="2:9" x14ac:dyDescent="0.25">
      <c r="B22" s="16"/>
      <c r="C22" s="17"/>
      <c r="D22" s="17"/>
      <c r="E22" s="18"/>
      <c r="F22" s="18">
        <f>SUBTOTAL(109,Tabla110345345445545647945586877869510811712713622823724627233260269297315316384392398[Total costo])</f>
        <v>131340</v>
      </c>
      <c r="G22" s="4"/>
      <c r="H22" s="8" t="s">
        <v>13</v>
      </c>
      <c r="I22" s="15">
        <f>+I20+I21</f>
        <v>131340</v>
      </c>
    </row>
    <row r="23" spans="2:9" x14ac:dyDescent="0.25">
      <c r="G23" s="4"/>
      <c r="H23" s="20" t="s">
        <v>14</v>
      </c>
      <c r="I23" s="21">
        <v>280000</v>
      </c>
    </row>
    <row r="24" spans="2:9" x14ac:dyDescent="0.25">
      <c r="G24" s="4"/>
      <c r="H24" s="8" t="s">
        <v>15</v>
      </c>
      <c r="I24" s="15">
        <f>+I23/1.08*0.08</f>
        <v>20740.740740740741</v>
      </c>
    </row>
    <row r="25" spans="2:9" x14ac:dyDescent="0.25">
      <c r="G25" s="4"/>
      <c r="H25" s="8" t="s">
        <v>16</v>
      </c>
      <c r="I25" s="15">
        <f>+I23-I24</f>
        <v>259259.25925925927</v>
      </c>
    </row>
    <row r="26" spans="2:9" x14ac:dyDescent="0.25">
      <c r="G26" s="4"/>
      <c r="H26" s="8" t="s">
        <v>17</v>
      </c>
      <c r="I26" s="41">
        <f>+I22/I25</f>
        <v>0.50659714285714286</v>
      </c>
    </row>
    <row r="27" spans="2:9" x14ac:dyDescent="0.25">
      <c r="G27" s="4"/>
      <c r="H27" s="8" t="s">
        <v>18</v>
      </c>
      <c r="I27" s="42">
        <f>+I25-I22</f>
        <v>127919.25925925927</v>
      </c>
    </row>
    <row r="28" spans="2:9" x14ac:dyDescent="0.25">
      <c r="G28" s="4"/>
      <c r="H28" s="8" t="s">
        <v>19</v>
      </c>
      <c r="I28" s="43">
        <f>+I27/I22</f>
        <v>0.97395507278254356</v>
      </c>
    </row>
    <row r="32" spans="2:9" x14ac:dyDescent="0.25">
      <c r="B32" s="1" t="s">
        <v>395</v>
      </c>
      <c r="C32" s="2"/>
      <c r="D32" s="2"/>
      <c r="E32" s="3"/>
      <c r="F32" s="3"/>
      <c r="G32" s="4"/>
      <c r="H32" s="399" t="s">
        <v>0</v>
      </c>
      <c r="I32" s="399"/>
    </row>
    <row r="33" spans="2:9" x14ac:dyDescent="0.25">
      <c r="B33" s="5" t="s">
        <v>1</v>
      </c>
      <c r="C33" s="6" t="s">
        <v>2</v>
      </c>
      <c r="D33" s="6" t="s">
        <v>3</v>
      </c>
      <c r="E33" s="7" t="s">
        <v>4</v>
      </c>
      <c r="F33" s="7" t="s">
        <v>5</v>
      </c>
      <c r="G33" s="4"/>
      <c r="H33" s="8" t="s">
        <v>6</v>
      </c>
      <c r="I33" s="9">
        <f>SUM(Tabla110345345445545647945586877869510811712713622823724627233260269297315316384392400[Total costo])</f>
        <v>214236</v>
      </c>
    </row>
    <row r="34" spans="2:9" x14ac:dyDescent="0.25">
      <c r="B34" s="10" t="s">
        <v>204</v>
      </c>
      <c r="C34" s="11" t="s">
        <v>252</v>
      </c>
      <c r="D34" s="12">
        <v>22</v>
      </c>
      <c r="E34" s="13">
        <f>+VLOOKUP(Tabla110345345445545647945586877869510811712713622823724627233260269297315316384392400[[#This Row],[Ingrediente]],Tabla34[#All],3,0)</f>
        <v>9738</v>
      </c>
      <c r="F34" s="14">
        <f>+Tabla110345345445545647945586877869510811712713622823724627233260269297315316384392400[[#This Row],[Costo]]*Tabla110345345445545647945586877869510811712713622823724627233260269297315316384392400[[#This Row],[Cant.]]</f>
        <v>214236</v>
      </c>
      <c r="G34" s="4"/>
      <c r="H34" s="8" t="s">
        <v>372</v>
      </c>
      <c r="I34" s="15"/>
    </row>
    <row r="35" spans="2:9" x14ac:dyDescent="0.25">
      <c r="B35" s="16"/>
      <c r="C35" s="17"/>
      <c r="D35" s="17"/>
      <c r="E35" s="18"/>
      <c r="F35" s="18">
        <f>SUBTOTAL(109,Tabla110345345445545647945586877869510811712713622823724627233260269297315316384392400[Total costo])</f>
        <v>214236</v>
      </c>
      <c r="G35" s="4"/>
      <c r="H35" s="8" t="s">
        <v>13</v>
      </c>
      <c r="I35" s="15">
        <f>+I33+I34</f>
        <v>214236</v>
      </c>
    </row>
    <row r="36" spans="2:9" x14ac:dyDescent="0.25">
      <c r="G36" s="4"/>
      <c r="H36" s="20" t="s">
        <v>14</v>
      </c>
      <c r="I36" s="21">
        <v>445000</v>
      </c>
    </row>
    <row r="37" spans="2:9" x14ac:dyDescent="0.25">
      <c r="G37" s="4"/>
      <c r="H37" s="8" t="s">
        <v>15</v>
      </c>
      <c r="I37" s="15">
        <f>+I36/1.08*0.08</f>
        <v>32962.962962962964</v>
      </c>
    </row>
    <row r="38" spans="2:9" x14ac:dyDescent="0.25">
      <c r="G38" s="4"/>
      <c r="H38" s="8" t="s">
        <v>16</v>
      </c>
      <c r="I38" s="15">
        <f>+I36-I37</f>
        <v>412037.03703703702</v>
      </c>
    </row>
    <row r="39" spans="2:9" x14ac:dyDescent="0.25">
      <c r="G39" s="4"/>
      <c r="H39" s="8" t="s">
        <v>17</v>
      </c>
      <c r="I39" s="41">
        <f>+I35/I38</f>
        <v>0.51994355056179775</v>
      </c>
    </row>
    <row r="40" spans="2:9" x14ac:dyDescent="0.25">
      <c r="G40" s="4"/>
      <c r="H40" s="8" t="s">
        <v>18</v>
      </c>
      <c r="I40" s="42">
        <f>+I38-I35</f>
        <v>197801.03703703702</v>
      </c>
    </row>
    <row r="41" spans="2:9" x14ac:dyDescent="0.25">
      <c r="G41" s="4"/>
      <c r="H41" s="8" t="s">
        <v>19</v>
      </c>
      <c r="I41" s="43">
        <f>+I40/I35</f>
        <v>0.92328570845720148</v>
      </c>
    </row>
    <row r="44" spans="2:9" x14ac:dyDescent="0.25">
      <c r="B44" s="1" t="s">
        <v>396</v>
      </c>
      <c r="C44" s="2"/>
      <c r="D44" s="2"/>
      <c r="E44" s="3"/>
      <c r="F44" s="3"/>
      <c r="G44" s="4"/>
      <c r="H44" s="399" t="s">
        <v>0</v>
      </c>
      <c r="I44" s="399"/>
    </row>
    <row r="45" spans="2:9" x14ac:dyDescent="0.25">
      <c r="B45" s="5" t="s">
        <v>1</v>
      </c>
      <c r="C45" s="6" t="s">
        <v>2</v>
      </c>
      <c r="D45" s="6" t="s">
        <v>3</v>
      </c>
      <c r="E45" s="7" t="s">
        <v>4</v>
      </c>
      <c r="F45" s="7" t="s">
        <v>5</v>
      </c>
      <c r="G45" s="4"/>
      <c r="H45" s="8" t="s">
        <v>6</v>
      </c>
      <c r="I45" s="9">
        <f>SUM(Tabla110345345445545647945586877869510811712713622823724627233260269297315316384392402[Total costo])</f>
        <v>150480</v>
      </c>
    </row>
    <row r="46" spans="2:9" x14ac:dyDescent="0.25">
      <c r="B46" s="10" t="s">
        <v>117</v>
      </c>
      <c r="C46" s="11" t="s">
        <v>252</v>
      </c>
      <c r="D46" s="12">
        <v>22</v>
      </c>
      <c r="E46" s="13">
        <f>+VLOOKUP(Tabla110345345445545647945586877869510811712713622823724627233260269297315316384392402[[#This Row],[Ingrediente]],Tabla34[#All],3,0)</f>
        <v>6840</v>
      </c>
      <c r="F46" s="14">
        <f>+Tabla110345345445545647945586877869510811712713622823724627233260269297315316384392402[[#This Row],[Costo]]*Tabla110345345445545647945586877869510811712713622823724627233260269297315316384392402[[#This Row],[Cant.]]</f>
        <v>150480</v>
      </c>
      <c r="G46" s="4"/>
      <c r="H46" s="8" t="s">
        <v>372</v>
      </c>
      <c r="I46" s="15"/>
    </row>
    <row r="47" spans="2:9" x14ac:dyDescent="0.25">
      <c r="B47" s="16"/>
      <c r="C47" s="17"/>
      <c r="D47" s="17"/>
      <c r="E47" s="18"/>
      <c r="F47" s="18">
        <f>SUBTOTAL(109,Tabla110345345445545647945586877869510811712713622823724627233260269297315316384392402[Total costo])</f>
        <v>150480</v>
      </c>
      <c r="G47" s="4"/>
      <c r="H47" s="8" t="s">
        <v>13</v>
      </c>
      <c r="I47" s="15">
        <f>+I45+I46</f>
        <v>150480</v>
      </c>
    </row>
    <row r="48" spans="2:9" x14ac:dyDescent="0.25">
      <c r="G48" s="4"/>
      <c r="H48" s="20" t="s">
        <v>14</v>
      </c>
      <c r="I48" s="21">
        <v>290000</v>
      </c>
    </row>
    <row r="49" spans="2:9" x14ac:dyDescent="0.25">
      <c r="G49" s="4"/>
      <c r="H49" s="8" t="s">
        <v>15</v>
      </c>
      <c r="I49" s="15">
        <f>+I48/1.08*0.08</f>
        <v>21481.481481481478</v>
      </c>
    </row>
    <row r="50" spans="2:9" x14ac:dyDescent="0.25">
      <c r="G50" s="4"/>
      <c r="H50" s="8" t="s">
        <v>16</v>
      </c>
      <c r="I50" s="15">
        <f>+I48-I49</f>
        <v>268518.51851851854</v>
      </c>
    </row>
    <row r="51" spans="2:9" x14ac:dyDescent="0.25">
      <c r="G51" s="4"/>
      <c r="H51" s="8" t="s">
        <v>17</v>
      </c>
      <c r="I51" s="41">
        <f>+I47/I50</f>
        <v>0.56040827586206887</v>
      </c>
    </row>
    <row r="52" spans="2:9" x14ac:dyDescent="0.25">
      <c r="G52" s="4"/>
      <c r="H52" s="8" t="s">
        <v>18</v>
      </c>
      <c r="I52" s="42">
        <f>+I50-I47</f>
        <v>118038.51851851854</v>
      </c>
    </row>
    <row r="53" spans="2:9" x14ac:dyDescent="0.25">
      <c r="G53" s="4"/>
      <c r="H53" s="8" t="s">
        <v>19</v>
      </c>
      <c r="I53" s="43">
        <f>+I52/I47</f>
        <v>0.78441333412093661</v>
      </c>
    </row>
    <row r="58" spans="2:9" x14ac:dyDescent="0.25">
      <c r="B58" s="1" t="s">
        <v>397</v>
      </c>
      <c r="C58" s="2"/>
      <c r="D58" s="2"/>
      <c r="E58" s="3"/>
      <c r="F58" s="3"/>
      <c r="G58" s="4"/>
      <c r="H58" s="399" t="s">
        <v>0</v>
      </c>
      <c r="I58" s="399"/>
    </row>
    <row r="59" spans="2:9" x14ac:dyDescent="0.25">
      <c r="B59" s="5" t="s">
        <v>1</v>
      </c>
      <c r="C59" s="6" t="s">
        <v>2</v>
      </c>
      <c r="D59" s="6" t="s">
        <v>3</v>
      </c>
      <c r="E59" s="7" t="s">
        <v>4</v>
      </c>
      <c r="F59" s="7" t="s">
        <v>5</v>
      </c>
      <c r="G59" s="4"/>
      <c r="H59" s="8" t="s">
        <v>6</v>
      </c>
      <c r="I59" s="9">
        <f>SUM(Tabla110345345445545647945586877869510811712713622823724627233260269297315316384392404[Total costo])</f>
        <v>137001.00000003999</v>
      </c>
    </row>
    <row r="60" spans="2:9" x14ac:dyDescent="0.25">
      <c r="B60" s="10" t="s">
        <v>664</v>
      </c>
      <c r="C60" s="11" t="s">
        <v>252</v>
      </c>
      <c r="D60" s="12">
        <v>22</v>
      </c>
      <c r="E60" s="13">
        <f>+VLOOKUP(Tabla110345345445545647945586877869510811712713622823724627233260269297315316384392404[[#This Row],[Ingrediente]],Tabla34[#All],3,0)</f>
        <v>6227.3181818200001</v>
      </c>
      <c r="F60" s="14">
        <f>+Tabla110345345445545647945586877869510811712713622823724627233260269297315316384392404[[#This Row],[Costo]]*Tabla110345345445545647945586877869510811712713622823724627233260269297315316384392404[[#This Row],[Cant.]]</f>
        <v>137001.00000003999</v>
      </c>
      <c r="G60" s="4"/>
      <c r="H60" s="8" t="s">
        <v>372</v>
      </c>
      <c r="I60" s="15"/>
    </row>
    <row r="61" spans="2:9" x14ac:dyDescent="0.25">
      <c r="B61" s="16"/>
      <c r="C61" s="17"/>
      <c r="D61" s="17"/>
      <c r="E61" s="18"/>
      <c r="F61" s="18">
        <f>SUBTOTAL(109,Tabla110345345445545647945586877869510811712713622823724627233260269297315316384392404[Total costo])</f>
        <v>137001.00000003999</v>
      </c>
      <c r="G61" s="4"/>
      <c r="H61" s="8" t="s">
        <v>13</v>
      </c>
      <c r="I61" s="15">
        <f>+I59+I60</f>
        <v>137001.00000003999</v>
      </c>
    </row>
    <row r="62" spans="2:9" x14ac:dyDescent="0.25">
      <c r="G62" s="4"/>
      <c r="H62" s="20" t="s">
        <v>14</v>
      </c>
      <c r="I62" s="21">
        <v>290000</v>
      </c>
    </row>
    <row r="63" spans="2:9" x14ac:dyDescent="0.25">
      <c r="G63" s="4"/>
      <c r="H63" s="8" t="s">
        <v>15</v>
      </c>
      <c r="I63" s="15">
        <f>+I62/1.08*0.08</f>
        <v>21481.481481481478</v>
      </c>
    </row>
    <row r="64" spans="2:9" x14ac:dyDescent="0.25">
      <c r="G64" s="4"/>
      <c r="H64" s="8" t="s">
        <v>16</v>
      </c>
      <c r="I64" s="15">
        <f>+I62-I63</f>
        <v>268518.51851851854</v>
      </c>
    </row>
    <row r="65" spans="2:9" x14ac:dyDescent="0.25">
      <c r="G65" s="4"/>
      <c r="H65" s="8" t="s">
        <v>17</v>
      </c>
      <c r="I65" s="41">
        <f>+I61/I64</f>
        <v>0.51021062068980405</v>
      </c>
    </row>
    <row r="66" spans="2:9" x14ac:dyDescent="0.25">
      <c r="G66" s="4"/>
      <c r="H66" s="8" t="s">
        <v>18</v>
      </c>
      <c r="I66" s="42">
        <f>+I64-I61</f>
        <v>131517.51851847855</v>
      </c>
    </row>
    <row r="67" spans="2:9" x14ac:dyDescent="0.25">
      <c r="G67" s="4"/>
      <c r="H67" s="8" t="s">
        <v>19</v>
      </c>
      <c r="I67" s="43">
        <f>+I66/I61</f>
        <v>0.95997487988000207</v>
      </c>
    </row>
    <row r="70" spans="2:9" x14ac:dyDescent="0.25">
      <c r="B70" s="19" t="s">
        <v>393</v>
      </c>
      <c r="C70" s="2"/>
      <c r="D70" s="2"/>
      <c r="E70" s="3"/>
      <c r="F70" s="3"/>
      <c r="G70" s="4"/>
      <c r="H70" s="399" t="s">
        <v>0</v>
      </c>
      <c r="I70" s="399"/>
    </row>
    <row r="71" spans="2:9" x14ac:dyDescent="0.25">
      <c r="B71" s="5" t="s">
        <v>1</v>
      </c>
      <c r="C71" s="6" t="s">
        <v>2</v>
      </c>
      <c r="D71" s="6" t="s">
        <v>3</v>
      </c>
      <c r="E71" s="7" t="s">
        <v>4</v>
      </c>
      <c r="F71" s="7" t="s">
        <v>5</v>
      </c>
      <c r="G71" s="4"/>
      <c r="H71" s="8" t="s">
        <v>6</v>
      </c>
      <c r="I71" s="9">
        <f>SUM(Tabla110345345445545647945586877869510811712713622823724627233260269297315316347385393194[Total costo])</f>
        <v>0</v>
      </c>
    </row>
    <row r="72" spans="2:9" x14ac:dyDescent="0.25">
      <c r="B72" s="10" t="s">
        <v>773</v>
      </c>
      <c r="C72" s="11" t="s">
        <v>252</v>
      </c>
      <c r="D72" s="12">
        <v>2</v>
      </c>
      <c r="E72" s="13">
        <f>+VLOOKUP(Tabla110345345445545647945586877869510811712713622823724627233260269297315316347385393194[[#This Row],[Ingrediente]],Tabla34[#All],3,0)</f>
        <v>0</v>
      </c>
      <c r="F72" s="14">
        <f>+Tabla110345345445545647945586877869510811712713622823724627233260269297315316347385393194[[#This Row],[Costo]]*Tabla110345345445545647945586877869510811712713622823724627233260269297315316347385393194[[#This Row],[Cant.]]</f>
        <v>0</v>
      </c>
      <c r="G72" s="4"/>
      <c r="H72" s="8" t="s">
        <v>12</v>
      </c>
      <c r="I72" s="15">
        <f>+I71*10%</f>
        <v>0</v>
      </c>
    </row>
    <row r="73" spans="2:9" x14ac:dyDescent="0.25">
      <c r="B73" s="16"/>
      <c r="C73" s="17"/>
      <c r="D73" s="17"/>
      <c r="E73" s="18"/>
      <c r="F73" s="18">
        <f>SUBTOTAL(109,Tabla110345345445545647945586877869510811712713622823724627233260269297315316347385393194[Total costo])</f>
        <v>0</v>
      </c>
      <c r="G73" s="4"/>
      <c r="H73" s="8" t="s">
        <v>13</v>
      </c>
      <c r="I73" s="15">
        <f>+I71+I72</f>
        <v>0</v>
      </c>
    </row>
    <row r="74" spans="2:9" x14ac:dyDescent="0.25">
      <c r="G74" s="4"/>
      <c r="H74" s="20" t="s">
        <v>14</v>
      </c>
      <c r="I74" s="21">
        <v>44700</v>
      </c>
    </row>
    <row r="75" spans="2:9" x14ac:dyDescent="0.25">
      <c r="G75" s="4"/>
      <c r="H75" s="8" t="s">
        <v>15</v>
      </c>
      <c r="I75" s="15">
        <f>+I74/1.08*0.08</f>
        <v>3311.1111111111109</v>
      </c>
    </row>
    <row r="76" spans="2:9" x14ac:dyDescent="0.25">
      <c r="G76" s="4"/>
      <c r="H76" s="8" t="s">
        <v>16</v>
      </c>
      <c r="I76" s="15">
        <f>+I74-I75</f>
        <v>41388.888888888891</v>
      </c>
    </row>
    <row r="77" spans="2:9" x14ac:dyDescent="0.25">
      <c r="G77" s="4"/>
      <c r="H77" s="8" t="s">
        <v>17</v>
      </c>
      <c r="I77" s="41">
        <f>+I73/I76</f>
        <v>0</v>
      </c>
    </row>
    <row r="78" spans="2:9" x14ac:dyDescent="0.25">
      <c r="G78" s="4"/>
      <c r="H78" s="8" t="s">
        <v>18</v>
      </c>
      <c r="I78" s="42">
        <f>+I76-I73</f>
        <v>41388.888888888891</v>
      </c>
    </row>
    <row r="79" spans="2:9" x14ac:dyDescent="0.25">
      <c r="G79" s="4"/>
      <c r="H79" s="8" t="s">
        <v>19</v>
      </c>
      <c r="I79" s="43" t="e">
        <f>+I78/I73</f>
        <v>#DIV/0!</v>
      </c>
    </row>
    <row r="83" spans="2:9" x14ac:dyDescent="0.25">
      <c r="B83" s="19" t="s">
        <v>394</v>
      </c>
      <c r="C83" s="2"/>
      <c r="D83" s="2"/>
      <c r="E83" s="3"/>
      <c r="F83" s="3"/>
      <c r="G83" s="4"/>
      <c r="H83" s="399" t="s">
        <v>0</v>
      </c>
      <c r="I83" s="399"/>
    </row>
    <row r="84" spans="2:9" x14ac:dyDescent="0.25">
      <c r="B84" s="5" t="s">
        <v>1</v>
      </c>
      <c r="C84" s="6" t="s">
        <v>2</v>
      </c>
      <c r="D84" s="6" t="s">
        <v>3</v>
      </c>
      <c r="E84" s="7" t="s">
        <v>4</v>
      </c>
      <c r="F84" s="7" t="s">
        <v>5</v>
      </c>
      <c r="G84" s="4"/>
      <c r="H84" s="8" t="s">
        <v>6</v>
      </c>
      <c r="I84" s="9">
        <f>SUM(Tabla110345345445545647945586877869510811712713622823724627233260269297315316347385393399195[Total costo])</f>
        <v>13134</v>
      </c>
    </row>
    <row r="85" spans="2:9" x14ac:dyDescent="0.25">
      <c r="B85" s="10" t="s">
        <v>230</v>
      </c>
      <c r="C85" s="11" t="s">
        <v>252</v>
      </c>
      <c r="D85" s="12">
        <v>2</v>
      </c>
      <c r="E85" s="13">
        <f>+VLOOKUP(Tabla110345345445545647945586877869510811712713622823724627233260269297315316347385393399195[[#This Row],[Ingrediente]],Tabla34[#All],3,0)</f>
        <v>6567</v>
      </c>
      <c r="F85" s="14">
        <f>+Tabla110345345445545647945586877869510811712713622823724627233260269297315316347385393399195[[#This Row],[Costo]]*Tabla110345345445545647945586877869510811712713622823724627233260269297315316347385393399195[[#This Row],[Cant.]]</f>
        <v>13134</v>
      </c>
      <c r="G85" s="4"/>
      <c r="H85" s="8" t="s">
        <v>12</v>
      </c>
      <c r="I85" s="15">
        <f>+I84*10%</f>
        <v>1313.4</v>
      </c>
    </row>
    <row r="86" spans="2:9" x14ac:dyDescent="0.25">
      <c r="B86" s="16"/>
      <c r="C86" s="17"/>
      <c r="D86" s="17"/>
      <c r="E86" s="18"/>
      <c r="F86" s="18">
        <f>SUBTOTAL(109,Tabla110345345445545647945586877869510811712713622823724627233260269297315316347385393399195[Total costo])</f>
        <v>13134</v>
      </c>
      <c r="G86" s="4"/>
      <c r="H86" s="8" t="s">
        <v>13</v>
      </c>
      <c r="I86" s="15">
        <f>+I84+I85</f>
        <v>14447.4</v>
      </c>
    </row>
    <row r="87" spans="2:9" x14ac:dyDescent="0.25">
      <c r="G87" s="4"/>
      <c r="H87" s="20" t="s">
        <v>14</v>
      </c>
      <c r="I87" s="21">
        <v>29000</v>
      </c>
    </row>
    <row r="88" spans="2:9" x14ac:dyDescent="0.25">
      <c r="G88" s="4"/>
      <c r="H88" s="8" t="s">
        <v>15</v>
      </c>
      <c r="I88" s="15">
        <f>+I87/1.08*0.08</f>
        <v>2148.1481481481483</v>
      </c>
    </row>
    <row r="89" spans="2:9" x14ac:dyDescent="0.25">
      <c r="G89" s="4"/>
      <c r="H89" s="8" t="s">
        <v>16</v>
      </c>
      <c r="I89" s="15">
        <f>+I87-I88</f>
        <v>26851.85185185185</v>
      </c>
    </row>
    <row r="90" spans="2:9" x14ac:dyDescent="0.25">
      <c r="G90" s="4"/>
      <c r="H90" s="8" t="s">
        <v>17</v>
      </c>
      <c r="I90" s="41">
        <f>+I86/I89</f>
        <v>0.53804110344827583</v>
      </c>
    </row>
    <row r="91" spans="2:9" x14ac:dyDescent="0.25">
      <c r="G91" s="4"/>
      <c r="H91" s="8" t="s">
        <v>18</v>
      </c>
      <c r="I91" s="42">
        <f>+I89-I86</f>
        <v>12404.451851851851</v>
      </c>
    </row>
    <row r="92" spans="2:9" x14ac:dyDescent="0.25">
      <c r="G92" s="4"/>
      <c r="H92" s="8" t="s">
        <v>19</v>
      </c>
      <c r="I92" s="43">
        <f>+I91/I86</f>
        <v>0.8585940620355117</v>
      </c>
    </row>
    <row r="96" spans="2:9" x14ac:dyDescent="0.25">
      <c r="B96" s="19" t="s">
        <v>399</v>
      </c>
      <c r="C96" s="2"/>
      <c r="D96" s="2"/>
      <c r="E96" s="3"/>
      <c r="F96" s="3"/>
      <c r="G96" s="4"/>
      <c r="H96" s="399" t="s">
        <v>0</v>
      </c>
      <c r="I96" s="399"/>
    </row>
    <row r="97" spans="2:9" x14ac:dyDescent="0.25">
      <c r="B97" s="5" t="s">
        <v>1</v>
      </c>
      <c r="C97" s="6" t="s">
        <v>2</v>
      </c>
      <c r="D97" s="6" t="s">
        <v>3</v>
      </c>
      <c r="E97" s="7" t="s">
        <v>4</v>
      </c>
      <c r="F97" s="7" t="s">
        <v>5</v>
      </c>
      <c r="G97" s="4"/>
      <c r="H97" s="8" t="s">
        <v>6</v>
      </c>
      <c r="I97" s="9">
        <f>SUM(Tabla110345345445545647945586877869510811712713622823724627233260269297315316347385393401196[Total costo])</f>
        <v>19476</v>
      </c>
    </row>
    <row r="98" spans="2:9" x14ac:dyDescent="0.25">
      <c r="B98" s="10" t="s">
        <v>204</v>
      </c>
      <c r="C98" s="11" t="s">
        <v>252</v>
      </c>
      <c r="D98" s="12">
        <v>2</v>
      </c>
      <c r="E98" s="13">
        <f>+VLOOKUP(Tabla110345345445545647945586877869510811712713622823724627233260269297315316347385393401196[[#This Row],[Ingrediente]],Tabla34[#All],3,0)</f>
        <v>9738</v>
      </c>
      <c r="F98" s="14">
        <f>+Tabla110345345445545647945586877869510811712713622823724627233260269297315316347385393401196[[#This Row],[Costo]]*Tabla110345345445545647945586877869510811712713622823724627233260269297315316347385393401196[[#This Row],[Cant.]]</f>
        <v>19476</v>
      </c>
      <c r="G98" s="4"/>
      <c r="H98" s="8" t="s">
        <v>12</v>
      </c>
      <c r="I98" s="15">
        <f>+I97*10%</f>
        <v>1947.6000000000001</v>
      </c>
    </row>
    <row r="99" spans="2:9" x14ac:dyDescent="0.25">
      <c r="B99" s="16"/>
      <c r="C99" s="17"/>
      <c r="D99" s="17"/>
      <c r="E99" s="18"/>
      <c r="F99" s="18">
        <f>SUBTOTAL(109,Tabla110345345445545647945586877869510811712713622823724627233260269297315316347385393401196[Total costo])</f>
        <v>19476</v>
      </c>
      <c r="G99" s="4"/>
      <c r="H99" s="8" t="s">
        <v>13</v>
      </c>
      <c r="I99" s="15">
        <f>+I97+I98</f>
        <v>21423.599999999999</v>
      </c>
    </row>
    <row r="100" spans="2:9" x14ac:dyDescent="0.25">
      <c r="G100" s="4"/>
      <c r="H100" s="20" t="s">
        <v>14</v>
      </c>
      <c r="I100" s="21">
        <v>40000</v>
      </c>
    </row>
    <row r="101" spans="2:9" x14ac:dyDescent="0.25">
      <c r="G101" s="4"/>
      <c r="H101" s="8" t="s">
        <v>15</v>
      </c>
      <c r="I101" s="15">
        <f>+I100/1.08*0.08</f>
        <v>2962.962962962963</v>
      </c>
    </row>
    <row r="102" spans="2:9" x14ac:dyDescent="0.25">
      <c r="G102" s="4"/>
      <c r="H102" s="8" t="s">
        <v>16</v>
      </c>
      <c r="I102" s="15">
        <f>+I100-I101</f>
        <v>37037.037037037036</v>
      </c>
    </row>
    <row r="103" spans="2:9" x14ac:dyDescent="0.25">
      <c r="G103" s="4"/>
      <c r="H103" s="8" t="s">
        <v>17</v>
      </c>
      <c r="I103" s="41">
        <f>+I99/I102</f>
        <v>0.57843719999999998</v>
      </c>
    </row>
    <row r="104" spans="2:9" x14ac:dyDescent="0.25">
      <c r="G104" s="4"/>
      <c r="H104" s="8" t="s">
        <v>18</v>
      </c>
      <c r="I104" s="42">
        <f>+I102-I99</f>
        <v>15613.437037037038</v>
      </c>
    </row>
    <row r="105" spans="2:9" x14ac:dyDescent="0.25">
      <c r="G105" s="4"/>
      <c r="H105" s="8" t="s">
        <v>19</v>
      </c>
      <c r="I105" s="43">
        <f>+I104/I99</f>
        <v>0.72879614243343971</v>
      </c>
    </row>
    <row r="108" spans="2:9" x14ac:dyDescent="0.25">
      <c r="B108" s="19" t="s">
        <v>400</v>
      </c>
      <c r="C108" s="2"/>
      <c r="D108" s="2"/>
      <c r="E108" s="3"/>
      <c r="F108" s="3"/>
      <c r="G108" s="4"/>
      <c r="H108" s="399" t="s">
        <v>0</v>
      </c>
      <c r="I108" s="399"/>
    </row>
    <row r="109" spans="2:9" x14ac:dyDescent="0.25">
      <c r="B109" s="5" t="s">
        <v>1</v>
      </c>
      <c r="C109" s="6" t="s">
        <v>2</v>
      </c>
      <c r="D109" s="6" t="s">
        <v>3</v>
      </c>
      <c r="E109" s="7" t="s">
        <v>4</v>
      </c>
      <c r="F109" s="7" t="s">
        <v>5</v>
      </c>
      <c r="G109" s="4"/>
      <c r="H109" s="8" t="s">
        <v>6</v>
      </c>
      <c r="I109" s="9">
        <f>SUM(Tabla110345345445545647945586877869510811712713622823724627233260269297315316347385393403197[Total costo])</f>
        <v>13680</v>
      </c>
    </row>
    <row r="110" spans="2:9" x14ac:dyDescent="0.25">
      <c r="B110" s="10" t="s">
        <v>117</v>
      </c>
      <c r="C110" s="11" t="s">
        <v>252</v>
      </c>
      <c r="D110" s="12">
        <v>2</v>
      </c>
      <c r="E110" s="13">
        <f>+VLOOKUP(Tabla110345345445545647945586877869510811712713622823724627233260269297315316347385393403197[[#This Row],[Ingrediente]],Tabla34[#All],3,0)</f>
        <v>6840</v>
      </c>
      <c r="F110" s="14">
        <f>+Tabla110345345445545647945586877869510811712713622823724627233260269297315316347385393403197[[#This Row],[Costo]]*Tabla110345345445545647945586877869510811712713622823724627233260269297315316347385393403197[[#This Row],[Cant.]]</f>
        <v>13680</v>
      </c>
      <c r="G110" s="4"/>
      <c r="H110" s="8" t="s">
        <v>12</v>
      </c>
      <c r="I110" s="15">
        <f>+I109*10%</f>
        <v>1368</v>
      </c>
    </row>
    <row r="111" spans="2:9" x14ac:dyDescent="0.25">
      <c r="B111" s="16"/>
      <c r="C111" s="17"/>
      <c r="D111" s="17"/>
      <c r="E111" s="18"/>
      <c r="F111" s="18">
        <f>SUBTOTAL(109,Tabla110345345445545647945586877869510811712713622823724627233260269297315316347385393403197[Total costo])</f>
        <v>13680</v>
      </c>
      <c r="G111" s="4"/>
      <c r="H111" s="8" t="s">
        <v>13</v>
      </c>
      <c r="I111" s="15">
        <f>+I109+I110</f>
        <v>15048</v>
      </c>
    </row>
    <row r="112" spans="2:9" x14ac:dyDescent="0.25">
      <c r="G112" s="4"/>
      <c r="H112" s="20" t="s">
        <v>14</v>
      </c>
      <c r="I112" s="21">
        <v>30000</v>
      </c>
    </row>
    <row r="113" spans="2:9" x14ac:dyDescent="0.25">
      <c r="G113" s="4"/>
      <c r="H113" s="8" t="s">
        <v>15</v>
      </c>
      <c r="I113" s="15">
        <f>+I112/1.08*0.08</f>
        <v>2222.2222222222222</v>
      </c>
    </row>
    <row r="114" spans="2:9" x14ac:dyDescent="0.25">
      <c r="G114" s="4"/>
      <c r="H114" s="8" t="s">
        <v>16</v>
      </c>
      <c r="I114" s="15">
        <f>+I112-I113</f>
        <v>27777.777777777777</v>
      </c>
    </row>
    <row r="115" spans="2:9" x14ac:dyDescent="0.25">
      <c r="G115" s="4"/>
      <c r="H115" s="8" t="s">
        <v>17</v>
      </c>
      <c r="I115" s="41">
        <f>+I111/I114</f>
        <v>0.54172799999999999</v>
      </c>
    </row>
    <row r="116" spans="2:9" x14ac:dyDescent="0.25">
      <c r="G116" s="4"/>
      <c r="H116" s="8" t="s">
        <v>18</v>
      </c>
      <c r="I116" s="42">
        <f>+I114-I111</f>
        <v>12729.777777777777</v>
      </c>
    </row>
    <row r="117" spans="2:9" x14ac:dyDescent="0.25">
      <c r="G117" s="4"/>
      <c r="H117" s="8" t="s">
        <v>19</v>
      </c>
      <c r="I117" s="43">
        <f>+I116/I111</f>
        <v>0.84594482840096874</v>
      </c>
    </row>
    <row r="122" spans="2:9" x14ac:dyDescent="0.25">
      <c r="B122" s="19" t="s">
        <v>398</v>
      </c>
      <c r="C122" s="2"/>
      <c r="D122" s="2"/>
      <c r="E122" s="3"/>
      <c r="F122" s="3"/>
      <c r="G122" s="4"/>
      <c r="H122" s="399" t="s">
        <v>0</v>
      </c>
      <c r="I122" s="399"/>
    </row>
    <row r="123" spans="2:9" x14ac:dyDescent="0.25">
      <c r="B123" s="5" t="s">
        <v>1</v>
      </c>
      <c r="C123" s="6" t="s">
        <v>2</v>
      </c>
      <c r="D123" s="6" t="s">
        <v>3</v>
      </c>
      <c r="E123" s="7" t="s">
        <v>4</v>
      </c>
      <c r="F123" s="7" t="s">
        <v>5</v>
      </c>
      <c r="G123" s="4"/>
      <c r="H123" s="8" t="s">
        <v>6</v>
      </c>
      <c r="I123" s="9">
        <f>SUM(Tabla110345345445545647945586877869510811712713622823724627233260269297315316347385393405198[Total costo])</f>
        <v>12454.63636364</v>
      </c>
    </row>
    <row r="124" spans="2:9" x14ac:dyDescent="0.25">
      <c r="B124" s="10" t="s">
        <v>664</v>
      </c>
      <c r="C124" s="11" t="s">
        <v>252</v>
      </c>
      <c r="D124" s="12">
        <v>2</v>
      </c>
      <c r="E124" s="13">
        <f>+VLOOKUP(Tabla110345345445545647945586877869510811712713622823724627233260269297315316347385393405198[[#This Row],[Ingrediente]],Tabla34[#All],3,0)</f>
        <v>6227.3181818200001</v>
      </c>
      <c r="F124" s="14">
        <f>+Tabla110345345445545647945586877869510811712713622823724627233260269297315316347385393405198[[#This Row],[Costo]]*Tabla110345345445545647945586877869510811712713622823724627233260269297315316347385393405198[[#This Row],[Cant.]]</f>
        <v>12454.63636364</v>
      </c>
      <c r="G124" s="4"/>
      <c r="H124" s="8" t="s">
        <v>12</v>
      </c>
      <c r="I124" s="15">
        <f>+I123*10%</f>
        <v>1245.4636363640002</v>
      </c>
    </row>
    <row r="125" spans="2:9" x14ac:dyDescent="0.25">
      <c r="B125" s="16"/>
      <c r="C125" s="17"/>
      <c r="D125" s="17"/>
      <c r="E125" s="18"/>
      <c r="F125" s="18">
        <f>SUBTOTAL(109,Tabla110345345445545647945586877869510811712713622823724627233260269297315316347385393405198[Total costo])</f>
        <v>12454.63636364</v>
      </c>
      <c r="G125" s="4"/>
      <c r="H125" s="8" t="s">
        <v>13</v>
      </c>
      <c r="I125" s="15">
        <f>+I123+I124</f>
        <v>13700.100000004</v>
      </c>
    </row>
    <row r="126" spans="2:9" x14ac:dyDescent="0.25">
      <c r="G126" s="4"/>
      <c r="H126" s="20" t="s">
        <v>14</v>
      </c>
      <c r="I126" s="21">
        <v>28000</v>
      </c>
    </row>
    <row r="127" spans="2:9" x14ac:dyDescent="0.25">
      <c r="G127" s="4"/>
      <c r="H127" s="8" t="s">
        <v>15</v>
      </c>
      <c r="I127" s="15">
        <f>+I126/1.08*0.08</f>
        <v>2074.0740740740739</v>
      </c>
    </row>
    <row r="128" spans="2:9" x14ac:dyDescent="0.25">
      <c r="G128" s="4"/>
      <c r="H128" s="8" t="s">
        <v>16</v>
      </c>
      <c r="I128" s="15">
        <f>+I126-I127</f>
        <v>25925.925925925927</v>
      </c>
    </row>
    <row r="129" spans="7:9" x14ac:dyDescent="0.25">
      <c r="G129" s="4"/>
      <c r="H129" s="8" t="s">
        <v>17</v>
      </c>
      <c r="I129" s="41">
        <f>+I125/I128</f>
        <v>0.5284324285715829</v>
      </c>
    </row>
    <row r="130" spans="7:9" x14ac:dyDescent="0.25">
      <c r="G130" s="4"/>
      <c r="H130" s="8" t="s">
        <v>18</v>
      </c>
      <c r="I130" s="42">
        <f>+I128-I125</f>
        <v>12225.825925921927</v>
      </c>
    </row>
    <row r="131" spans="7:9" x14ac:dyDescent="0.25">
      <c r="G131" s="4"/>
      <c r="H131" s="8" t="s">
        <v>19</v>
      </c>
      <c r="I131" s="43">
        <f>+I130/I125</f>
        <v>0.89238953919448449</v>
      </c>
    </row>
  </sheetData>
  <mergeCells count="10">
    <mergeCell ref="H70:I70"/>
    <mergeCell ref="H83:I83"/>
    <mergeCell ref="H96:I96"/>
    <mergeCell ref="H108:I108"/>
    <mergeCell ref="H122:I122"/>
    <mergeCell ref="H44:I44"/>
    <mergeCell ref="H58:I58"/>
    <mergeCell ref="H6:I6"/>
    <mergeCell ref="H19:I19"/>
    <mergeCell ref="H32:I32"/>
  </mergeCells>
  <conditionalFormatting sqref="I13">
    <cfRule type="cellIs" dxfId="2193" priority="29" operator="lessThan">
      <formula>0.3</formula>
    </cfRule>
    <cfRule type="cellIs" dxfId="2192" priority="30" operator="greaterThan">
      <formula>0.3</formula>
    </cfRule>
  </conditionalFormatting>
  <conditionalFormatting sqref="I26">
    <cfRule type="cellIs" dxfId="2191" priority="25" operator="lessThan">
      <formula>0.3</formula>
    </cfRule>
    <cfRule type="cellIs" dxfId="2190" priority="26" operator="greaterThan">
      <formula>0.3</formula>
    </cfRule>
  </conditionalFormatting>
  <conditionalFormatting sqref="I39">
    <cfRule type="cellIs" dxfId="2189" priority="21" operator="lessThan">
      <formula>0.3</formula>
    </cfRule>
    <cfRule type="cellIs" dxfId="2188" priority="22" operator="greaterThan">
      <formula>0.3</formula>
    </cfRule>
  </conditionalFormatting>
  <conditionalFormatting sqref="I51">
    <cfRule type="cellIs" dxfId="2187" priority="17" operator="lessThan">
      <formula>0.3</formula>
    </cfRule>
    <cfRule type="cellIs" dxfId="2186" priority="18" operator="greaterThan">
      <formula>0.3</formula>
    </cfRule>
  </conditionalFormatting>
  <conditionalFormatting sqref="I65">
    <cfRule type="cellIs" dxfId="2185" priority="13" operator="lessThan">
      <formula>0.3</formula>
    </cfRule>
    <cfRule type="cellIs" dxfId="2184" priority="14" operator="greaterThan">
      <formula>0.3</formula>
    </cfRule>
  </conditionalFormatting>
  <conditionalFormatting sqref="I77">
    <cfRule type="cellIs" dxfId="2183" priority="9" operator="lessThan">
      <formula>0.3</formula>
    </cfRule>
    <cfRule type="cellIs" dxfId="2182" priority="10" operator="greaterThan">
      <formula>0.3</formula>
    </cfRule>
  </conditionalFormatting>
  <conditionalFormatting sqref="I90">
    <cfRule type="cellIs" dxfId="2181" priority="7" operator="lessThan">
      <formula>0.3</formula>
    </cfRule>
    <cfRule type="cellIs" dxfId="2180" priority="8" operator="greaterThan">
      <formula>0.3</formula>
    </cfRule>
  </conditionalFormatting>
  <conditionalFormatting sqref="I103">
    <cfRule type="cellIs" dxfId="2179" priority="5" operator="lessThan">
      <formula>0.3</formula>
    </cfRule>
    <cfRule type="cellIs" dxfId="2178" priority="6" operator="greaterThan">
      <formula>0.3</formula>
    </cfRule>
  </conditionalFormatting>
  <conditionalFormatting sqref="I115">
    <cfRule type="cellIs" dxfId="2177" priority="3" operator="lessThan">
      <formula>0.3</formula>
    </cfRule>
    <cfRule type="cellIs" dxfId="2176" priority="4" operator="greaterThan">
      <formula>0.3</formula>
    </cfRule>
  </conditionalFormatting>
  <conditionalFormatting sqref="I129">
    <cfRule type="cellIs" dxfId="2175" priority="1" operator="lessThan">
      <formula>0.3</formula>
    </cfRule>
    <cfRule type="cellIs" dxfId="2174" priority="2" operator="greaterThan">
      <formula>0.3</formula>
    </cfRule>
  </conditionalFormatting>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9FEE-5906-4BE0-A5ED-DC0D5CE2DD92}">
  <dimension ref="B6:I75"/>
  <sheetViews>
    <sheetView showGridLines="0" topLeftCell="A27" zoomScale="91" zoomScaleNormal="91" workbookViewId="0">
      <selection activeCell="K27" sqref="K1:R1048576"/>
    </sheetView>
  </sheetViews>
  <sheetFormatPr baseColWidth="10" defaultColWidth="10.88671875" defaultRowHeight="13.2" x14ac:dyDescent="0.25"/>
  <cols>
    <col min="1" max="1" width="4" style="40" customWidth="1"/>
    <col min="2" max="2" width="22.88671875" style="40" customWidth="1"/>
    <col min="3" max="3" width="8.6640625" style="40" customWidth="1"/>
    <col min="4" max="4" width="8.5546875" style="40" customWidth="1"/>
    <col min="5" max="5" width="9.44140625" style="40" customWidth="1"/>
    <col min="6" max="6" width="10.88671875" style="40" customWidth="1"/>
    <col min="7" max="7" width="3.33203125" style="40" customWidth="1"/>
    <col min="8" max="8" width="20.33203125" style="40" customWidth="1"/>
    <col min="9" max="9" width="10.88671875" style="40"/>
    <col min="10" max="10" width="2.6640625" style="40" customWidth="1"/>
    <col min="11" max="16384" width="10.88671875" style="40"/>
  </cols>
  <sheetData>
    <row r="6" spans="2:9" x14ac:dyDescent="0.25">
      <c r="B6" s="1" t="s">
        <v>370</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SUM(Tabla110345345445545647945586877869510811712713622823724627233260269297315316[Total costo])</f>
        <v>193996</v>
      </c>
    </row>
    <row r="8" spans="2:9" x14ac:dyDescent="0.25">
      <c r="B8" s="10" t="s">
        <v>1219</v>
      </c>
      <c r="C8" s="11" t="s">
        <v>252</v>
      </c>
      <c r="D8" s="12">
        <v>22</v>
      </c>
      <c r="E8" s="13">
        <f>+VLOOKUP(Tabla110345345445545647945586877869510811712713622823724627233260269297315316[[#This Row],[Ingrediente]],Tabla34[#All],3,0)</f>
        <v>8818</v>
      </c>
      <c r="F8" s="14">
        <f>+Tabla110345345445545647945586877869510811712713622823724627233260269297315316[[#This Row],[Costo]]*Tabla110345345445545647945586877869510811712713622823724627233260269297315316[[#This Row],[Cant.]]</f>
        <v>193996</v>
      </c>
      <c r="G8" s="4"/>
      <c r="H8" s="8" t="s">
        <v>372</v>
      </c>
      <c r="I8" s="15"/>
    </row>
    <row r="9" spans="2:9" x14ac:dyDescent="0.25">
      <c r="B9" s="16"/>
      <c r="C9" s="17"/>
      <c r="D9" s="17"/>
      <c r="E9" s="18"/>
      <c r="F9" s="18">
        <f>SUBTOTAL(109,Tabla110345345445545647945586877869510811712713622823724627233260269297315316[Total costo])</f>
        <v>193996</v>
      </c>
      <c r="G9" s="4"/>
      <c r="H9" s="8" t="s">
        <v>13</v>
      </c>
      <c r="I9" s="15">
        <f>+I7+I8</f>
        <v>193996</v>
      </c>
    </row>
    <row r="10" spans="2:9" x14ac:dyDescent="0.25">
      <c r="G10" s="4"/>
      <c r="H10" s="20" t="s">
        <v>14</v>
      </c>
      <c r="I10" s="21">
        <v>240000</v>
      </c>
    </row>
    <row r="11" spans="2:9" x14ac:dyDescent="0.25">
      <c r="G11" s="4"/>
      <c r="H11" s="8" t="s">
        <v>15</v>
      </c>
      <c r="I11" s="15">
        <f>+I10/1.08*0.08</f>
        <v>17777.777777777777</v>
      </c>
    </row>
    <row r="12" spans="2:9" x14ac:dyDescent="0.25">
      <c r="G12" s="4"/>
      <c r="H12" s="8" t="s">
        <v>16</v>
      </c>
      <c r="I12" s="15">
        <f>+I10-I11</f>
        <v>222222.22222222222</v>
      </c>
    </row>
    <row r="13" spans="2:9" x14ac:dyDescent="0.25">
      <c r="G13" s="4"/>
      <c r="H13" s="8" t="s">
        <v>17</v>
      </c>
      <c r="I13" s="41">
        <f>+I9/I12</f>
        <v>0.87298200000000004</v>
      </c>
    </row>
    <row r="14" spans="2:9" x14ac:dyDescent="0.25">
      <c r="G14" s="4"/>
      <c r="H14" s="8" t="s">
        <v>18</v>
      </c>
      <c r="I14" s="42">
        <f>+I12-I9</f>
        <v>28226.222222222219</v>
      </c>
    </row>
    <row r="15" spans="2:9" x14ac:dyDescent="0.25">
      <c r="G15" s="4"/>
      <c r="H15" s="8" t="s">
        <v>19</v>
      </c>
      <c r="I15" s="43">
        <f>+I14/I9</f>
        <v>0.14549899081538908</v>
      </c>
    </row>
    <row r="16" spans="2:9" x14ac:dyDescent="0.25">
      <c r="G16" s="4"/>
      <c r="H16" s="4"/>
      <c r="I16" s="44"/>
    </row>
    <row r="17" spans="2:9" x14ac:dyDescent="0.25">
      <c r="B17" s="1" t="s">
        <v>373</v>
      </c>
      <c r="C17" s="2"/>
      <c r="D17" s="2"/>
      <c r="E17" s="3"/>
      <c r="F17" s="3"/>
      <c r="G17" s="4"/>
      <c r="H17" s="399" t="s">
        <v>0</v>
      </c>
      <c r="I17" s="399"/>
    </row>
    <row r="18" spans="2:9" x14ac:dyDescent="0.25">
      <c r="B18" s="5" t="s">
        <v>1</v>
      </c>
      <c r="C18" s="6" t="s">
        <v>2</v>
      </c>
      <c r="D18" s="6" t="s">
        <v>3</v>
      </c>
      <c r="E18" s="7" t="s">
        <v>4</v>
      </c>
      <c r="F18" s="7" t="s">
        <v>5</v>
      </c>
      <c r="G18" s="4"/>
      <c r="H18" s="8" t="s">
        <v>6</v>
      </c>
      <c r="I18" s="9">
        <f>SUM(Tabla110345345445545647945586877869510811712713622823724627233260269297315316348[Total costo])</f>
        <v>83700</v>
      </c>
    </row>
    <row r="19" spans="2:9" x14ac:dyDescent="0.25">
      <c r="B19" s="10" t="s">
        <v>173</v>
      </c>
      <c r="C19" s="11" t="s">
        <v>252</v>
      </c>
      <c r="D19" s="12">
        <v>20</v>
      </c>
      <c r="E19" s="13">
        <f>+VLOOKUP(Tabla110345345445545647945586877869510811712713622823724627233260269297315316348[[#This Row],[Ingrediente]],Tabla34[#All],3,0)</f>
        <v>4185</v>
      </c>
      <c r="F19" s="14">
        <f>+Tabla110345345445545647945586877869510811712713622823724627233260269297315316348[[#This Row],[Costo]]*Tabla110345345445545647945586877869510811712713622823724627233260269297315316348[[#This Row],[Cant.]]</f>
        <v>83700</v>
      </c>
      <c r="G19" s="4"/>
      <c r="H19" s="8" t="s">
        <v>12</v>
      </c>
      <c r="I19" s="15"/>
    </row>
    <row r="20" spans="2:9" x14ac:dyDescent="0.25">
      <c r="B20" s="16"/>
      <c r="C20" s="17"/>
      <c r="D20" s="17"/>
      <c r="E20" s="18"/>
      <c r="F20" s="18">
        <f>SUBTOTAL(109,Tabla110345345445545647945586877869510811712713622823724627233260269297315316348[Total costo])</f>
        <v>83700</v>
      </c>
      <c r="G20" s="4"/>
      <c r="H20" s="8" t="s">
        <v>13</v>
      </c>
      <c r="I20" s="15">
        <f>+I18+I19</f>
        <v>83700</v>
      </c>
    </row>
    <row r="21" spans="2:9" x14ac:dyDescent="0.25">
      <c r="G21" s="4"/>
      <c r="H21" s="20" t="s">
        <v>14</v>
      </c>
      <c r="I21" s="21">
        <v>230000</v>
      </c>
    </row>
    <row r="22" spans="2:9" x14ac:dyDescent="0.25">
      <c r="G22" s="4"/>
      <c r="H22" s="8" t="s">
        <v>15</v>
      </c>
      <c r="I22" s="15">
        <f>+I21/1.08*0.08</f>
        <v>17037.037037037036</v>
      </c>
    </row>
    <row r="23" spans="2:9" x14ac:dyDescent="0.25">
      <c r="G23" s="4"/>
      <c r="H23" s="8" t="s">
        <v>16</v>
      </c>
      <c r="I23" s="15">
        <f>+I21-I22</f>
        <v>212962.96296296298</v>
      </c>
    </row>
    <row r="24" spans="2:9" x14ac:dyDescent="0.25">
      <c r="G24" s="4"/>
      <c r="H24" s="8" t="s">
        <v>17</v>
      </c>
      <c r="I24" s="41">
        <f>+I20/I23</f>
        <v>0.39302608695652169</v>
      </c>
    </row>
    <row r="25" spans="2:9" x14ac:dyDescent="0.25">
      <c r="G25" s="4"/>
      <c r="H25" s="8" t="s">
        <v>18</v>
      </c>
      <c r="I25" s="42">
        <f>+I23-I20</f>
        <v>129262.96296296298</v>
      </c>
    </row>
    <row r="26" spans="2:9" x14ac:dyDescent="0.25">
      <c r="G26" s="4"/>
      <c r="H26" s="8" t="s">
        <v>19</v>
      </c>
      <c r="I26" s="43">
        <f>+I25/I20</f>
        <v>1.5443603699278732</v>
      </c>
    </row>
    <row r="29" spans="2:9" x14ac:dyDescent="0.25">
      <c r="B29" s="1" t="s">
        <v>1289</v>
      </c>
      <c r="C29" s="2"/>
      <c r="D29" s="2"/>
      <c r="E29" s="3"/>
      <c r="F29" s="3"/>
      <c r="G29" s="4"/>
      <c r="H29" s="399" t="s">
        <v>0</v>
      </c>
      <c r="I29" s="399"/>
    </row>
    <row r="30" spans="2:9" x14ac:dyDescent="0.25">
      <c r="B30" s="5" t="s">
        <v>1</v>
      </c>
      <c r="C30" s="6" t="s">
        <v>2</v>
      </c>
      <c r="D30" s="6" t="s">
        <v>3</v>
      </c>
      <c r="E30" s="7" t="s">
        <v>4</v>
      </c>
      <c r="F30" s="7" t="s">
        <v>5</v>
      </c>
      <c r="G30" s="4"/>
      <c r="H30" s="8" t="s">
        <v>6</v>
      </c>
      <c r="I30" s="9">
        <f>SUM(Tabla11034534544554564794558687786951081171271362282372462723326026929731531634825[Total costo])</f>
        <v>218320</v>
      </c>
    </row>
    <row r="31" spans="2:9" x14ac:dyDescent="0.25">
      <c r="B31" s="10" t="s">
        <v>1287</v>
      </c>
      <c r="C31" s="11" t="s">
        <v>252</v>
      </c>
      <c r="D31" s="12">
        <v>20</v>
      </c>
      <c r="E31" s="13">
        <f>+VLOOKUP(Tabla11034534544554564794558687786951081171271362282372462723326026929731531634825[[#This Row],[Ingrediente]],Tabla34[#All],3,0)</f>
        <v>10916</v>
      </c>
      <c r="F31" s="14">
        <f>+Tabla11034534544554564794558687786951081171271362282372462723326026929731531634825[[#This Row],[Costo]]*Tabla11034534544554564794558687786951081171271362282372462723326026929731531634825[[#This Row],[Cant.]]</f>
        <v>218320</v>
      </c>
      <c r="G31" s="4"/>
      <c r="H31" s="8" t="s">
        <v>12</v>
      </c>
      <c r="I31" s="15"/>
    </row>
    <row r="32" spans="2:9" x14ac:dyDescent="0.25">
      <c r="B32" s="16"/>
      <c r="C32" s="17"/>
      <c r="D32" s="17"/>
      <c r="E32" s="18"/>
      <c r="F32" s="18">
        <f>SUBTOTAL(109,Tabla11034534544554564794558687786951081171271362282372462723326026929731531634825[Total costo])</f>
        <v>218320</v>
      </c>
      <c r="G32" s="4"/>
      <c r="H32" s="8" t="s">
        <v>13</v>
      </c>
      <c r="I32" s="15">
        <f>+I30+I31</f>
        <v>218320</v>
      </c>
    </row>
    <row r="33" spans="2:9" x14ac:dyDescent="0.25">
      <c r="G33" s="4"/>
      <c r="H33" s="20" t="s">
        <v>14</v>
      </c>
      <c r="I33" s="21">
        <v>230000</v>
      </c>
    </row>
    <row r="34" spans="2:9" x14ac:dyDescent="0.25">
      <c r="G34" s="4"/>
      <c r="H34" s="8" t="s">
        <v>15</v>
      </c>
      <c r="I34" s="15">
        <f>+I33/1.08*0.08</f>
        <v>17037.037037037036</v>
      </c>
    </row>
    <row r="35" spans="2:9" x14ac:dyDescent="0.25">
      <c r="G35" s="4"/>
      <c r="H35" s="8" t="s">
        <v>16</v>
      </c>
      <c r="I35" s="15">
        <f>+I33-I34</f>
        <v>212962.96296296298</v>
      </c>
    </row>
    <row r="36" spans="2:9" x14ac:dyDescent="0.25">
      <c r="G36" s="4"/>
      <c r="H36" s="8" t="s">
        <v>17</v>
      </c>
      <c r="I36" s="41">
        <f>+I32/I35</f>
        <v>1.0251547826086955</v>
      </c>
    </row>
    <row r="37" spans="2:9" x14ac:dyDescent="0.25">
      <c r="G37" s="4"/>
      <c r="H37" s="8" t="s">
        <v>18</v>
      </c>
      <c r="I37" s="42">
        <f>+I35-I32</f>
        <v>-5357.0370370370219</v>
      </c>
    </row>
    <row r="38" spans="2:9" x14ac:dyDescent="0.25">
      <c r="G38" s="4"/>
      <c r="H38" s="8" t="s">
        <v>19</v>
      </c>
      <c r="I38" s="43">
        <f>+I37/I32</f>
        <v>-2.4537545973969503E-2</v>
      </c>
    </row>
    <row r="43" spans="2:9" x14ac:dyDescent="0.25">
      <c r="B43" s="19" t="s">
        <v>371</v>
      </c>
      <c r="C43" s="2"/>
      <c r="D43" s="2"/>
      <c r="E43" s="3"/>
      <c r="F43" s="3"/>
      <c r="G43" s="4"/>
      <c r="H43" s="399" t="s">
        <v>0</v>
      </c>
      <c r="I43" s="399"/>
    </row>
    <row r="44" spans="2:9" x14ac:dyDescent="0.25">
      <c r="B44" s="5" t="s">
        <v>1</v>
      </c>
      <c r="C44" s="6" t="s">
        <v>2</v>
      </c>
      <c r="D44" s="6" t="s">
        <v>3</v>
      </c>
      <c r="E44" s="7" t="s">
        <v>4</v>
      </c>
      <c r="F44" s="7" t="s">
        <v>5</v>
      </c>
      <c r="G44" s="4"/>
      <c r="H44" s="8" t="s">
        <v>6</v>
      </c>
      <c r="I44" s="9">
        <f>SUM(Tabla110345345445545647945586877869510811712713622823724627233260269297315316347209[Total costo])</f>
        <v>17636</v>
      </c>
    </row>
    <row r="45" spans="2:9" x14ac:dyDescent="0.25">
      <c r="B45" s="10" t="s">
        <v>1219</v>
      </c>
      <c r="C45" s="11" t="s">
        <v>252</v>
      </c>
      <c r="D45" s="12">
        <v>2</v>
      </c>
      <c r="E45" s="13">
        <f>+VLOOKUP(Tabla110345345445545647945586877869510811712713622823724627233260269297315316347209[[#This Row],[Ingrediente]],Tabla34[#All],3,0)</f>
        <v>8818</v>
      </c>
      <c r="F45" s="14">
        <f>+Tabla110345345445545647945586877869510811712713622823724627233260269297315316347209[[#This Row],[Costo]]*Tabla110345345445545647945586877869510811712713622823724627233260269297315316347209[[#This Row],[Cant.]]</f>
        <v>17636</v>
      </c>
      <c r="G45" s="4"/>
      <c r="H45" s="8" t="s">
        <v>12</v>
      </c>
      <c r="I45" s="15">
        <f>+I44*10%</f>
        <v>1763.6000000000001</v>
      </c>
    </row>
    <row r="46" spans="2:9" x14ac:dyDescent="0.25">
      <c r="B46" s="16"/>
      <c r="C46" s="17"/>
      <c r="D46" s="17"/>
      <c r="E46" s="18"/>
      <c r="F46" s="18">
        <f>SUBTOTAL(109,Tabla110345345445545647945586877869510811712713622823724627233260269297315316347209[Total costo])</f>
        <v>17636</v>
      </c>
      <c r="G46" s="4"/>
      <c r="H46" s="8" t="s">
        <v>13</v>
      </c>
      <c r="I46" s="15">
        <f>+I44+I45</f>
        <v>19399.599999999999</v>
      </c>
    </row>
    <row r="47" spans="2:9" x14ac:dyDescent="0.25">
      <c r="G47" s="4"/>
      <c r="H47" s="20" t="s">
        <v>14</v>
      </c>
      <c r="I47" s="21">
        <v>18000</v>
      </c>
    </row>
    <row r="48" spans="2:9" x14ac:dyDescent="0.25">
      <c r="G48" s="4"/>
      <c r="H48" s="8" t="s">
        <v>15</v>
      </c>
      <c r="I48" s="15">
        <f>+I47/1.08*0.08</f>
        <v>1333.3333333333333</v>
      </c>
    </row>
    <row r="49" spans="2:9" x14ac:dyDescent="0.25">
      <c r="G49" s="4"/>
      <c r="H49" s="8" t="s">
        <v>16</v>
      </c>
      <c r="I49" s="15">
        <f>+I47-I48</f>
        <v>16666.666666666668</v>
      </c>
    </row>
    <row r="50" spans="2:9" x14ac:dyDescent="0.25">
      <c r="G50" s="4"/>
      <c r="H50" s="8" t="s">
        <v>17</v>
      </c>
      <c r="I50" s="41">
        <f>+I46/I49</f>
        <v>1.1639759999999999</v>
      </c>
    </row>
    <row r="51" spans="2:9" x14ac:dyDescent="0.25">
      <c r="G51" s="4"/>
      <c r="H51" s="8" t="s">
        <v>18</v>
      </c>
      <c r="I51" s="42">
        <f>+I49-I46</f>
        <v>-2732.9333333333307</v>
      </c>
    </row>
    <row r="52" spans="2:9" x14ac:dyDescent="0.25">
      <c r="G52" s="4"/>
      <c r="H52" s="8" t="s">
        <v>19</v>
      </c>
      <c r="I52" s="43">
        <f>+I51/I46</f>
        <v>-0.14087575688845805</v>
      </c>
    </row>
    <row r="54" spans="2:9" x14ac:dyDescent="0.25">
      <c r="B54" s="1" t="s">
        <v>374</v>
      </c>
      <c r="C54" s="2"/>
      <c r="D54" s="2"/>
      <c r="E54" s="3"/>
      <c r="F54" s="3"/>
      <c r="G54" s="4"/>
      <c r="H54" s="399" t="s">
        <v>0</v>
      </c>
      <c r="I54" s="399"/>
    </row>
    <row r="55" spans="2:9" x14ac:dyDescent="0.25">
      <c r="B55" s="5" t="s">
        <v>1</v>
      </c>
      <c r="C55" s="6" t="s">
        <v>2</v>
      </c>
      <c r="D55" s="6" t="s">
        <v>3</v>
      </c>
      <c r="E55" s="7" t="s">
        <v>4</v>
      </c>
      <c r="F55" s="7" t="s">
        <v>5</v>
      </c>
      <c r="G55" s="4"/>
      <c r="H55" s="8" t="s">
        <v>6</v>
      </c>
      <c r="I55" s="9">
        <f>SUM(Tabla110345345445545647945586877869510811712713622823724627233260269297315316347349210[Total costo])</f>
        <v>8370</v>
      </c>
    </row>
    <row r="56" spans="2:9" x14ac:dyDescent="0.25">
      <c r="B56" s="10" t="s">
        <v>173</v>
      </c>
      <c r="C56" s="11" t="s">
        <v>252</v>
      </c>
      <c r="D56" s="12">
        <v>2</v>
      </c>
      <c r="E56" s="13">
        <f>+VLOOKUP(Tabla110345345445545647945586877869510811712713622823724627233260269297315316347349210[[#This Row],[Ingrediente]],Tabla34[#All],3,0)</f>
        <v>4185</v>
      </c>
      <c r="F56" s="14">
        <f>+Tabla110345345445545647945586877869510811712713622823724627233260269297315316347349210[[#This Row],[Costo]]*Tabla110345345445545647945586877869510811712713622823724627233260269297315316347349210[[#This Row],[Cant.]]</f>
        <v>8370</v>
      </c>
      <c r="G56" s="4"/>
      <c r="H56" s="8" t="s">
        <v>12</v>
      </c>
      <c r="I56" s="15">
        <f>+I55*10%</f>
        <v>837</v>
      </c>
    </row>
    <row r="57" spans="2:9" x14ac:dyDescent="0.25">
      <c r="B57" s="16"/>
      <c r="C57" s="17"/>
      <c r="D57" s="17"/>
      <c r="E57" s="18"/>
      <c r="F57" s="18">
        <f>SUBTOTAL(109,Tabla110345345445545647945586877869510811712713622823724627233260269297315316347349210[Total costo])</f>
        <v>8370</v>
      </c>
      <c r="G57" s="4"/>
      <c r="H57" s="8" t="s">
        <v>13</v>
      </c>
      <c r="I57" s="15">
        <f>+I55+I56</f>
        <v>9207</v>
      </c>
    </row>
    <row r="58" spans="2:9" x14ac:dyDescent="0.25">
      <c r="G58" s="4"/>
      <c r="H58" s="20" t="s">
        <v>14</v>
      </c>
      <c r="I58" s="21">
        <v>19000</v>
      </c>
    </row>
    <row r="59" spans="2:9" x14ac:dyDescent="0.25">
      <c r="G59" s="4"/>
      <c r="H59" s="8" t="s">
        <v>15</v>
      </c>
      <c r="I59" s="15">
        <f>+I58/1.08*0.08</f>
        <v>1407.4074074074074</v>
      </c>
    </row>
    <row r="60" spans="2:9" x14ac:dyDescent="0.25">
      <c r="G60" s="4"/>
      <c r="H60" s="8" t="s">
        <v>16</v>
      </c>
      <c r="I60" s="15">
        <f>+I58-I59</f>
        <v>17592.592592592591</v>
      </c>
    </row>
    <row r="61" spans="2:9" x14ac:dyDescent="0.25">
      <c r="G61" s="4"/>
      <c r="H61" s="8" t="s">
        <v>17</v>
      </c>
      <c r="I61" s="41">
        <f>+I57/I60</f>
        <v>0.52334526315789476</v>
      </c>
    </row>
    <row r="62" spans="2:9" x14ac:dyDescent="0.25">
      <c r="G62" s="4"/>
      <c r="H62" s="8" t="s">
        <v>18</v>
      </c>
      <c r="I62" s="42">
        <f>+I60-I57</f>
        <v>8385.5925925925912</v>
      </c>
    </row>
    <row r="63" spans="2:9" x14ac:dyDescent="0.25">
      <c r="G63" s="4"/>
      <c r="H63" s="8" t="s">
        <v>19</v>
      </c>
      <c r="I63" s="43">
        <f>+I62/I57</f>
        <v>0.91078446753476605</v>
      </c>
    </row>
    <row r="66" spans="2:9" x14ac:dyDescent="0.25">
      <c r="B66" s="19" t="s">
        <v>1290</v>
      </c>
      <c r="C66" s="2"/>
      <c r="D66" s="2"/>
      <c r="E66" s="3"/>
      <c r="F66" s="3"/>
      <c r="G66" s="4"/>
      <c r="H66" s="399" t="s">
        <v>0</v>
      </c>
      <c r="I66" s="399"/>
    </row>
    <row r="67" spans="2:9" x14ac:dyDescent="0.25">
      <c r="B67" s="5" t="s">
        <v>1</v>
      </c>
      <c r="C67" s="6" t="s">
        <v>2</v>
      </c>
      <c r="D67" s="6" t="s">
        <v>3</v>
      </c>
      <c r="E67" s="7" t="s">
        <v>4</v>
      </c>
      <c r="F67" s="7" t="s">
        <v>5</v>
      </c>
      <c r="G67" s="4"/>
      <c r="H67" s="8" t="s">
        <v>6</v>
      </c>
      <c r="I67" s="9">
        <f>SUM(Tabla11034534544554564794558687786951081171271362282372462723326026929731531634825167211[Total costo])</f>
        <v>21832</v>
      </c>
    </row>
    <row r="68" spans="2:9" x14ac:dyDescent="0.25">
      <c r="B68" s="10" t="s">
        <v>1287</v>
      </c>
      <c r="C68" s="11" t="s">
        <v>1288</v>
      </c>
      <c r="D68" s="12">
        <v>2</v>
      </c>
      <c r="E68" s="13">
        <f>+VLOOKUP(Tabla11034534544554564794558687786951081171271362282372462723326026929731531634825167211[[#This Row],[Ingrediente]],Tabla34[#All],3,0)</f>
        <v>10916</v>
      </c>
      <c r="F68" s="14">
        <f>+Tabla11034534544554564794558687786951081171271362282372462723326026929731531634825167211[[#This Row],[Costo]]*Tabla11034534544554564794558687786951081171271362282372462723326026929731531634825167211[[#This Row],[Cant.]]</f>
        <v>21832</v>
      </c>
      <c r="G68" s="4"/>
      <c r="H68" s="8" t="s">
        <v>12</v>
      </c>
      <c r="I68" s="15"/>
    </row>
    <row r="69" spans="2:9" x14ac:dyDescent="0.25">
      <c r="B69" s="16"/>
      <c r="C69" s="17"/>
      <c r="D69" s="17"/>
      <c r="E69" s="18"/>
      <c r="F69" s="18">
        <f>SUBTOTAL(109,Tabla11034534544554564794558687786951081171271362282372462723326026929731531634825167211[Total costo])</f>
        <v>21832</v>
      </c>
      <c r="G69" s="4"/>
      <c r="H69" s="8" t="s">
        <v>13</v>
      </c>
      <c r="I69" s="15">
        <f>+I67+I68</f>
        <v>21832</v>
      </c>
    </row>
    <row r="70" spans="2:9" x14ac:dyDescent="0.25">
      <c r="G70" s="4"/>
      <c r="H70" s="20" t="s">
        <v>14</v>
      </c>
      <c r="I70" s="21">
        <v>230000</v>
      </c>
    </row>
    <row r="71" spans="2:9" x14ac:dyDescent="0.25">
      <c r="G71" s="4"/>
      <c r="H71" s="8" t="s">
        <v>15</v>
      </c>
      <c r="I71" s="15">
        <f>+I70/1.08*0.08</f>
        <v>17037.037037037036</v>
      </c>
    </row>
    <row r="72" spans="2:9" x14ac:dyDescent="0.25">
      <c r="G72" s="4"/>
      <c r="H72" s="8" t="s">
        <v>16</v>
      </c>
      <c r="I72" s="15">
        <f>+I70-I71</f>
        <v>212962.96296296298</v>
      </c>
    </row>
    <row r="73" spans="2:9" x14ac:dyDescent="0.25">
      <c r="G73" s="4"/>
      <c r="H73" s="8" t="s">
        <v>17</v>
      </c>
      <c r="I73" s="41">
        <f>+I69/I72</f>
        <v>0.10251547826086956</v>
      </c>
    </row>
    <row r="74" spans="2:9" x14ac:dyDescent="0.25">
      <c r="G74" s="4"/>
      <c r="H74" s="8" t="s">
        <v>18</v>
      </c>
      <c r="I74" s="42">
        <f>+I72-I69</f>
        <v>191130.96296296298</v>
      </c>
    </row>
    <row r="75" spans="2:9" x14ac:dyDescent="0.25">
      <c r="G75" s="4"/>
      <c r="H75" s="8" t="s">
        <v>19</v>
      </c>
      <c r="I75" s="43">
        <f>+I74/I69</f>
        <v>8.7546245402603056</v>
      </c>
    </row>
  </sheetData>
  <mergeCells count="6">
    <mergeCell ref="H43:I43"/>
    <mergeCell ref="H54:I54"/>
    <mergeCell ref="H66:I66"/>
    <mergeCell ref="H6:I6"/>
    <mergeCell ref="H17:I17"/>
    <mergeCell ref="H29:I29"/>
  </mergeCells>
  <conditionalFormatting sqref="I13">
    <cfRule type="cellIs" dxfId="2173" priority="33" operator="lessThan">
      <formula>0.3</formula>
    </cfRule>
    <cfRule type="cellIs" dxfId="2172" priority="34" operator="greaterThan">
      <formula>0.3</formula>
    </cfRule>
  </conditionalFormatting>
  <conditionalFormatting sqref="I24">
    <cfRule type="cellIs" dxfId="2171" priority="21" operator="lessThan">
      <formula>0.3</formula>
    </cfRule>
    <cfRule type="cellIs" dxfId="2170" priority="22" operator="greaterThan">
      <formula>0.3</formula>
    </cfRule>
  </conditionalFormatting>
  <conditionalFormatting sqref="I36">
    <cfRule type="cellIs" dxfId="2169" priority="9" operator="lessThan">
      <formula>0.3</formula>
    </cfRule>
    <cfRule type="cellIs" dxfId="2168" priority="10" operator="greaterThan">
      <formula>0.3</formula>
    </cfRule>
  </conditionalFormatting>
  <conditionalFormatting sqref="I50">
    <cfRule type="cellIs" dxfId="2167" priority="5" operator="lessThan">
      <formula>0.3</formula>
    </cfRule>
    <cfRule type="cellIs" dxfId="2166" priority="6" operator="greaterThan">
      <formula>0.3</formula>
    </cfRule>
  </conditionalFormatting>
  <conditionalFormatting sqref="I61">
    <cfRule type="cellIs" dxfId="2165" priority="3" operator="lessThan">
      <formula>0.3</formula>
    </cfRule>
    <cfRule type="cellIs" dxfId="2164" priority="4" operator="greaterThan">
      <formula>0.3</formula>
    </cfRule>
  </conditionalFormatting>
  <conditionalFormatting sqref="I73">
    <cfRule type="cellIs" dxfId="2163" priority="1" operator="lessThan">
      <formula>0.3</formula>
    </cfRule>
    <cfRule type="cellIs" dxfId="2162" priority="2" operator="greaterThan">
      <formula>0.3</formula>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55A0-386E-4D8E-AA77-98CBF3D09F45}">
  <dimension ref="B6:I217"/>
  <sheetViews>
    <sheetView showGridLines="0" zoomScale="70" zoomScaleNormal="70" workbookViewId="0">
      <selection activeCell="K1" sqref="K1:V1048576"/>
    </sheetView>
  </sheetViews>
  <sheetFormatPr baseColWidth="10" defaultColWidth="11.5546875" defaultRowHeight="13.2" x14ac:dyDescent="0.25"/>
  <cols>
    <col min="1" max="1" width="1.6640625" style="40" customWidth="1"/>
    <col min="2" max="2" width="37.33203125" style="40" bestFit="1" customWidth="1"/>
    <col min="3" max="3" width="9.21875" style="40" customWidth="1"/>
    <col min="4" max="4" width="10.5546875" style="40" customWidth="1"/>
    <col min="5" max="5" width="11.5546875" style="40"/>
    <col min="6" max="6" width="10.88671875" style="40" customWidth="1"/>
    <col min="7" max="7" width="1.88671875" style="40" customWidth="1"/>
    <col min="8" max="8" width="21.33203125" style="40" customWidth="1"/>
    <col min="9" max="9" width="11.5546875" style="40"/>
    <col min="10" max="10" width="2.5546875" style="40" customWidth="1"/>
    <col min="11" max="16384" width="11.5546875" style="40"/>
  </cols>
  <sheetData>
    <row r="6" spans="2:9" x14ac:dyDescent="0.25">
      <c r="B6" s="1" t="s">
        <v>274</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SUM(Tabla110345345445545647945586877869510811712713622823724627233260269297[Total costo])</f>
        <v>271700</v>
      </c>
    </row>
    <row r="8" spans="2:9" x14ac:dyDescent="0.25">
      <c r="B8" s="10" t="s">
        <v>643</v>
      </c>
      <c r="C8" s="11" t="s">
        <v>252</v>
      </c>
      <c r="D8" s="12">
        <v>22</v>
      </c>
      <c r="E8" s="13">
        <f>+VLOOKUP(Tabla110345345445545647945586877869510811712713622823724627233260269297[[#This Row],[Ingrediente]],Tabla34[#All],3,0)</f>
        <v>12350</v>
      </c>
      <c r="F8" s="14">
        <f>+Tabla110345345445545647945586877869510811712713622823724627233260269297[[#This Row],[Costo]]*Tabla110345345445545647945586877869510811712713622823724627233260269297[[#This Row],[Cant.]]</f>
        <v>271700</v>
      </c>
      <c r="G8" s="4"/>
      <c r="H8" s="8" t="s">
        <v>12</v>
      </c>
      <c r="I8" s="15"/>
    </row>
    <row r="9" spans="2:9" x14ac:dyDescent="0.25">
      <c r="B9" s="16"/>
      <c r="C9" s="17"/>
      <c r="D9" s="17"/>
      <c r="E9" s="18"/>
      <c r="F9" s="18">
        <f>SUBTOTAL(109,Tabla110345345445545647945586877869510811712713622823724627233260269297[Total costo])</f>
        <v>271700</v>
      </c>
      <c r="G9" s="4"/>
      <c r="H9" s="8" t="s">
        <v>13</v>
      </c>
      <c r="I9" s="15">
        <f>+I7+I8</f>
        <v>271700</v>
      </c>
    </row>
    <row r="10" spans="2:9" x14ac:dyDescent="0.25">
      <c r="G10" s="4"/>
      <c r="H10" s="20" t="s">
        <v>14</v>
      </c>
      <c r="I10" s="21">
        <v>580000</v>
      </c>
    </row>
    <row r="11" spans="2:9" x14ac:dyDescent="0.25">
      <c r="G11" s="4"/>
      <c r="H11" s="8" t="s">
        <v>15</v>
      </c>
      <c r="I11" s="15">
        <f>+I10/1.08*0.08</f>
        <v>42962.962962962956</v>
      </c>
    </row>
    <row r="12" spans="2:9" x14ac:dyDescent="0.25">
      <c r="G12" s="4"/>
      <c r="H12" s="8" t="s">
        <v>16</v>
      </c>
      <c r="I12" s="15">
        <f>+I10-I11</f>
        <v>537037.03703703708</v>
      </c>
    </row>
    <row r="13" spans="2:9" x14ac:dyDescent="0.25">
      <c r="G13" s="4"/>
      <c r="H13" s="8" t="s">
        <v>17</v>
      </c>
      <c r="I13" s="41">
        <f>+I9/I12</f>
        <v>0.50592413793103441</v>
      </c>
    </row>
    <row r="14" spans="2:9" x14ac:dyDescent="0.25">
      <c r="G14" s="4"/>
      <c r="H14" s="8" t="s">
        <v>18</v>
      </c>
      <c r="I14" s="42">
        <f>+I12-I9</f>
        <v>265337.03703703708</v>
      </c>
    </row>
    <row r="15" spans="2:9" x14ac:dyDescent="0.25">
      <c r="G15" s="4"/>
      <c r="H15" s="8" t="s">
        <v>19</v>
      </c>
      <c r="I15" s="43">
        <f>+I14/I9</f>
        <v>0.97658092394934515</v>
      </c>
    </row>
    <row r="16" spans="2:9" x14ac:dyDescent="0.25">
      <c r="G16" s="4"/>
      <c r="H16" s="4"/>
      <c r="I16" s="44"/>
    </row>
    <row r="17" spans="2:9" x14ac:dyDescent="0.25">
      <c r="G17" s="4"/>
      <c r="H17" s="4"/>
      <c r="I17" s="44"/>
    </row>
    <row r="20" spans="2:9" x14ac:dyDescent="0.25">
      <c r="B20" s="1" t="s">
        <v>277</v>
      </c>
      <c r="C20" s="2"/>
      <c r="D20" s="2"/>
      <c r="E20" s="3"/>
      <c r="F20" s="3"/>
      <c r="G20" s="4"/>
      <c r="H20" s="399" t="s">
        <v>0</v>
      </c>
      <c r="I20" s="399"/>
    </row>
    <row r="21" spans="2:9" x14ac:dyDescent="0.25">
      <c r="B21" s="5" t="s">
        <v>1</v>
      </c>
      <c r="C21" s="6" t="s">
        <v>2</v>
      </c>
      <c r="D21" s="6" t="s">
        <v>3</v>
      </c>
      <c r="E21" s="7" t="s">
        <v>4</v>
      </c>
      <c r="F21" s="7" t="s">
        <v>5</v>
      </c>
      <c r="G21" s="4"/>
      <c r="H21" s="8" t="s">
        <v>6</v>
      </c>
      <c r="I21" s="9">
        <f>SUM(Tabla110345345445545647945586877869510811712713622823724627233260269297324[Total costo])</f>
        <v>116424</v>
      </c>
    </row>
    <row r="22" spans="2:9" x14ac:dyDescent="0.25">
      <c r="B22" s="10" t="s">
        <v>638</v>
      </c>
      <c r="C22" s="11" t="s">
        <v>252</v>
      </c>
      <c r="D22" s="12">
        <v>22</v>
      </c>
      <c r="E22" s="13">
        <f>+VLOOKUP(Tabla110345345445545647945586877869510811712713622823724627233260269297324[[#This Row],[Ingrediente]],Tabla34[#All],3,0)</f>
        <v>5292</v>
      </c>
      <c r="F22" s="14">
        <f>+Tabla110345345445545647945586877869510811712713622823724627233260269297324[[#This Row],[Costo]]*Tabla110345345445545647945586877869510811712713622823724627233260269297324[[#This Row],[Cant.]]</f>
        <v>116424</v>
      </c>
      <c r="G22" s="4"/>
      <c r="H22" s="8" t="s">
        <v>12</v>
      </c>
      <c r="I22" s="15">
        <f>+I21*10%</f>
        <v>11642.400000000001</v>
      </c>
    </row>
    <row r="23" spans="2:9" x14ac:dyDescent="0.25">
      <c r="B23" s="16"/>
      <c r="C23" s="17"/>
      <c r="D23" s="17"/>
      <c r="E23" s="18"/>
      <c r="F23" s="18">
        <f>SUBTOTAL(109,Tabla110345345445545647945586877869510811712713622823724627233260269297324[Total costo])</f>
        <v>116424</v>
      </c>
      <c r="G23" s="4"/>
      <c r="H23" s="8" t="s">
        <v>13</v>
      </c>
      <c r="I23" s="15">
        <f>+I21+I22</f>
        <v>128066.4</v>
      </c>
    </row>
    <row r="24" spans="2:9" x14ac:dyDescent="0.25">
      <c r="G24" s="4"/>
      <c r="H24" s="20" t="s">
        <v>14</v>
      </c>
      <c r="I24" s="21">
        <v>299000</v>
      </c>
    </row>
    <row r="25" spans="2:9" x14ac:dyDescent="0.25">
      <c r="G25" s="4"/>
      <c r="H25" s="8" t="s">
        <v>15</v>
      </c>
      <c r="I25" s="15">
        <f>+I24/1.08*0.08</f>
        <v>22148.14814814815</v>
      </c>
    </row>
    <row r="26" spans="2:9" x14ac:dyDescent="0.25">
      <c r="G26" s="4"/>
      <c r="H26" s="8" t="s">
        <v>16</v>
      </c>
      <c r="I26" s="15">
        <f>+I24-I25</f>
        <v>276851.85185185185</v>
      </c>
    </row>
    <row r="27" spans="2:9" x14ac:dyDescent="0.25">
      <c r="G27" s="4"/>
      <c r="H27" s="8" t="s">
        <v>17</v>
      </c>
      <c r="I27" s="41">
        <f>+I23/I26</f>
        <v>0.46258097658862873</v>
      </c>
    </row>
    <row r="28" spans="2:9" x14ac:dyDescent="0.25">
      <c r="G28" s="4"/>
      <c r="H28" s="8" t="s">
        <v>18</v>
      </c>
      <c r="I28" s="42">
        <f>+I26-I23</f>
        <v>148785.45185185186</v>
      </c>
    </row>
    <row r="29" spans="2:9" x14ac:dyDescent="0.25">
      <c r="G29" s="4"/>
      <c r="H29" s="8" t="s">
        <v>19</v>
      </c>
      <c r="I29" s="43">
        <f>+I28/I23</f>
        <v>1.1617836673151729</v>
      </c>
    </row>
    <row r="33" spans="2:9" x14ac:dyDescent="0.25">
      <c r="B33" s="1" t="s">
        <v>276</v>
      </c>
      <c r="C33" s="2"/>
      <c r="D33" s="2"/>
      <c r="E33" s="3"/>
      <c r="F33" s="3"/>
      <c r="G33" s="4"/>
      <c r="H33" s="399" t="s">
        <v>0</v>
      </c>
      <c r="I33" s="399"/>
    </row>
    <row r="34" spans="2:9" x14ac:dyDescent="0.25">
      <c r="B34" s="5" t="s">
        <v>1</v>
      </c>
      <c r="C34" s="6" t="s">
        <v>2</v>
      </c>
      <c r="D34" s="6" t="s">
        <v>3</v>
      </c>
      <c r="E34" s="7" t="s">
        <v>4</v>
      </c>
      <c r="F34" s="7" t="s">
        <v>5</v>
      </c>
      <c r="G34" s="4"/>
      <c r="H34" s="8" t="s">
        <v>6</v>
      </c>
      <c r="I34" s="9">
        <f>SUM(Tabla110345345445545647945586877869510811712713622823724627233260269297324325[Total costo])</f>
        <v>70078.000000079992</v>
      </c>
    </row>
    <row r="35" spans="2:9" x14ac:dyDescent="0.25">
      <c r="B35" s="10" t="s">
        <v>1216</v>
      </c>
      <c r="C35" s="11" t="s">
        <v>11</v>
      </c>
      <c r="D35" s="12">
        <v>24</v>
      </c>
      <c r="E35" s="13">
        <f>+VLOOKUP(Tabla110345345445545647945586877869510811712713622823724627233260269297324325[[#This Row],[Ingrediente]],Tabla34[#All],3,0)</f>
        <v>2919.9166666699998</v>
      </c>
      <c r="F35" s="14">
        <f>+Tabla110345345445545647945586877869510811712713622823724627233260269297324325[[#This Row],[Costo]]*Tabla110345345445545647945586877869510811712713622823724627233260269297324325[[#This Row],[Cant.]]</f>
        <v>70078.000000079992</v>
      </c>
      <c r="G35" s="4"/>
      <c r="H35" s="8" t="s">
        <v>12</v>
      </c>
      <c r="I35" s="15"/>
    </row>
    <row r="36" spans="2:9" x14ac:dyDescent="0.25">
      <c r="B36" s="16"/>
      <c r="C36" s="17"/>
      <c r="D36" s="17"/>
      <c r="E36" s="18"/>
      <c r="F36" s="18">
        <f>SUBTOTAL(109,Tabla110345345445545647945586877869510811712713622823724627233260269297324325[Total costo])</f>
        <v>70078.000000079992</v>
      </c>
      <c r="G36" s="4"/>
      <c r="H36" s="8" t="s">
        <v>13</v>
      </c>
      <c r="I36" s="15">
        <f>+I34+I35</f>
        <v>70078.000000079992</v>
      </c>
    </row>
    <row r="37" spans="2:9" x14ac:dyDescent="0.25">
      <c r="G37" s="4"/>
      <c r="H37" s="20" t="s">
        <v>14</v>
      </c>
      <c r="I37" s="21">
        <v>190000</v>
      </c>
    </row>
    <row r="38" spans="2:9" x14ac:dyDescent="0.25">
      <c r="G38" s="4"/>
      <c r="H38" s="8" t="s">
        <v>15</v>
      </c>
      <c r="I38" s="15">
        <f>+I37/1.08*0.08</f>
        <v>14074.074074074075</v>
      </c>
    </row>
    <row r="39" spans="2:9" x14ac:dyDescent="0.25">
      <c r="G39" s="4"/>
      <c r="H39" s="8" t="s">
        <v>16</v>
      </c>
      <c r="I39" s="15">
        <f>+I37-I38</f>
        <v>175925.92592592593</v>
      </c>
    </row>
    <row r="40" spans="2:9" x14ac:dyDescent="0.25">
      <c r="G40" s="4"/>
      <c r="H40" s="8" t="s">
        <v>17</v>
      </c>
      <c r="I40" s="41">
        <f>+I36/I39</f>
        <v>0.39833810526361257</v>
      </c>
    </row>
    <row r="41" spans="2:9" x14ac:dyDescent="0.25">
      <c r="G41" s="4"/>
      <c r="H41" s="8" t="s">
        <v>18</v>
      </c>
      <c r="I41" s="42">
        <f>+I39-I36</f>
        <v>105847.92592584594</v>
      </c>
    </row>
    <row r="42" spans="2:9" x14ac:dyDescent="0.25">
      <c r="G42" s="4"/>
      <c r="H42" s="8" t="s">
        <v>19</v>
      </c>
      <c r="I42" s="43">
        <f>+I41/I36</f>
        <v>1.5104301767419892</v>
      </c>
    </row>
    <row r="46" spans="2:9" x14ac:dyDescent="0.25">
      <c r="B46" s="19" t="s">
        <v>353</v>
      </c>
      <c r="C46" s="2"/>
      <c r="D46" s="2"/>
      <c r="E46" s="3"/>
      <c r="F46" s="3"/>
      <c r="G46" s="4"/>
      <c r="H46" s="399" t="s">
        <v>0</v>
      </c>
      <c r="I46" s="399"/>
    </row>
    <row r="47" spans="2:9" x14ac:dyDescent="0.25">
      <c r="B47" s="5" t="s">
        <v>1</v>
      </c>
      <c r="C47" s="6" t="s">
        <v>2</v>
      </c>
      <c r="D47" s="6" t="s">
        <v>3</v>
      </c>
      <c r="E47" s="7" t="s">
        <v>4</v>
      </c>
      <c r="F47" s="7" t="s">
        <v>5</v>
      </c>
      <c r="G47" s="4"/>
      <c r="H47" s="8" t="s">
        <v>6</v>
      </c>
      <c r="I47" s="9">
        <f>SUM(Tabla110345345445545647945586877869510811712713622823724627233260269297324325299[Total costo])</f>
        <v>41205</v>
      </c>
    </row>
    <row r="48" spans="2:9" x14ac:dyDescent="0.25">
      <c r="B48" s="10" t="s">
        <v>702</v>
      </c>
      <c r="C48" s="11" t="s">
        <v>11</v>
      </c>
      <c r="D48" s="12">
        <v>1</v>
      </c>
      <c r="E48" s="13">
        <f>+VLOOKUP(Tabla110345345445545647945586877869510811712713622823724627233260269297324325299[[#This Row],[Ingrediente]],Tabla34[#All],3,0)</f>
        <v>41205</v>
      </c>
      <c r="F48" s="14">
        <f>+Tabla110345345445545647945586877869510811712713622823724627233260269297324325299[[#This Row],[Costo]]*Tabla110345345445545647945586877869510811712713622823724627233260269297324325299[[#This Row],[Cant.]]</f>
        <v>41205</v>
      </c>
      <c r="G48" s="4"/>
      <c r="H48" s="8" t="s">
        <v>12</v>
      </c>
      <c r="I48" s="15"/>
    </row>
    <row r="49" spans="2:9" x14ac:dyDescent="0.25">
      <c r="B49" s="16"/>
      <c r="C49" s="17"/>
      <c r="D49" s="17"/>
      <c r="E49" s="18"/>
      <c r="F49" s="18">
        <f>SUBTOTAL(109,Tabla110345345445545647945586877869510811712713622823724627233260269297324325299[Total costo])</f>
        <v>41205</v>
      </c>
      <c r="G49" s="4"/>
      <c r="H49" s="8" t="s">
        <v>13</v>
      </c>
      <c r="I49" s="15">
        <f>+I47+I48</f>
        <v>41205</v>
      </c>
    </row>
    <row r="50" spans="2:9" x14ac:dyDescent="0.25">
      <c r="G50" s="4"/>
      <c r="H50" s="20" t="s">
        <v>14</v>
      </c>
      <c r="I50" s="21">
        <v>125000</v>
      </c>
    </row>
    <row r="51" spans="2:9" x14ac:dyDescent="0.25">
      <c r="G51" s="4"/>
      <c r="H51" s="8" t="s">
        <v>15</v>
      </c>
      <c r="I51" s="15">
        <f>+I50/1.08*0.08</f>
        <v>9259.2592592592591</v>
      </c>
    </row>
    <row r="52" spans="2:9" x14ac:dyDescent="0.25">
      <c r="G52" s="4"/>
      <c r="H52" s="8" t="s">
        <v>16</v>
      </c>
      <c r="I52" s="15">
        <f>+I50-I51</f>
        <v>115740.74074074074</v>
      </c>
    </row>
    <row r="53" spans="2:9" x14ac:dyDescent="0.25">
      <c r="G53" s="4"/>
      <c r="H53" s="8" t="s">
        <v>17</v>
      </c>
      <c r="I53" s="41">
        <f>+I49/I52</f>
        <v>0.35601119999999997</v>
      </c>
    </row>
    <row r="54" spans="2:9" x14ac:dyDescent="0.25">
      <c r="G54" s="4"/>
      <c r="H54" s="8" t="s">
        <v>18</v>
      </c>
      <c r="I54" s="42">
        <f>+I52-I49</f>
        <v>74535.740740740745</v>
      </c>
    </row>
    <row r="55" spans="2:9" x14ac:dyDescent="0.25">
      <c r="G55" s="4"/>
      <c r="H55" s="8" t="s">
        <v>19</v>
      </c>
      <c r="I55" s="43">
        <f>+I54/I49</f>
        <v>1.8089003941449033</v>
      </c>
    </row>
    <row r="56" spans="2:9" ht="12" customHeight="1" x14ac:dyDescent="0.25"/>
    <row r="59" spans="2:9" x14ac:dyDescent="0.25">
      <c r="B59" s="19" t="s">
        <v>354</v>
      </c>
      <c r="C59" s="2"/>
      <c r="D59" s="2"/>
      <c r="E59" s="3"/>
      <c r="F59" s="3"/>
      <c r="G59" s="4"/>
      <c r="H59" s="399" t="s">
        <v>0</v>
      </c>
      <c r="I59" s="399"/>
    </row>
    <row r="60" spans="2:9" x14ac:dyDescent="0.25">
      <c r="B60" s="5" t="s">
        <v>1</v>
      </c>
      <c r="C60" s="6" t="s">
        <v>2</v>
      </c>
      <c r="D60" s="6" t="s">
        <v>3</v>
      </c>
      <c r="E60" s="7" t="s">
        <v>4</v>
      </c>
      <c r="F60" s="7" t="s">
        <v>5</v>
      </c>
      <c r="G60" s="4"/>
      <c r="H60" s="8" t="s">
        <v>6</v>
      </c>
      <c r="I60" s="9">
        <f>SUM(Tabla110345345445545647945586877869510811712713622823724627233260269297324327[Total costo])</f>
        <v>24583</v>
      </c>
    </row>
    <row r="61" spans="2:9" x14ac:dyDescent="0.25">
      <c r="B61" s="30" t="s">
        <v>794</v>
      </c>
      <c r="C61" s="11" t="s">
        <v>11</v>
      </c>
      <c r="D61" s="12">
        <v>1</v>
      </c>
      <c r="E61" s="13">
        <f>+VLOOKUP(Tabla110345345445545647945586877869510811712713622823724627233260269297324327[[#This Row],[Ingrediente]],Tabla34[#All],3,0)</f>
        <v>24583</v>
      </c>
      <c r="F61" s="14">
        <f>+Tabla110345345445545647945586877869510811712713622823724627233260269297324327[[#This Row],[Costo]]*Tabla110345345445545647945586877869510811712713622823724627233260269297324327[[#This Row],[Cant.]]</f>
        <v>24583</v>
      </c>
      <c r="G61" s="4"/>
      <c r="H61" s="8" t="s">
        <v>12</v>
      </c>
      <c r="I61" s="15"/>
    </row>
    <row r="62" spans="2:9" x14ac:dyDescent="0.25">
      <c r="B62" s="16"/>
      <c r="C62" s="17"/>
      <c r="D62" s="17"/>
      <c r="E62" s="18"/>
      <c r="F62" s="18">
        <f>SUBTOTAL(109,Tabla110345345445545647945586877869510811712713622823724627233260269297324327[Total costo])</f>
        <v>24583</v>
      </c>
      <c r="G62" s="4"/>
      <c r="H62" s="8" t="s">
        <v>13</v>
      </c>
      <c r="I62" s="15">
        <f>+I60+I61</f>
        <v>24583</v>
      </c>
    </row>
    <row r="63" spans="2:9" x14ac:dyDescent="0.25">
      <c r="G63" s="4"/>
      <c r="H63" s="20" t="s">
        <v>14</v>
      </c>
      <c r="I63" s="21">
        <v>80000</v>
      </c>
    </row>
    <row r="64" spans="2:9" x14ac:dyDescent="0.25">
      <c r="G64" s="4"/>
      <c r="H64" s="8" t="s">
        <v>15</v>
      </c>
      <c r="I64" s="15">
        <f>+I63/1.08*0.08</f>
        <v>5925.9259259259261</v>
      </c>
    </row>
    <row r="65" spans="2:9" x14ac:dyDescent="0.25">
      <c r="G65" s="4"/>
      <c r="H65" s="8" t="s">
        <v>16</v>
      </c>
      <c r="I65" s="15">
        <f>+I63-I64</f>
        <v>74074.074074074073</v>
      </c>
    </row>
    <row r="66" spans="2:9" x14ac:dyDescent="0.25">
      <c r="G66" s="4"/>
      <c r="H66" s="8" t="s">
        <v>17</v>
      </c>
      <c r="I66" s="41">
        <f>+I62/I65</f>
        <v>0.33187050000000001</v>
      </c>
    </row>
    <row r="67" spans="2:9" x14ac:dyDescent="0.25">
      <c r="G67" s="4"/>
      <c r="H67" s="8" t="s">
        <v>18</v>
      </c>
      <c r="I67" s="42">
        <f>+I65-I62</f>
        <v>49491.074074074073</v>
      </c>
    </row>
    <row r="68" spans="2:9" x14ac:dyDescent="0.25">
      <c r="G68" s="4"/>
      <c r="H68" s="8" t="s">
        <v>19</v>
      </c>
      <c r="I68" s="43">
        <f>+I67/I62</f>
        <v>2.0132235314678466</v>
      </c>
    </row>
    <row r="76" spans="2:9" x14ac:dyDescent="0.25">
      <c r="B76" s="19" t="s">
        <v>347</v>
      </c>
      <c r="C76" s="2"/>
      <c r="D76" s="2"/>
      <c r="E76" s="3"/>
      <c r="F76" s="3"/>
      <c r="G76" s="4"/>
      <c r="H76" s="399" t="s">
        <v>0</v>
      </c>
      <c r="I76" s="399"/>
    </row>
    <row r="77" spans="2:9" x14ac:dyDescent="0.25">
      <c r="B77" s="5" t="s">
        <v>1</v>
      </c>
      <c r="C77" s="6" t="s">
        <v>2</v>
      </c>
      <c r="D77" s="6" t="s">
        <v>3</v>
      </c>
      <c r="E77" s="7" t="s">
        <v>4</v>
      </c>
      <c r="F77" s="7" t="s">
        <v>5</v>
      </c>
      <c r="G77" s="4"/>
      <c r="H77" s="8" t="s">
        <v>6</v>
      </c>
      <c r="I77" s="9">
        <f>SUM(Tabla110345345445545647945586877869510811712713622823724627233260269297324327256114[Total costo])</f>
        <v>49990.000000079992</v>
      </c>
    </row>
    <row r="78" spans="2:9" x14ac:dyDescent="0.25">
      <c r="B78" s="10" t="s">
        <v>665</v>
      </c>
      <c r="C78" s="11" t="s">
        <v>252</v>
      </c>
      <c r="D78" s="12">
        <v>24</v>
      </c>
      <c r="E78" s="13">
        <f>+VLOOKUP(Tabla110345345445545647945586877869510811712713622823724627233260269297324327256114[[#This Row],[Ingrediente]],Tabla34[#All],3,0)</f>
        <v>2082.9166666699998</v>
      </c>
      <c r="F78" s="14">
        <f>+Tabla110345345445545647945586877869510811712713622823724627233260269297324327256114[[#This Row],[Costo]]*Tabla110345345445545647945586877869510811712713622823724627233260269297324327256114[[#This Row],[Cant.]]</f>
        <v>49990.000000079992</v>
      </c>
      <c r="G78" s="4"/>
      <c r="H78" s="8" t="s">
        <v>12</v>
      </c>
      <c r="I78" s="15"/>
    </row>
    <row r="79" spans="2:9" x14ac:dyDescent="0.25">
      <c r="B79" s="16"/>
      <c r="C79" s="17"/>
      <c r="D79" s="17"/>
      <c r="E79" s="18"/>
      <c r="F79" s="18">
        <f>SUBTOTAL(109,Tabla110345345445545647945586877869510811712713622823724627233260269297324327256114[Total costo])</f>
        <v>49990.000000079992</v>
      </c>
      <c r="G79" s="4"/>
      <c r="H79" s="8" t="s">
        <v>13</v>
      </c>
      <c r="I79" s="15">
        <f>+I77+I78</f>
        <v>49990.000000079992</v>
      </c>
    </row>
    <row r="80" spans="2:9" x14ac:dyDescent="0.25">
      <c r="G80" s="4"/>
      <c r="H80" s="20" t="s">
        <v>14</v>
      </c>
      <c r="I80" s="21">
        <v>115000</v>
      </c>
    </row>
    <row r="81" spans="2:9" x14ac:dyDescent="0.25">
      <c r="G81" s="4"/>
      <c r="H81" s="8" t="s">
        <v>15</v>
      </c>
      <c r="I81" s="15">
        <f>+I80/1.08*0.08</f>
        <v>8518.5185185185182</v>
      </c>
    </row>
    <row r="82" spans="2:9" x14ac:dyDescent="0.25">
      <c r="G82" s="4"/>
      <c r="H82" s="8" t="s">
        <v>16</v>
      </c>
      <c r="I82" s="15">
        <f>+I80-I81</f>
        <v>106481.48148148149</v>
      </c>
    </row>
    <row r="83" spans="2:9" x14ac:dyDescent="0.25">
      <c r="G83" s="4"/>
      <c r="H83" s="8" t="s">
        <v>17</v>
      </c>
      <c r="I83" s="41">
        <f>+I79/I82</f>
        <v>0.46947130434857726</v>
      </c>
    </row>
    <row r="84" spans="2:9" x14ac:dyDescent="0.25">
      <c r="G84" s="4"/>
      <c r="H84" s="8" t="s">
        <v>18</v>
      </c>
      <c r="I84" s="42">
        <f>+I82-I79</f>
        <v>56491.481481401497</v>
      </c>
    </row>
    <row r="85" spans="2:9" x14ac:dyDescent="0.25">
      <c r="G85" s="4"/>
      <c r="H85" s="8" t="s">
        <v>19</v>
      </c>
      <c r="I85" s="43">
        <f>+I84/I79</f>
        <v>1.1300556407543729</v>
      </c>
    </row>
    <row r="88" spans="2:9" x14ac:dyDescent="0.25">
      <c r="B88" s="19" t="s">
        <v>349</v>
      </c>
      <c r="C88" s="2"/>
      <c r="D88" s="2"/>
      <c r="E88" s="3"/>
      <c r="F88" s="3"/>
      <c r="G88" s="4"/>
      <c r="H88" s="399" t="s">
        <v>0</v>
      </c>
      <c r="I88" s="399"/>
    </row>
    <row r="89" spans="2:9" x14ac:dyDescent="0.25">
      <c r="B89" s="5" t="s">
        <v>1</v>
      </c>
      <c r="C89" s="6" t="s">
        <v>2</v>
      </c>
      <c r="D89" s="6" t="s">
        <v>3</v>
      </c>
      <c r="E89" s="7" t="s">
        <v>4</v>
      </c>
      <c r="F89" s="7" t="s">
        <v>5</v>
      </c>
      <c r="G89" s="4"/>
      <c r="H89" s="8" t="s">
        <v>6</v>
      </c>
      <c r="I89" s="9">
        <f>SUM(Tabla110345345445545647945586877869510811712713622823724627233260269297324327256114116[Total costo])</f>
        <v>82982.999999899999</v>
      </c>
    </row>
    <row r="90" spans="2:9" x14ac:dyDescent="0.25">
      <c r="B90" s="10" t="s">
        <v>304</v>
      </c>
      <c r="C90" s="11" t="s">
        <v>252</v>
      </c>
      <c r="D90" s="12">
        <v>22</v>
      </c>
      <c r="E90" s="13">
        <f>+VLOOKUP(Tabla110345345445545647945586877869510811712713622823724627233260269297324327256114116[[#This Row],[Ingrediente]],Tabla34[#All],3,0)</f>
        <v>3771.9545454499998</v>
      </c>
      <c r="F90" s="14">
        <f>+Tabla110345345445545647945586877869510811712713622823724627233260269297324327256114116[[#This Row],[Costo]]*Tabla110345345445545647945586877869510811712713622823724627233260269297324327256114116[[#This Row],[Cant.]]</f>
        <v>82982.999999899999</v>
      </c>
      <c r="G90" s="4"/>
      <c r="H90" s="8" t="s">
        <v>12</v>
      </c>
      <c r="I90" s="15"/>
    </row>
    <row r="91" spans="2:9" x14ac:dyDescent="0.25">
      <c r="B91" s="16"/>
      <c r="C91" s="17"/>
      <c r="D91" s="17"/>
      <c r="E91" s="18"/>
      <c r="F91" s="18">
        <f>SUBTOTAL(109,Tabla110345345445545647945586877869510811712713622823724627233260269297324327256114116[Total costo])</f>
        <v>82982.999999899999</v>
      </c>
      <c r="G91" s="4"/>
      <c r="H91" s="8" t="s">
        <v>13</v>
      </c>
      <c r="I91" s="15">
        <f>+I89+I90</f>
        <v>82982.999999899999</v>
      </c>
    </row>
    <row r="92" spans="2:9" x14ac:dyDescent="0.25">
      <c r="G92" s="4"/>
      <c r="H92" s="20" t="s">
        <v>14</v>
      </c>
      <c r="I92" s="21">
        <v>220000</v>
      </c>
    </row>
    <row r="93" spans="2:9" x14ac:dyDescent="0.25">
      <c r="G93" s="4"/>
      <c r="H93" s="8" t="s">
        <v>15</v>
      </c>
      <c r="I93" s="15">
        <f>+I92/1.08*0.08</f>
        <v>16296.296296296294</v>
      </c>
    </row>
    <row r="94" spans="2:9" x14ac:dyDescent="0.25">
      <c r="G94" s="4"/>
      <c r="H94" s="8" t="s">
        <v>16</v>
      </c>
      <c r="I94" s="15">
        <f>+I92-I93</f>
        <v>203703.70370370371</v>
      </c>
    </row>
    <row r="95" spans="2:9" x14ac:dyDescent="0.25">
      <c r="G95" s="4"/>
      <c r="H95" s="8" t="s">
        <v>17</v>
      </c>
      <c r="I95" s="41">
        <f>+I91/I94</f>
        <v>0.40737109090859996</v>
      </c>
    </row>
    <row r="96" spans="2:9" x14ac:dyDescent="0.25">
      <c r="G96" s="4"/>
      <c r="H96" s="8" t="s">
        <v>18</v>
      </c>
      <c r="I96" s="42">
        <f>+I94-I91</f>
        <v>120720.70370380371</v>
      </c>
    </row>
    <row r="97" spans="2:9" x14ac:dyDescent="0.25">
      <c r="G97" s="4"/>
      <c r="H97" s="8" t="s">
        <v>19</v>
      </c>
      <c r="I97" s="43">
        <f>+I96/I91</f>
        <v>1.4547642734529866</v>
      </c>
    </row>
    <row r="99" spans="2:9" x14ac:dyDescent="0.25">
      <c r="B99" s="19" t="s">
        <v>350</v>
      </c>
      <c r="C99" s="2"/>
      <c r="D99" s="2"/>
      <c r="E99" s="3"/>
      <c r="F99" s="3"/>
      <c r="G99" s="4"/>
      <c r="H99" s="399" t="s">
        <v>0</v>
      </c>
      <c r="I99" s="399"/>
    </row>
    <row r="100" spans="2:9" x14ac:dyDescent="0.25">
      <c r="B100" s="5" t="s">
        <v>1</v>
      </c>
      <c r="C100" s="6" t="s">
        <v>2</v>
      </c>
      <c r="D100" s="6" t="s">
        <v>3</v>
      </c>
      <c r="E100" s="7" t="s">
        <v>4</v>
      </c>
      <c r="F100" s="7" t="s">
        <v>5</v>
      </c>
      <c r="G100" s="4"/>
      <c r="H100" s="8" t="s">
        <v>6</v>
      </c>
      <c r="I100" s="9">
        <f>SUM(Tabla110345345445545647945586877869510811712713622823724627233260269297324327256114134[Total costo])</f>
        <v>4943.5833333399996</v>
      </c>
    </row>
    <row r="101" spans="2:9" x14ac:dyDescent="0.25">
      <c r="B101" s="10" t="s">
        <v>102</v>
      </c>
      <c r="C101" s="11" t="s">
        <v>252</v>
      </c>
      <c r="D101" s="12">
        <v>2</v>
      </c>
      <c r="E101" s="13">
        <f>+VLOOKUP(Tabla110345345445545647945586877869510811712713622823724627233260269297324327256114134[[#This Row],[Ingrediente]],Tabla34[#All],3,0)</f>
        <v>2471.7916666699998</v>
      </c>
      <c r="F101" s="14">
        <f>+Tabla110345345445545647945586877869510811712713622823724627233260269297324327256114134[[#This Row],[Costo]]*Tabla110345345445545647945586877869510811712713622823724627233260269297324327256114134[[#This Row],[Cant.]]</f>
        <v>4943.5833333399996</v>
      </c>
      <c r="G101" s="4"/>
      <c r="H101" s="8" t="s">
        <v>12</v>
      </c>
      <c r="I101" s="15"/>
    </row>
    <row r="102" spans="2:9" x14ac:dyDescent="0.25">
      <c r="B102" s="16"/>
      <c r="C102" s="17"/>
      <c r="D102" s="17"/>
      <c r="E102" s="18"/>
      <c r="F102" s="18">
        <f>SUBTOTAL(109,Tabla110345345445545647945586877869510811712713622823724627233260269297324327256114134[Total costo])</f>
        <v>4943.5833333399996</v>
      </c>
      <c r="G102" s="4"/>
      <c r="H102" s="8" t="s">
        <v>13</v>
      </c>
      <c r="I102" s="15">
        <f>+I100+I101</f>
        <v>4943.5833333399996</v>
      </c>
    </row>
    <row r="103" spans="2:9" x14ac:dyDescent="0.25">
      <c r="G103" s="4"/>
      <c r="H103" s="20" t="s">
        <v>14</v>
      </c>
      <c r="I103" s="21">
        <v>18000</v>
      </c>
    </row>
    <row r="104" spans="2:9" x14ac:dyDescent="0.25">
      <c r="G104" s="4"/>
      <c r="H104" s="8" t="s">
        <v>15</v>
      </c>
      <c r="I104" s="15">
        <f>+I103/1.08*0.08</f>
        <v>1333.3333333333333</v>
      </c>
    </row>
    <row r="105" spans="2:9" x14ac:dyDescent="0.25">
      <c r="G105" s="4"/>
      <c r="H105" s="8" t="s">
        <v>16</v>
      </c>
      <c r="I105" s="15">
        <f>+I103-I104</f>
        <v>16666.666666666668</v>
      </c>
    </row>
    <row r="106" spans="2:9" x14ac:dyDescent="0.25">
      <c r="G106" s="4"/>
      <c r="H106" s="8" t="s">
        <v>17</v>
      </c>
      <c r="I106" s="41">
        <f>+I102/I105</f>
        <v>0.29661500000039998</v>
      </c>
    </row>
    <row r="107" spans="2:9" x14ac:dyDescent="0.25">
      <c r="G107" s="4"/>
      <c r="H107" s="8" t="s">
        <v>18</v>
      </c>
      <c r="I107" s="42">
        <f>+I105-I102</f>
        <v>11723.083333326667</v>
      </c>
    </row>
    <row r="108" spans="2:9" x14ac:dyDescent="0.25">
      <c r="G108" s="4"/>
      <c r="H108" s="8" t="s">
        <v>19</v>
      </c>
      <c r="I108" s="43">
        <f>+I107/I102</f>
        <v>2.3713736661957472</v>
      </c>
    </row>
    <row r="112" spans="2:9" x14ac:dyDescent="0.25">
      <c r="B112" s="19" t="s">
        <v>1285</v>
      </c>
      <c r="C112" s="2"/>
      <c r="D112" s="2"/>
      <c r="E112" s="3"/>
      <c r="F112" s="3"/>
      <c r="G112" s="4"/>
      <c r="H112" s="399" t="s">
        <v>0</v>
      </c>
      <c r="I112" s="399"/>
    </row>
    <row r="113" spans="2:9" x14ac:dyDescent="0.25">
      <c r="B113" s="5" t="s">
        <v>1</v>
      </c>
      <c r="C113" s="6" t="s">
        <v>2</v>
      </c>
      <c r="D113" s="6" t="s">
        <v>3</v>
      </c>
      <c r="E113" s="7" t="s">
        <v>4</v>
      </c>
      <c r="F113" s="7" t="s">
        <v>5</v>
      </c>
      <c r="G113" s="4"/>
      <c r="H113" s="8" t="s">
        <v>6</v>
      </c>
      <c r="I113" s="9">
        <f>SUM(Tabla11034534544554564794558687786951081171271362282372462723326026929732432725611413424[Total costo])</f>
        <v>45100</v>
      </c>
    </row>
    <row r="114" spans="2:9" x14ac:dyDescent="0.25">
      <c r="B114" s="10" t="s">
        <v>1286</v>
      </c>
      <c r="C114" s="11" t="s">
        <v>252</v>
      </c>
      <c r="D114" s="12">
        <v>1</v>
      </c>
      <c r="E114" s="13">
        <f>+VLOOKUP(Tabla11034534544554564794558687786951081171271362282372462723326026929732432725611413424[[#This Row],[Ingrediente]],Tabla34[#All],3,0)</f>
        <v>45100</v>
      </c>
      <c r="F114" s="14">
        <f>+Tabla11034534544554564794558687786951081171271362282372462723326026929732432725611413424[[#This Row],[Costo]]*Tabla11034534544554564794558687786951081171271362282372462723326026929732432725611413424[[#This Row],[Cant.]]</f>
        <v>45100</v>
      </c>
      <c r="G114" s="4"/>
      <c r="H114" s="8" t="s">
        <v>12</v>
      </c>
      <c r="I114" s="15"/>
    </row>
    <row r="115" spans="2:9" x14ac:dyDescent="0.25">
      <c r="B115" s="16"/>
      <c r="C115" s="17"/>
      <c r="D115" s="17"/>
      <c r="E115" s="18"/>
      <c r="F115" s="18">
        <f>SUBTOTAL(109,Tabla11034534544554564794558687786951081171271362282372462723326026929732432725611413424[Total costo])</f>
        <v>45100</v>
      </c>
      <c r="G115" s="4"/>
      <c r="H115" s="8" t="s">
        <v>13</v>
      </c>
      <c r="I115" s="15">
        <f>+I113+I114</f>
        <v>45100</v>
      </c>
    </row>
    <row r="116" spans="2:9" x14ac:dyDescent="0.25">
      <c r="G116" s="4"/>
      <c r="H116" s="20" t="s">
        <v>14</v>
      </c>
      <c r="I116" s="21">
        <v>18000</v>
      </c>
    </row>
    <row r="117" spans="2:9" x14ac:dyDescent="0.25">
      <c r="G117" s="4"/>
      <c r="H117" s="8" t="s">
        <v>15</v>
      </c>
      <c r="I117" s="15">
        <f>+I116/1.08*0.08</f>
        <v>1333.3333333333333</v>
      </c>
    </row>
    <row r="118" spans="2:9" x14ac:dyDescent="0.25">
      <c r="G118" s="4"/>
      <c r="H118" s="8" t="s">
        <v>16</v>
      </c>
      <c r="I118" s="15">
        <f>+I116-I117</f>
        <v>16666.666666666668</v>
      </c>
    </row>
    <row r="119" spans="2:9" x14ac:dyDescent="0.25">
      <c r="G119" s="4"/>
      <c r="H119" s="8" t="s">
        <v>17</v>
      </c>
      <c r="I119" s="41">
        <f>+I115/I118</f>
        <v>2.706</v>
      </c>
    </row>
    <row r="120" spans="2:9" x14ac:dyDescent="0.25">
      <c r="G120" s="4"/>
      <c r="H120" s="8" t="s">
        <v>18</v>
      </c>
      <c r="I120" s="42">
        <f>+I118-I115</f>
        <v>-28433.333333333332</v>
      </c>
    </row>
    <row r="121" spans="2:9" x14ac:dyDescent="0.25">
      <c r="G121" s="4"/>
      <c r="H121" s="8" t="s">
        <v>19</v>
      </c>
      <c r="I121" s="43">
        <f>+I120/I115</f>
        <v>-0.63045084996304501</v>
      </c>
    </row>
    <row r="125" spans="2:9" x14ac:dyDescent="0.25">
      <c r="B125" s="19" t="s">
        <v>275</v>
      </c>
      <c r="C125" s="2"/>
      <c r="D125" s="2"/>
      <c r="E125" s="3"/>
      <c r="F125" s="3"/>
      <c r="G125" s="4"/>
      <c r="H125" s="399" t="s">
        <v>0</v>
      </c>
      <c r="I125" s="399"/>
    </row>
    <row r="126" spans="2:9" x14ac:dyDescent="0.25">
      <c r="B126" s="5" t="s">
        <v>1</v>
      </c>
      <c r="C126" s="6" t="s">
        <v>2</v>
      </c>
      <c r="D126" s="6" t="s">
        <v>3</v>
      </c>
      <c r="E126" s="7" t="s">
        <v>4</v>
      </c>
      <c r="F126" s="7" t="s">
        <v>5</v>
      </c>
      <c r="G126" s="4"/>
      <c r="H126" s="8" t="s">
        <v>6</v>
      </c>
      <c r="I126" s="9">
        <f>SUM(Tabla110345345445545647945586877869510811712713622823724627233260269297324328212[Total costo])</f>
        <v>24700</v>
      </c>
    </row>
    <row r="127" spans="2:9" x14ac:dyDescent="0.25">
      <c r="B127" s="10" t="s">
        <v>643</v>
      </c>
      <c r="C127" s="11" t="s">
        <v>252</v>
      </c>
      <c r="D127" s="12">
        <v>2</v>
      </c>
      <c r="E127" s="13">
        <f>+VLOOKUP(Tabla110345345445545647945586877869510811712713622823724627233260269297324328212[[#This Row],[Ingrediente]],Tabla34[#All],3,0)</f>
        <v>12350</v>
      </c>
      <c r="F127" s="14">
        <f>+Tabla110345345445545647945586877869510811712713622823724627233260269297324328212[[#This Row],[Costo]]*Tabla110345345445545647945586877869510811712713622823724627233260269297324328212[[#This Row],[Cant.]]</f>
        <v>24700</v>
      </c>
      <c r="G127" s="4"/>
      <c r="H127" s="8" t="s">
        <v>12</v>
      </c>
      <c r="I127" s="15">
        <f>+I126*10%</f>
        <v>2470</v>
      </c>
    </row>
    <row r="128" spans="2:9" x14ac:dyDescent="0.25">
      <c r="B128" s="16"/>
      <c r="C128" s="17"/>
      <c r="D128" s="17"/>
      <c r="E128" s="18"/>
      <c r="F128" s="18">
        <f>SUBTOTAL(109,Tabla110345345445545647945586877869510811712713622823724627233260269297324328212[Total costo])</f>
        <v>24700</v>
      </c>
      <c r="G128" s="4"/>
      <c r="H128" s="8" t="s">
        <v>13</v>
      </c>
      <c r="I128" s="15">
        <f>+I126+I127</f>
        <v>27170</v>
      </c>
    </row>
    <row r="129" spans="2:9" x14ac:dyDescent="0.25">
      <c r="G129" s="4"/>
      <c r="H129" s="20" t="s">
        <v>14</v>
      </c>
      <c r="I129" s="21">
        <v>53000</v>
      </c>
    </row>
    <row r="130" spans="2:9" x14ac:dyDescent="0.25">
      <c r="G130" s="4"/>
      <c r="H130" s="8" t="s">
        <v>15</v>
      </c>
      <c r="I130" s="15">
        <f>+I129/1.08*0.08</f>
        <v>3925.9259259259261</v>
      </c>
    </row>
    <row r="131" spans="2:9" x14ac:dyDescent="0.25">
      <c r="G131" s="4"/>
      <c r="H131" s="8" t="s">
        <v>16</v>
      </c>
      <c r="I131" s="15">
        <f>+I129-I130</f>
        <v>49074.074074074073</v>
      </c>
    </row>
    <row r="132" spans="2:9" x14ac:dyDescent="0.25">
      <c r="G132" s="4"/>
      <c r="H132" s="8" t="s">
        <v>17</v>
      </c>
      <c r="I132" s="41">
        <f>+I128/I131</f>
        <v>0.55365283018867928</v>
      </c>
    </row>
    <row r="133" spans="2:9" x14ac:dyDescent="0.25">
      <c r="G133" s="4"/>
      <c r="H133" s="8" t="s">
        <v>18</v>
      </c>
      <c r="I133" s="42">
        <f>+I131-I128</f>
        <v>21904.074074074073</v>
      </c>
    </row>
    <row r="134" spans="2:9" x14ac:dyDescent="0.25">
      <c r="G134" s="4"/>
      <c r="H134" s="8" t="s">
        <v>19</v>
      </c>
      <c r="I134" s="43">
        <f>+I133/I128</f>
        <v>0.80618601671233248</v>
      </c>
    </row>
    <row r="139" spans="2:9" x14ac:dyDescent="0.25">
      <c r="B139" s="19" t="s">
        <v>278</v>
      </c>
      <c r="C139" s="2"/>
      <c r="D139" s="2"/>
      <c r="E139" s="3"/>
      <c r="F139" s="3"/>
      <c r="G139" s="4"/>
      <c r="H139" s="399" t="s">
        <v>0</v>
      </c>
      <c r="I139" s="399"/>
    </row>
    <row r="140" spans="2:9" x14ac:dyDescent="0.25">
      <c r="B140" s="5" t="s">
        <v>1</v>
      </c>
      <c r="C140" s="6" t="s">
        <v>2</v>
      </c>
      <c r="D140" s="6" t="s">
        <v>3</v>
      </c>
      <c r="E140" s="7" t="s">
        <v>4</v>
      </c>
      <c r="F140" s="7" t="s">
        <v>5</v>
      </c>
      <c r="G140" s="4"/>
      <c r="H140" s="8" t="s">
        <v>6</v>
      </c>
      <c r="I140" s="9">
        <f>SUM(Tabla110345345445545647945586877869510811712713622823724627233260269297324329213[Total costo])</f>
        <v>10584</v>
      </c>
    </row>
    <row r="141" spans="2:9" x14ac:dyDescent="0.25">
      <c r="B141" s="10" t="s">
        <v>638</v>
      </c>
      <c r="C141" s="11" t="s">
        <v>252</v>
      </c>
      <c r="D141" s="12">
        <v>2</v>
      </c>
      <c r="E141" s="13">
        <f>+VLOOKUP(Tabla110345345445545647945586877869510811712713622823724627233260269297324329213[[#This Row],[Ingrediente]],Tabla34[#All],3,0)</f>
        <v>5292</v>
      </c>
      <c r="F141" s="14">
        <f>+Tabla110345345445545647945586877869510811712713622823724627233260269297324329213[[#This Row],[Costo]]*Tabla110345345445545647945586877869510811712713622823724627233260269297324329213[[#This Row],[Cant.]]</f>
        <v>10584</v>
      </c>
      <c r="G141" s="4"/>
      <c r="H141" s="8" t="s">
        <v>12</v>
      </c>
      <c r="I141" s="15">
        <f>+I140*10%</f>
        <v>1058.4000000000001</v>
      </c>
    </row>
    <row r="142" spans="2:9" x14ac:dyDescent="0.25">
      <c r="B142" s="16"/>
      <c r="C142" s="17"/>
      <c r="D142" s="17" t="s">
        <v>257</v>
      </c>
      <c r="E142" s="18"/>
      <c r="F142" s="18">
        <f>SUBTOTAL(109,Tabla110345345445545647945586877869510811712713622823724627233260269297324329213[Total costo])</f>
        <v>10584</v>
      </c>
      <c r="G142" s="4"/>
      <c r="H142" s="8" t="s">
        <v>13</v>
      </c>
      <c r="I142" s="15">
        <f>+I140+I141</f>
        <v>11642.4</v>
      </c>
    </row>
    <row r="143" spans="2:9" x14ac:dyDescent="0.25">
      <c r="G143" s="4"/>
      <c r="H143" s="20" t="s">
        <v>14</v>
      </c>
      <c r="I143" s="21">
        <v>32000</v>
      </c>
    </row>
    <row r="144" spans="2:9" x14ac:dyDescent="0.25">
      <c r="G144" s="4"/>
      <c r="H144" s="8" t="s">
        <v>15</v>
      </c>
      <c r="I144" s="15">
        <f>+I143/1.08*0.08</f>
        <v>2370.3703703703704</v>
      </c>
    </row>
    <row r="145" spans="2:9" x14ac:dyDescent="0.25">
      <c r="G145" s="4"/>
      <c r="H145" s="8" t="s">
        <v>16</v>
      </c>
      <c r="I145" s="15">
        <f>+I143-I144</f>
        <v>29629.629629629628</v>
      </c>
    </row>
    <row r="146" spans="2:9" x14ac:dyDescent="0.25">
      <c r="G146" s="4"/>
      <c r="H146" s="8" t="s">
        <v>17</v>
      </c>
      <c r="I146" s="41">
        <f>+I142/I145</f>
        <v>0.39293100000000003</v>
      </c>
    </row>
    <row r="147" spans="2:9" x14ac:dyDescent="0.25">
      <c r="G147" s="4"/>
      <c r="H147" s="8" t="s">
        <v>18</v>
      </c>
      <c r="I147" s="42">
        <f>+I145-I142</f>
        <v>17987.229629629626</v>
      </c>
    </row>
    <row r="148" spans="2:9" x14ac:dyDescent="0.25">
      <c r="G148" s="4"/>
      <c r="H148" s="8" t="s">
        <v>19</v>
      </c>
      <c r="I148" s="43">
        <f>+I147/I142</f>
        <v>1.5449760899496348</v>
      </c>
    </row>
    <row r="152" spans="2:9" x14ac:dyDescent="0.25">
      <c r="B152" s="19" t="s">
        <v>279</v>
      </c>
      <c r="C152" s="2"/>
      <c r="D152" s="2"/>
      <c r="E152" s="3"/>
      <c r="F152" s="3"/>
      <c r="G152" s="4"/>
      <c r="H152" s="399" t="s">
        <v>0</v>
      </c>
      <c r="I152" s="399"/>
    </row>
    <row r="153" spans="2:9" x14ac:dyDescent="0.25">
      <c r="B153" s="5" t="s">
        <v>1</v>
      </c>
      <c r="C153" s="6" t="s">
        <v>2</v>
      </c>
      <c r="D153" s="6" t="s">
        <v>3</v>
      </c>
      <c r="E153" s="7" t="s">
        <v>4</v>
      </c>
      <c r="F153" s="7" t="s">
        <v>5</v>
      </c>
      <c r="G153" s="4"/>
      <c r="H153" s="8" t="s">
        <v>6</v>
      </c>
      <c r="I153" s="9">
        <f>SUM(Tabla110345345445545647945586877869510811712713622823724627233260269297324330214[Total costo])</f>
        <v>5839.8333333399996</v>
      </c>
    </row>
    <row r="154" spans="2:9" x14ac:dyDescent="0.25">
      <c r="B154" s="10" t="s">
        <v>1216</v>
      </c>
      <c r="C154" s="11" t="s">
        <v>11</v>
      </c>
      <c r="D154" s="12">
        <v>2</v>
      </c>
      <c r="E154" s="13">
        <f>+VLOOKUP(Tabla110345345445545647945586877869510811712713622823724627233260269297324330214[[#This Row],[Ingrediente]],Tabla34[#All],3,0)</f>
        <v>2919.9166666699998</v>
      </c>
      <c r="F154" s="14">
        <f>+Tabla110345345445545647945586877869510811712713622823724627233260269297324330214[[#This Row],[Costo]]*Tabla110345345445545647945586877869510811712713622823724627233260269297324330214[[#This Row],[Cant.]]</f>
        <v>5839.8333333399996</v>
      </c>
      <c r="G154" s="4"/>
      <c r="H154" s="8" t="s">
        <v>12</v>
      </c>
      <c r="I154" s="15"/>
    </row>
    <row r="155" spans="2:9" x14ac:dyDescent="0.25">
      <c r="B155" s="16"/>
      <c r="C155" s="17"/>
      <c r="D155" s="17"/>
      <c r="E155" s="18"/>
      <c r="F155" s="18">
        <f>SUBTOTAL(109,Tabla110345345445545647945586877869510811712713622823724627233260269297324330214[Total costo])</f>
        <v>5839.8333333399996</v>
      </c>
      <c r="G155" s="4"/>
      <c r="H155" s="8" t="s">
        <v>13</v>
      </c>
      <c r="I155" s="15">
        <f>+I153+I154</f>
        <v>5839.8333333399996</v>
      </c>
    </row>
    <row r="156" spans="2:9" x14ac:dyDescent="0.25">
      <c r="G156" s="4"/>
      <c r="H156" s="20" t="s">
        <v>14</v>
      </c>
      <c r="I156" s="21">
        <v>18000</v>
      </c>
    </row>
    <row r="157" spans="2:9" x14ac:dyDescent="0.25">
      <c r="G157" s="4"/>
      <c r="H157" s="8" t="s">
        <v>15</v>
      </c>
      <c r="I157" s="15">
        <f>+I156/1.08*0.08</f>
        <v>1333.3333333333333</v>
      </c>
    </row>
    <row r="158" spans="2:9" x14ac:dyDescent="0.25">
      <c r="G158" s="4"/>
      <c r="H158" s="8" t="s">
        <v>16</v>
      </c>
      <c r="I158" s="15">
        <f>+I156-I157</f>
        <v>16666.666666666668</v>
      </c>
    </row>
    <row r="159" spans="2:9" x14ac:dyDescent="0.25">
      <c r="G159" s="4"/>
      <c r="H159" s="8" t="s">
        <v>17</v>
      </c>
      <c r="I159" s="41">
        <f>+I155/I158</f>
        <v>0.35039000000039994</v>
      </c>
    </row>
    <row r="160" spans="2:9" x14ac:dyDescent="0.25">
      <c r="G160" s="4"/>
      <c r="H160" s="8" t="s">
        <v>18</v>
      </c>
      <c r="I160" s="42">
        <f>+I158-I155</f>
        <v>10826.833333326667</v>
      </c>
    </row>
    <row r="161" spans="7:9" x14ac:dyDescent="0.25">
      <c r="G161" s="4"/>
      <c r="H161" s="8" t="s">
        <v>19</v>
      </c>
      <c r="I161" s="43">
        <f>+I160/I155</f>
        <v>1.8539627272435244</v>
      </c>
    </row>
    <row r="178" spans="2:9" x14ac:dyDescent="0.25">
      <c r="B178" s="19" t="s">
        <v>352</v>
      </c>
      <c r="C178" s="2"/>
      <c r="D178" s="2"/>
      <c r="E178" s="3"/>
      <c r="F178" s="3"/>
      <c r="G178" s="4"/>
      <c r="H178" s="399" t="s">
        <v>0</v>
      </c>
      <c r="I178" s="399"/>
    </row>
    <row r="179" spans="2:9" x14ac:dyDescent="0.25">
      <c r="B179" s="5" t="s">
        <v>1</v>
      </c>
      <c r="C179" s="6" t="s">
        <v>2</v>
      </c>
      <c r="D179" s="6" t="s">
        <v>3</v>
      </c>
      <c r="E179" s="7" t="s">
        <v>4</v>
      </c>
      <c r="F179" s="7" t="s">
        <v>5</v>
      </c>
      <c r="G179" s="4"/>
      <c r="H179" s="8" t="s">
        <v>6</v>
      </c>
      <c r="I179" s="9">
        <f>SUM(Tabla110345345445545647945586877869510811712713622823724627233260269297324326236251215[Total costo])</f>
        <v>4165.8333333399996</v>
      </c>
    </row>
    <row r="180" spans="2:9" x14ac:dyDescent="0.25">
      <c r="B180" s="10" t="s">
        <v>644</v>
      </c>
      <c r="C180" s="11" t="s">
        <v>252</v>
      </c>
      <c r="D180" s="12">
        <v>2</v>
      </c>
      <c r="E180" s="13">
        <f>+VLOOKUP(Tabla110345345445545647945586877869510811712713622823724627233260269297324326236251215[[#This Row],[Ingrediente]],Tabla34[#All],3,0)</f>
        <v>2082.9166666699998</v>
      </c>
      <c r="F180" s="14">
        <f>+Tabla110345345445545647945586877869510811712713622823724627233260269297324326236251215[[#This Row],[Costo]]*Tabla110345345445545647945586877869510811712713622823724627233260269297324326236251215[[#This Row],[Cant.]]</f>
        <v>4165.8333333399996</v>
      </c>
      <c r="G180" s="4"/>
      <c r="H180" s="8" t="s">
        <v>12</v>
      </c>
      <c r="I180" s="15"/>
    </row>
    <row r="181" spans="2:9" x14ac:dyDescent="0.25">
      <c r="B181" s="16"/>
      <c r="C181" s="17"/>
      <c r="D181" s="17"/>
      <c r="E181" s="18"/>
      <c r="F181" s="18">
        <f>SUBTOTAL(109,Tabla110345345445545647945586877869510811712713622823724627233260269297324326236251215[Total costo])</f>
        <v>4165.8333333399996</v>
      </c>
      <c r="G181" s="4"/>
      <c r="H181" s="8" t="s">
        <v>13</v>
      </c>
      <c r="I181" s="15">
        <f>+I179+I180</f>
        <v>4165.8333333399996</v>
      </c>
    </row>
    <row r="182" spans="2:9" x14ac:dyDescent="0.25">
      <c r="G182" s="4"/>
      <c r="H182" s="20" t="s">
        <v>14</v>
      </c>
      <c r="I182" s="21">
        <v>16000</v>
      </c>
    </row>
    <row r="183" spans="2:9" x14ac:dyDescent="0.25">
      <c r="G183" s="4"/>
      <c r="H183" s="8" t="s">
        <v>15</v>
      </c>
      <c r="I183" s="15">
        <f>+I182/1.08*0.08</f>
        <v>1185.1851851851852</v>
      </c>
    </row>
    <row r="184" spans="2:9" x14ac:dyDescent="0.25">
      <c r="G184" s="4"/>
      <c r="H184" s="8" t="s">
        <v>16</v>
      </c>
      <c r="I184" s="15">
        <f>+I182-I183</f>
        <v>14814.814814814814</v>
      </c>
    </row>
    <row r="185" spans="2:9" x14ac:dyDescent="0.25">
      <c r="G185" s="4"/>
      <c r="H185" s="8" t="s">
        <v>17</v>
      </c>
      <c r="I185" s="41">
        <f>+I181/I184</f>
        <v>0.28119375000044999</v>
      </c>
    </row>
    <row r="186" spans="2:9" x14ac:dyDescent="0.25">
      <c r="G186" s="4"/>
      <c r="H186" s="8" t="s">
        <v>18</v>
      </c>
      <c r="I186" s="42">
        <f>+I184-I181</f>
        <v>10648.981481474813</v>
      </c>
    </row>
    <row r="187" spans="2:9" x14ac:dyDescent="0.25">
      <c r="G187" s="4"/>
      <c r="H187" s="8" t="s">
        <v>19</v>
      </c>
      <c r="I187" s="43">
        <f>+I186/I181</f>
        <v>2.5562668089116478</v>
      </c>
    </row>
    <row r="195" spans="2:9" x14ac:dyDescent="0.25">
      <c r="B195" s="19" t="s">
        <v>348</v>
      </c>
      <c r="C195" s="2"/>
      <c r="D195" s="2"/>
      <c r="E195" s="3"/>
      <c r="F195" s="3"/>
      <c r="G195" s="4"/>
      <c r="H195" s="399" t="s">
        <v>0</v>
      </c>
      <c r="I195" s="399"/>
    </row>
    <row r="196" spans="2:9" x14ac:dyDescent="0.25">
      <c r="B196" s="5" t="s">
        <v>1</v>
      </c>
      <c r="C196" s="6" t="s">
        <v>2</v>
      </c>
      <c r="D196" s="6" t="s">
        <v>3</v>
      </c>
      <c r="E196" s="7" t="s">
        <v>4</v>
      </c>
      <c r="F196" s="7" t="s">
        <v>5</v>
      </c>
      <c r="G196" s="4"/>
      <c r="H196" s="8" t="s">
        <v>6</v>
      </c>
      <c r="I196" s="9">
        <f>SUM(Tabla110345345445545647945586877869510811712713622823724627233260269297324326236251257115216[Total costo])</f>
        <v>4165.8333333399996</v>
      </c>
    </row>
    <row r="197" spans="2:9" x14ac:dyDescent="0.25">
      <c r="B197" s="10" t="s">
        <v>665</v>
      </c>
      <c r="C197" s="11" t="s">
        <v>252</v>
      </c>
      <c r="D197" s="12">
        <v>2</v>
      </c>
      <c r="E197" s="13">
        <f>+VLOOKUP(Tabla110345345445545647945586877869510811712713622823724627233260269297324326236251257115216[[#This Row],[Ingrediente]],Tabla34[#All],3,0)</f>
        <v>2082.9166666699998</v>
      </c>
      <c r="F197" s="14">
        <f>+Tabla110345345445545647945586877869510811712713622823724627233260269297324326236251257115216[[#This Row],[Costo]]*Tabla110345345445545647945586877869510811712713622823724627233260269297324326236251257115216[[#This Row],[Cant.]]</f>
        <v>4165.8333333399996</v>
      </c>
      <c r="G197" s="4"/>
      <c r="H197" s="8" t="s">
        <v>12</v>
      </c>
      <c r="I197" s="15"/>
    </row>
    <row r="198" spans="2:9" x14ac:dyDescent="0.25">
      <c r="B198" s="16"/>
      <c r="C198" s="17"/>
      <c r="D198" s="17"/>
      <c r="E198" s="18"/>
      <c r="F198" s="18">
        <f>SUBTOTAL(109,Tabla110345345445545647945586877869510811712713622823724627233260269297324326236251257115216[Total costo])</f>
        <v>4165.8333333399996</v>
      </c>
      <c r="G198" s="4"/>
      <c r="H198" s="8" t="s">
        <v>13</v>
      </c>
      <c r="I198" s="15">
        <f>+I196+I197</f>
        <v>4165.8333333399996</v>
      </c>
    </row>
    <row r="199" spans="2:9" x14ac:dyDescent="0.25">
      <c r="G199" s="4"/>
      <c r="H199" s="20" t="s">
        <v>14</v>
      </c>
      <c r="I199" s="21">
        <v>16000</v>
      </c>
    </row>
    <row r="200" spans="2:9" x14ac:dyDescent="0.25">
      <c r="G200" s="4"/>
      <c r="H200" s="8" t="s">
        <v>15</v>
      </c>
      <c r="I200" s="15">
        <f>+I199/1.08*0.08</f>
        <v>1185.1851851851852</v>
      </c>
    </row>
    <row r="201" spans="2:9" x14ac:dyDescent="0.25">
      <c r="G201" s="4"/>
      <c r="H201" s="8" t="s">
        <v>16</v>
      </c>
      <c r="I201" s="15">
        <f>+I199-I200</f>
        <v>14814.814814814814</v>
      </c>
    </row>
    <row r="202" spans="2:9" x14ac:dyDescent="0.25">
      <c r="G202" s="4"/>
      <c r="H202" s="8" t="s">
        <v>17</v>
      </c>
      <c r="I202" s="41">
        <f>+I198/I201</f>
        <v>0.28119375000044999</v>
      </c>
    </row>
    <row r="203" spans="2:9" x14ac:dyDescent="0.25">
      <c r="G203" s="4"/>
      <c r="H203" s="8" t="s">
        <v>18</v>
      </c>
      <c r="I203" s="42">
        <f>+I201-I198</f>
        <v>10648.981481474813</v>
      </c>
    </row>
    <row r="204" spans="2:9" x14ac:dyDescent="0.25">
      <c r="G204" s="4"/>
      <c r="H204" s="8" t="s">
        <v>19</v>
      </c>
      <c r="I204" s="43">
        <f>+I203/I198</f>
        <v>2.5562668089116478</v>
      </c>
    </row>
    <row r="207" spans="2:9" x14ac:dyDescent="0.25">
      <c r="B207" s="19" t="s">
        <v>355</v>
      </c>
      <c r="C207" s="2"/>
      <c r="D207" s="2"/>
      <c r="E207" s="3"/>
      <c r="F207" s="3"/>
      <c r="G207" s="4"/>
      <c r="H207" s="399" t="s">
        <v>0</v>
      </c>
      <c r="I207" s="399"/>
    </row>
    <row r="208" spans="2:9" x14ac:dyDescent="0.25">
      <c r="B208" s="5" t="s">
        <v>1</v>
      </c>
      <c r="C208" s="6" t="s">
        <v>2</v>
      </c>
      <c r="D208" s="6" t="s">
        <v>3</v>
      </c>
      <c r="E208" s="7" t="s">
        <v>4</v>
      </c>
      <c r="F208" s="7" t="s">
        <v>5</v>
      </c>
      <c r="G208" s="4"/>
      <c r="H208" s="8" t="s">
        <v>6</v>
      </c>
      <c r="I208" s="9">
        <f>SUM(Tabla110345345445545647945586877869510811712713622823724627233260269297324326236251257115126217[Total costo])</f>
        <v>7543.9090908999997</v>
      </c>
    </row>
    <row r="209" spans="2:9" x14ac:dyDescent="0.25">
      <c r="B209" s="10" t="s">
        <v>304</v>
      </c>
      <c r="C209" s="11" t="s">
        <v>252</v>
      </c>
      <c r="D209" s="12">
        <v>2</v>
      </c>
      <c r="E209" s="13">
        <f>+VLOOKUP(Tabla110345345445545647945586877869510811712713622823724627233260269297324326236251257115126217[[#This Row],[Ingrediente]],Tabla34[#All],3,0)</f>
        <v>3771.9545454499998</v>
      </c>
      <c r="F209" s="14">
        <f>+Tabla110345345445545647945586877869510811712713622823724627233260269297324326236251257115126217[[#This Row],[Costo]]*Tabla110345345445545647945586877869510811712713622823724627233260269297324326236251257115126217[[#This Row],[Cant.]]</f>
        <v>7543.9090908999997</v>
      </c>
      <c r="G209" s="4"/>
      <c r="H209" s="8" t="s">
        <v>12</v>
      </c>
      <c r="I209" s="15"/>
    </row>
    <row r="210" spans="2:9" x14ac:dyDescent="0.25">
      <c r="B210" s="16"/>
      <c r="C210" s="17"/>
      <c r="D210" s="17"/>
      <c r="E210" s="18"/>
      <c r="F210" s="18">
        <f>SUBTOTAL(109,Tabla110345345445545647945586877869510811712713622823724627233260269297324326236251257115126217[Total costo])</f>
        <v>7543.9090908999997</v>
      </c>
      <c r="G210" s="4"/>
      <c r="H210" s="8" t="s">
        <v>13</v>
      </c>
      <c r="I210" s="15">
        <f>+I208+I209</f>
        <v>7543.9090908999997</v>
      </c>
    </row>
    <row r="211" spans="2:9" x14ac:dyDescent="0.25">
      <c r="G211" s="4"/>
      <c r="H211" s="20" t="s">
        <v>14</v>
      </c>
      <c r="I211" s="21">
        <v>25000</v>
      </c>
    </row>
    <row r="212" spans="2:9" x14ac:dyDescent="0.25">
      <c r="G212" s="4"/>
      <c r="H212" s="8" t="s">
        <v>15</v>
      </c>
      <c r="I212" s="15">
        <f>+I211/1.08*0.08</f>
        <v>1851.8518518518517</v>
      </c>
    </row>
    <row r="213" spans="2:9" x14ac:dyDescent="0.25">
      <c r="G213" s="4"/>
      <c r="H213" s="8" t="s">
        <v>16</v>
      </c>
      <c r="I213" s="15">
        <f>+I211-I212</f>
        <v>23148.14814814815</v>
      </c>
    </row>
    <row r="214" spans="2:9" x14ac:dyDescent="0.25">
      <c r="G214" s="4"/>
      <c r="H214" s="8" t="s">
        <v>17</v>
      </c>
      <c r="I214" s="41">
        <f>+I210/I213</f>
        <v>0.32589687272687995</v>
      </c>
    </row>
    <row r="215" spans="2:9" x14ac:dyDescent="0.25">
      <c r="G215" s="4"/>
      <c r="H215" s="8" t="s">
        <v>18</v>
      </c>
      <c r="I215" s="42">
        <f>+I213-I210</f>
        <v>15604.239057248149</v>
      </c>
    </row>
    <row r="216" spans="2:9" x14ac:dyDescent="0.25">
      <c r="G216" s="4"/>
      <c r="H216" s="8" t="s">
        <v>19</v>
      </c>
      <c r="I216" s="43">
        <f>+I215/I210</f>
        <v>2.0684553418162333</v>
      </c>
    </row>
    <row r="217" spans="2:9" x14ac:dyDescent="0.25">
      <c r="B217" s="50"/>
      <c r="C217" s="50"/>
      <c r="D217" s="50"/>
      <c r="E217" s="50"/>
      <c r="F217" s="50"/>
      <c r="G217" s="50"/>
      <c r="H217" s="50"/>
      <c r="I217" s="50"/>
    </row>
  </sheetData>
  <mergeCells count="15">
    <mergeCell ref="H207:I207"/>
    <mergeCell ref="H125:I125"/>
    <mergeCell ref="H139:I139"/>
    <mergeCell ref="H152:I152"/>
    <mergeCell ref="H178:I178"/>
    <mergeCell ref="H195:I195"/>
    <mergeCell ref="H112:I112"/>
    <mergeCell ref="H99:I99"/>
    <mergeCell ref="H76:I76"/>
    <mergeCell ref="H88:I88"/>
    <mergeCell ref="H6:I6"/>
    <mergeCell ref="H20:I20"/>
    <mergeCell ref="H33:I33"/>
    <mergeCell ref="H46:I46"/>
    <mergeCell ref="H59:I59"/>
  </mergeCells>
  <conditionalFormatting sqref="I13">
    <cfRule type="cellIs" dxfId="2161" priority="89" operator="lessThan">
      <formula>0.3</formula>
    </cfRule>
    <cfRule type="cellIs" dxfId="2160" priority="90" operator="greaterThan">
      <formula>0.3</formula>
    </cfRule>
  </conditionalFormatting>
  <conditionalFormatting sqref="I27">
    <cfRule type="cellIs" dxfId="2159" priority="71" operator="lessThan">
      <formula>0.3</formula>
    </cfRule>
    <cfRule type="cellIs" dxfId="2158" priority="72" operator="greaterThan">
      <formula>0.3</formula>
    </cfRule>
  </conditionalFormatting>
  <conditionalFormatting sqref="I40">
    <cfRule type="cellIs" dxfId="2157" priority="69" operator="lessThan">
      <formula>0.3</formula>
    </cfRule>
    <cfRule type="cellIs" dxfId="2156" priority="70" operator="greaterThan">
      <formula>0.3</formula>
    </cfRule>
  </conditionalFormatting>
  <conditionalFormatting sqref="I53">
    <cfRule type="cellIs" dxfId="2155" priority="17" operator="lessThan">
      <formula>0.3</formula>
    </cfRule>
    <cfRule type="cellIs" dxfId="2154" priority="18" operator="greaterThan">
      <formula>0.3</formula>
    </cfRule>
  </conditionalFormatting>
  <conditionalFormatting sqref="I66">
    <cfRule type="cellIs" dxfId="2153" priority="65" operator="lessThan">
      <formula>0.3</formula>
    </cfRule>
    <cfRule type="cellIs" dxfId="2152" priority="66" operator="greaterThan">
      <formula>0.3</formula>
    </cfRule>
  </conditionalFormatting>
  <conditionalFormatting sqref="I83">
    <cfRule type="cellIs" dxfId="2151" priority="41" operator="lessThan">
      <formula>0.3</formula>
    </cfRule>
    <cfRule type="cellIs" dxfId="2150" priority="42" operator="greaterThan">
      <formula>0.3</formula>
    </cfRule>
  </conditionalFormatting>
  <conditionalFormatting sqref="I95">
    <cfRule type="cellIs" dxfId="2149" priority="37" operator="lessThan">
      <formula>0.3</formula>
    </cfRule>
    <cfRule type="cellIs" dxfId="2148" priority="38" operator="greaterThan">
      <formula>0.3</formula>
    </cfRule>
  </conditionalFormatting>
  <conditionalFormatting sqref="I106">
    <cfRule type="cellIs" dxfId="2147" priority="33" operator="lessThan">
      <formula>0.3</formula>
    </cfRule>
    <cfRule type="cellIs" dxfId="2146" priority="34" operator="greaterThan">
      <formula>0.3</formula>
    </cfRule>
  </conditionalFormatting>
  <conditionalFormatting sqref="I119">
    <cfRule type="cellIs" dxfId="2145" priority="13" operator="lessThan">
      <formula>0.3</formula>
    </cfRule>
    <cfRule type="cellIs" dxfId="2144" priority="14" operator="greaterThan">
      <formula>0.3</formula>
    </cfRule>
  </conditionalFormatting>
  <conditionalFormatting sqref="I132">
    <cfRule type="cellIs" dxfId="2143" priority="11" operator="lessThan">
      <formula>0.3</formula>
    </cfRule>
    <cfRule type="cellIs" dxfId="2142" priority="12" operator="greaterThan">
      <formula>0.3</formula>
    </cfRule>
  </conditionalFormatting>
  <conditionalFormatting sqref="I146">
    <cfRule type="cellIs" dxfId="2141" priority="9" operator="lessThan">
      <formula>0.3</formula>
    </cfRule>
    <cfRule type="cellIs" dxfId="2140" priority="10" operator="greaterThan">
      <formula>0.3</formula>
    </cfRule>
  </conditionalFormatting>
  <conditionalFormatting sqref="I159">
    <cfRule type="cellIs" dxfId="2139" priority="7" operator="lessThan">
      <formula>0.3</formula>
    </cfRule>
    <cfRule type="cellIs" dxfId="2138" priority="8" operator="greaterThan">
      <formula>0.3</formula>
    </cfRule>
  </conditionalFormatting>
  <conditionalFormatting sqref="I185">
    <cfRule type="cellIs" dxfId="2137" priority="5" operator="lessThan">
      <formula>0.3</formula>
    </cfRule>
    <cfRule type="cellIs" dxfId="2136" priority="6" operator="greaterThan">
      <formula>0.3</formula>
    </cfRule>
  </conditionalFormatting>
  <conditionalFormatting sqref="I202">
    <cfRule type="cellIs" dxfId="2135" priority="3" operator="lessThan">
      <formula>0.3</formula>
    </cfRule>
    <cfRule type="cellIs" dxfId="2134" priority="4" operator="greaterThan">
      <formula>0.3</formula>
    </cfRule>
  </conditionalFormatting>
  <conditionalFormatting sqref="I214">
    <cfRule type="cellIs" dxfId="2133" priority="1" operator="lessThan">
      <formula>0.3</formula>
    </cfRule>
    <cfRule type="cellIs" dxfId="2132" priority="2" operator="greaterThan">
      <formula>0.3</formula>
    </cfRule>
  </conditionalFormatting>
  <pageMargins left="0.7" right="0.7" top="0.75" bottom="0.75" header="0.3" footer="0.3"/>
  <drawing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4C77-C80B-4682-9CB1-73D58E5508EB}">
  <dimension ref="B6:K41"/>
  <sheetViews>
    <sheetView showGridLines="0" topLeftCell="A16" zoomScale="99" zoomScaleNormal="99" workbookViewId="0">
      <selection activeCell="F41" sqref="F41"/>
    </sheetView>
  </sheetViews>
  <sheetFormatPr baseColWidth="10" defaultColWidth="10.88671875" defaultRowHeight="13.2" x14ac:dyDescent="0.25"/>
  <cols>
    <col min="1" max="1" width="4" style="40" customWidth="1"/>
    <col min="2" max="2" width="32.33203125" style="40" bestFit="1" customWidth="1"/>
    <col min="3" max="3" width="10.33203125" style="40" bestFit="1" customWidth="1"/>
    <col min="4" max="4" width="8.5546875" style="40" customWidth="1"/>
    <col min="5" max="5" width="9.44140625" style="40" customWidth="1"/>
    <col min="6" max="6" width="16.6640625" style="40" bestFit="1" customWidth="1"/>
    <col min="7" max="7" width="7.5546875" style="40" customWidth="1"/>
    <col min="8" max="8" width="12.6640625" style="40" customWidth="1"/>
    <col min="9" max="9" width="10.88671875" style="40"/>
    <col min="10" max="10" width="27.44140625" style="40" bestFit="1" customWidth="1"/>
    <col min="11" max="16384" width="10.88671875" style="40"/>
  </cols>
  <sheetData>
    <row r="6" spans="2:11" x14ac:dyDescent="0.25">
      <c r="B6" s="1" t="s">
        <v>530</v>
      </c>
      <c r="C6" s="2"/>
      <c r="D6" s="2"/>
      <c r="E6" s="3"/>
      <c r="F6" s="3"/>
      <c r="G6" s="3"/>
      <c r="H6" s="3"/>
      <c r="I6" s="4"/>
      <c r="J6" s="399" t="s">
        <v>0</v>
      </c>
      <c r="K6" s="399"/>
    </row>
    <row r="7" spans="2:11" x14ac:dyDescent="0.25">
      <c r="B7" s="5" t="s">
        <v>1</v>
      </c>
      <c r="C7" s="6" t="s">
        <v>2</v>
      </c>
      <c r="D7" s="6" t="s">
        <v>3</v>
      </c>
      <c r="E7" s="6" t="s">
        <v>920</v>
      </c>
      <c r="F7" s="6" t="s">
        <v>319</v>
      </c>
      <c r="G7" s="7" t="s">
        <v>4</v>
      </c>
      <c r="H7" s="7" t="s">
        <v>5</v>
      </c>
      <c r="I7" s="4"/>
      <c r="J7" s="8" t="s">
        <v>6</v>
      </c>
      <c r="K7" s="9">
        <f>SUM(Tabla11034534544554564793638486171808998111120130139162163164[Total costo])</f>
        <v>419.40274875</v>
      </c>
    </row>
    <row r="8" spans="2:11" x14ac:dyDescent="0.25">
      <c r="B8" s="10" t="s">
        <v>923</v>
      </c>
      <c r="C8" s="11" t="s">
        <v>67</v>
      </c>
      <c r="D8" s="12">
        <v>6</v>
      </c>
      <c r="E8" s="12">
        <v>40</v>
      </c>
      <c r="F8" s="12">
        <v>10</v>
      </c>
      <c r="G8" s="13">
        <f>+VLOOKUP(Tabla11034534544554564793638486171808998111120130139162163164[[#This Row],[Ingrediente]],Tabla34[#All],3,0)</f>
        <v>25</v>
      </c>
      <c r="H8" s="14">
        <f>+Tabla11034534544554564793638486171808998111120130139162163164[[#This Row],[Costo]]*Tabla11034534544554564793638486171808998111120130139162163164[[#This Row],[Columna2]]</f>
        <v>250</v>
      </c>
      <c r="I8" s="4"/>
      <c r="J8" s="8" t="s">
        <v>12</v>
      </c>
      <c r="K8" s="15">
        <f>+K7*10%</f>
        <v>41.940274875</v>
      </c>
    </row>
    <row r="9" spans="2:11" x14ac:dyDescent="0.25">
      <c r="B9" s="10" t="s">
        <v>38</v>
      </c>
      <c r="C9" s="11" t="s">
        <v>67</v>
      </c>
      <c r="D9" s="12">
        <v>100</v>
      </c>
      <c r="E9" s="12">
        <v>0</v>
      </c>
      <c r="F9" s="12">
        <v>100</v>
      </c>
      <c r="G9" s="13"/>
      <c r="H9" s="14">
        <f>+Tabla11034534544554564793638486171808998111120130139162163164[[#This Row],[Costo]]*Tabla11034534544554564793638486171808998111120130139162163164[[#This Row],[Columna2]]</f>
        <v>0</v>
      </c>
      <c r="I9" s="4"/>
      <c r="J9" s="8" t="s">
        <v>13</v>
      </c>
      <c r="K9" s="15">
        <f>+K7+K8</f>
        <v>461.343023625</v>
      </c>
    </row>
    <row r="10" spans="2:11" x14ac:dyDescent="0.25">
      <c r="B10" s="10" t="s">
        <v>168</v>
      </c>
      <c r="C10" s="11" t="s">
        <v>67</v>
      </c>
      <c r="D10" s="12">
        <v>10</v>
      </c>
      <c r="E10" s="12">
        <v>0</v>
      </c>
      <c r="F10" s="12">
        <v>10</v>
      </c>
      <c r="G10" s="13">
        <f>+VLOOKUP(Tabla11034534544554564793638486171808998111120130139162163164[[#This Row],[Ingrediente]],Tabla34[#All],3,0)</f>
        <v>10.86600002</v>
      </c>
      <c r="H10" s="14">
        <f>+Tabla11034534544554564793638486171808998111120130139162163164[[#This Row],[Costo]]*Tabla11034534544554564793638486171808998111120130139162163164[[#This Row],[Columna2]]</f>
        <v>108.6600002</v>
      </c>
      <c r="I10" s="4"/>
      <c r="J10" s="20" t="s">
        <v>14</v>
      </c>
      <c r="K10" s="21">
        <v>13500</v>
      </c>
    </row>
    <row r="11" spans="2:11" x14ac:dyDescent="0.25">
      <c r="B11" s="10" t="s">
        <v>580</v>
      </c>
      <c r="C11" s="11" t="s">
        <v>67</v>
      </c>
      <c r="D11" s="12">
        <v>15</v>
      </c>
      <c r="E11" s="12">
        <v>0</v>
      </c>
      <c r="F11" s="12">
        <v>15</v>
      </c>
      <c r="G11" s="13">
        <f>+VLOOKUP(Tabla11034534544554564793638486171808998111120130139162163164[[#This Row],[Ingrediente]],Tabla34[#All],3,0)</f>
        <v>4.0495165699999998</v>
      </c>
      <c r="H11" s="14">
        <f>+Tabla11034534544554564793638486171808998111120130139162163164[[#This Row],[Costo]]*Tabla11034534544554564793638486171808998111120130139162163164[[#This Row],[Columna2]]</f>
        <v>60.742748549999995</v>
      </c>
      <c r="I11" s="4"/>
      <c r="J11" s="8" t="s">
        <v>15</v>
      </c>
      <c r="K11" s="15">
        <f>+K10/1.08*0.08</f>
        <v>1000</v>
      </c>
    </row>
    <row r="12" spans="2:11" x14ac:dyDescent="0.25">
      <c r="B12" s="16"/>
      <c r="C12" s="17"/>
      <c r="D12" s="17"/>
      <c r="E12" s="17"/>
      <c r="F12" s="17"/>
      <c r="G12" s="18"/>
      <c r="H12" s="18">
        <f>SUBTOTAL(109,Tabla11034534544554564793638486171808998111120130139162163164[Total costo])</f>
        <v>419.40274875</v>
      </c>
      <c r="I12" s="4"/>
      <c r="J12" s="8" t="s">
        <v>16</v>
      </c>
      <c r="K12" s="15">
        <f>+K10-K11</f>
        <v>12500</v>
      </c>
    </row>
    <row r="13" spans="2:11" ht="14.4" x14ac:dyDescent="0.3">
      <c r="B13"/>
      <c r="C13"/>
      <c r="D13"/>
      <c r="E13"/>
      <c r="F13"/>
      <c r="G13"/>
      <c r="H13"/>
      <c r="I13" s="4"/>
      <c r="J13" s="8" t="s">
        <v>17</v>
      </c>
      <c r="K13" s="22">
        <f>+K9/K12</f>
        <v>3.6907441890000003E-2</v>
      </c>
    </row>
    <row r="14" spans="2:11" ht="13.8" x14ac:dyDescent="0.25">
      <c r="I14" s="4"/>
      <c r="J14" s="8" t="s">
        <v>18</v>
      </c>
      <c r="K14" s="23">
        <f>+K12-K9</f>
        <v>12038.656976374999</v>
      </c>
    </row>
    <row r="15" spans="2:11" ht="13.8" x14ac:dyDescent="0.25">
      <c r="I15" s="4"/>
      <c r="J15" s="8" t="s">
        <v>19</v>
      </c>
      <c r="K15" s="25">
        <f>+K14/K9</f>
        <v>26.094806597011754</v>
      </c>
    </row>
    <row r="19" spans="2:11" x14ac:dyDescent="0.25">
      <c r="B19" s="1" t="s">
        <v>878</v>
      </c>
      <c r="C19" s="2"/>
      <c r="D19" s="2"/>
      <c r="E19" s="3"/>
      <c r="F19" s="3"/>
      <c r="G19" s="3"/>
      <c r="H19" s="3"/>
      <c r="J19" s="399" t="s">
        <v>0</v>
      </c>
      <c r="K19" s="399"/>
    </row>
    <row r="20" spans="2:11" x14ac:dyDescent="0.25">
      <c r="B20" s="5" t="s">
        <v>1</v>
      </c>
      <c r="C20" s="6" t="s">
        <v>2</v>
      </c>
      <c r="D20" s="6" t="s">
        <v>3</v>
      </c>
      <c r="E20" s="6" t="s">
        <v>920</v>
      </c>
      <c r="F20" s="6" t="s">
        <v>319</v>
      </c>
      <c r="G20" s="7" t="s">
        <v>4</v>
      </c>
      <c r="H20" s="7" t="s">
        <v>5</v>
      </c>
      <c r="J20" s="8" t="s">
        <v>6</v>
      </c>
      <c r="K20" s="9">
        <f>SUM(Tabla11034534544554564793638486171808998111120130139162163[Total costo])</f>
        <v>784.68117675000008</v>
      </c>
    </row>
    <row r="21" spans="2:11" x14ac:dyDescent="0.25">
      <c r="B21" s="10" t="s">
        <v>722</v>
      </c>
      <c r="C21" s="11" t="s">
        <v>67</v>
      </c>
      <c r="D21" s="12">
        <v>3</v>
      </c>
      <c r="E21" s="12">
        <v>0</v>
      </c>
      <c r="F21" s="12">
        <v>3</v>
      </c>
      <c r="G21" s="13">
        <f>+VLOOKUP(Tabla11034534544554564793638486171808998111120130139162163[[#This Row],[Ingrediente]],Tabla34[#All],3,0)</f>
        <v>6.25</v>
      </c>
      <c r="H21" s="14">
        <f>+Tabla11034534544554564793638486171808998111120130139162163[[#This Row],[Costo]]*Tabla11034534544554564793638486171808998111120130139162163[[#This Row],[Columna2]]</f>
        <v>18.75</v>
      </c>
      <c r="I21" s="4"/>
      <c r="J21" s="8" t="s">
        <v>12</v>
      </c>
      <c r="K21" s="15">
        <f>+K20*10%</f>
        <v>78.468117675000016</v>
      </c>
    </row>
    <row r="22" spans="2:11" x14ac:dyDescent="0.25">
      <c r="B22" s="10" t="s">
        <v>799</v>
      </c>
      <c r="C22" s="11" t="s">
        <v>67</v>
      </c>
      <c r="D22" s="12">
        <v>3</v>
      </c>
      <c r="E22" s="12">
        <v>0</v>
      </c>
      <c r="F22" s="12">
        <v>3</v>
      </c>
      <c r="G22" s="13">
        <f>+VLOOKUP(Tabla11034534544554564793638486171808998111120130139162163[[#This Row],[Ingrediente]],Tabla34[#All],3,0)</f>
        <v>12.5</v>
      </c>
      <c r="H22" s="14">
        <f>+Tabla11034534544554564793638486171808998111120130139162163[[#This Row],[Costo]]*Tabla11034534544554564793638486171808998111120130139162163[[#This Row],[Columna2]]</f>
        <v>37.5</v>
      </c>
      <c r="I22" s="4"/>
      <c r="J22" s="8" t="s">
        <v>13</v>
      </c>
      <c r="K22" s="15">
        <f>+K20+K21</f>
        <v>863.14929442500011</v>
      </c>
    </row>
    <row r="23" spans="2:11" x14ac:dyDescent="0.25">
      <c r="B23" s="10" t="s">
        <v>1232</v>
      </c>
      <c r="C23" s="11" t="s">
        <v>67</v>
      </c>
      <c r="D23" s="12">
        <v>10</v>
      </c>
      <c r="E23" s="12">
        <v>0</v>
      </c>
      <c r="F23" s="12">
        <v>10</v>
      </c>
      <c r="G23" s="13">
        <f>+VLOOKUP(Tabla11034534544554564793638486171808998111120130139162163[[#This Row],[Ingrediente]],Tabla34[#All],3,0)</f>
        <v>13</v>
      </c>
      <c r="H23" s="14">
        <f>+Tabla11034534544554564793638486171808998111120130139162163[[#This Row],[Costo]]*Tabla11034534544554564793638486171808998111120130139162163[[#This Row],[Columna2]]</f>
        <v>130</v>
      </c>
      <c r="I23" s="4"/>
      <c r="J23" s="20" t="s">
        <v>14</v>
      </c>
      <c r="K23" s="21">
        <v>13500</v>
      </c>
    </row>
    <row r="24" spans="2:11" x14ac:dyDescent="0.25">
      <c r="B24" s="10" t="s">
        <v>168</v>
      </c>
      <c r="C24" s="11" t="s">
        <v>67</v>
      </c>
      <c r="D24" s="12">
        <v>15</v>
      </c>
      <c r="E24" s="12">
        <v>0</v>
      </c>
      <c r="F24" s="12">
        <v>15</v>
      </c>
      <c r="G24" s="13">
        <f>+VLOOKUP(Tabla11034534544554564793638486171808998111120130139162163[[#This Row],[Ingrediente]],Tabla34[#All],3,0)</f>
        <v>10.86600002</v>
      </c>
      <c r="H24" s="14">
        <f>+Tabla11034534544554564793638486171808998111120130139162163[[#This Row],[Costo]]*Tabla11034534544554564793638486171808998111120130139162163[[#This Row],[Columna2]]</f>
        <v>162.99000029999999</v>
      </c>
      <c r="I24" s="4"/>
      <c r="J24" s="8" t="s">
        <v>15</v>
      </c>
      <c r="K24" s="15">
        <f>+K23/1.08*0.08</f>
        <v>1000</v>
      </c>
    </row>
    <row r="25" spans="2:11" x14ac:dyDescent="0.25">
      <c r="B25" s="10" t="s">
        <v>38</v>
      </c>
      <c r="C25" s="11" t="s">
        <v>67</v>
      </c>
      <c r="D25" s="12">
        <v>150</v>
      </c>
      <c r="E25" s="12">
        <v>0</v>
      </c>
      <c r="F25" s="12">
        <v>150</v>
      </c>
      <c r="G25" s="13"/>
      <c r="H25" s="14">
        <f>+Tabla11034534544554564793638486171808998111120130139162163[[#This Row],[Costo]]*Tabla11034534544554564793638486171808998111120130139162163[[#This Row],[Columna2]]</f>
        <v>0</v>
      </c>
      <c r="I25" s="4"/>
      <c r="J25" s="8" t="s">
        <v>16</v>
      </c>
      <c r="K25" s="15">
        <f>+K23-K24</f>
        <v>12500</v>
      </c>
    </row>
    <row r="26" spans="2:11" ht="13.8" x14ac:dyDescent="0.25">
      <c r="B26" s="10" t="s">
        <v>801</v>
      </c>
      <c r="C26" s="11" t="s">
        <v>67</v>
      </c>
      <c r="D26" s="12">
        <v>5</v>
      </c>
      <c r="E26" s="12">
        <v>0</v>
      </c>
      <c r="F26" s="12">
        <v>5</v>
      </c>
      <c r="G26" s="13">
        <f>+VLOOKUP(Tabla11034534544554564793638486171808998111120130139162163[[#This Row],[Ingrediente]],Tabla34[#All],3,0)</f>
        <v>87.08823529</v>
      </c>
      <c r="H26" s="14">
        <f>+Tabla11034534544554564793638486171808998111120130139162163[[#This Row],[Costo]]*Tabla11034534544554564793638486171808998111120130139162163[[#This Row],[Columna2]]</f>
        <v>435.44117645</v>
      </c>
      <c r="I26" s="4"/>
      <c r="J26" s="8" t="s">
        <v>17</v>
      </c>
      <c r="K26" s="22">
        <f>+K22/K25</f>
        <v>6.9051943554000003E-2</v>
      </c>
    </row>
    <row r="27" spans="2:11" ht="13.8" x14ac:dyDescent="0.25">
      <c r="B27" s="16"/>
      <c r="C27" s="17"/>
      <c r="D27" s="17"/>
      <c r="E27" s="17"/>
      <c r="F27" s="17"/>
      <c r="G27" s="18"/>
      <c r="H27" s="18">
        <f>SUBTOTAL(109,Tabla11034534544554564793638486171808998111120130139162163[Total costo])</f>
        <v>784.68117675000008</v>
      </c>
      <c r="I27" s="4"/>
      <c r="J27" s="8" t="s">
        <v>18</v>
      </c>
      <c r="K27" s="23">
        <f>+K25-K22</f>
        <v>11636.850705575</v>
      </c>
    </row>
    <row r="28" spans="2:11" ht="14.4" x14ac:dyDescent="0.3">
      <c r="B28"/>
      <c r="C28"/>
      <c r="D28"/>
      <c r="E28"/>
      <c r="F28"/>
      <c r="G28"/>
      <c r="H28"/>
      <c r="I28" s="4"/>
      <c r="J28" s="8" t="s">
        <v>19</v>
      </c>
      <c r="K28" s="25">
        <f>+K27/K22</f>
        <v>13.481851610997449</v>
      </c>
    </row>
    <row r="29" spans="2:11" x14ac:dyDescent="0.25">
      <c r="I29" s="4"/>
    </row>
    <row r="30" spans="2:11" x14ac:dyDescent="0.25">
      <c r="I30" s="4"/>
    </row>
    <row r="32" spans="2:11" x14ac:dyDescent="0.25">
      <c r="B32" s="1" t="s">
        <v>1277</v>
      </c>
      <c r="C32" s="2"/>
      <c r="D32" s="2"/>
      <c r="E32" s="3"/>
      <c r="F32" s="3"/>
      <c r="G32" s="3"/>
      <c r="H32" s="3"/>
      <c r="J32" s="399" t="s">
        <v>0</v>
      </c>
      <c r="K32" s="399"/>
    </row>
    <row r="33" spans="2:11" x14ac:dyDescent="0.25">
      <c r="B33" s="5" t="s">
        <v>1</v>
      </c>
      <c r="C33" s="6" t="s">
        <v>2</v>
      </c>
      <c r="D33" s="6" t="s">
        <v>3</v>
      </c>
      <c r="E33" s="6" t="s">
        <v>920</v>
      </c>
      <c r="F33" s="6" t="s">
        <v>319</v>
      </c>
      <c r="G33" s="7" t="s">
        <v>4</v>
      </c>
      <c r="H33" s="7" t="s">
        <v>5</v>
      </c>
      <c r="J33" s="8" t="s">
        <v>6</v>
      </c>
      <c r="K33" s="9">
        <f>SUM(Tabla11034534544554564793638486171808998111120130139162163165[Total costo])</f>
        <v>778.15157049999993</v>
      </c>
    </row>
    <row r="34" spans="2:11" x14ac:dyDescent="0.25">
      <c r="B34" s="10" t="s">
        <v>1275</v>
      </c>
      <c r="C34" s="11" t="s">
        <v>67</v>
      </c>
      <c r="D34" s="12">
        <v>20</v>
      </c>
      <c r="E34" s="12">
        <v>0</v>
      </c>
      <c r="F34" s="12">
        <v>20</v>
      </c>
      <c r="G34" s="13">
        <f>+VLOOKUP(Tabla11034534544554564793638486171808998111120130139162163165[[#This Row],[Ingrediente]],Tabla34[#All],3,0)</f>
        <v>21.91635934</v>
      </c>
      <c r="H34" s="14">
        <f>+Tabla11034534544554564793638486171808998111120130139162163165[[#This Row],[Costo]]*Tabla11034534544554564793638486171808998111120130139162163165[[#This Row],[Columna2]]</f>
        <v>438.32718679999999</v>
      </c>
      <c r="I34" s="4"/>
      <c r="J34" s="8" t="s">
        <v>12</v>
      </c>
      <c r="K34" s="15">
        <f>+K33*10%</f>
        <v>77.815157049999996</v>
      </c>
    </row>
    <row r="35" spans="2:11" x14ac:dyDescent="0.25">
      <c r="B35" s="10" t="s">
        <v>168</v>
      </c>
      <c r="C35" s="11" t="s">
        <v>67</v>
      </c>
      <c r="D35" s="12">
        <v>10</v>
      </c>
      <c r="E35" s="12">
        <v>0</v>
      </c>
      <c r="F35" s="12">
        <v>10</v>
      </c>
      <c r="G35" s="13">
        <f>+VLOOKUP(Tabla11034534544554564793638486171808998111120130139162163165[[#This Row],[Ingrediente]],Tabla34[#All],3,0)</f>
        <v>10.86600002</v>
      </c>
      <c r="H35" s="14">
        <f>+Tabla11034534544554564793638486171808998111120130139162163165[[#This Row],[Costo]]*Tabla11034534544554564793638486171808998111120130139162163165[[#This Row],[Columna2]]</f>
        <v>108.6600002</v>
      </c>
      <c r="I35" s="4"/>
      <c r="J35" s="8" t="s">
        <v>13</v>
      </c>
      <c r="K35" s="15">
        <f>+K33+K34</f>
        <v>855.96672754999997</v>
      </c>
    </row>
    <row r="36" spans="2:11" x14ac:dyDescent="0.25">
      <c r="B36" s="10" t="s">
        <v>38</v>
      </c>
      <c r="C36" s="11" t="s">
        <v>67</v>
      </c>
      <c r="D36" s="12">
        <v>150</v>
      </c>
      <c r="E36" s="12">
        <v>0</v>
      </c>
      <c r="F36" s="12">
        <v>150</v>
      </c>
      <c r="G36" s="13">
        <v>0</v>
      </c>
      <c r="H36" s="14">
        <f>+Tabla11034534544554564793638486171808998111120130139162163165[[#This Row],[Costo]]*Tabla11034534544554564793638486171808998111120130139162163165[[#This Row],[Columna2]]</f>
        <v>0</v>
      </c>
      <c r="I36" s="4"/>
      <c r="J36" s="20" t="s">
        <v>14</v>
      </c>
      <c r="K36" s="21"/>
    </row>
    <row r="37" spans="2:11" x14ac:dyDescent="0.25">
      <c r="B37" s="10" t="s">
        <v>887</v>
      </c>
      <c r="C37" s="11" t="s">
        <v>67</v>
      </c>
      <c r="D37" s="12">
        <v>5</v>
      </c>
      <c r="E37" s="12">
        <v>0</v>
      </c>
      <c r="F37" s="12">
        <v>5</v>
      </c>
      <c r="G37" s="13">
        <f>+VLOOKUP(Tabla11034534544554564793638486171808998111120130139162163165[[#This Row],[Ingrediente]],Tabla34[#All],3,0)</f>
        <v>46.232876699999998</v>
      </c>
      <c r="H37" s="14">
        <f>+Tabla11034534544554564793638486171808998111120130139162163165[[#This Row],[Costo]]*Tabla11034534544554564793638486171808998111120130139162163165[[#This Row],[Columna2]]</f>
        <v>231.16438349999999</v>
      </c>
      <c r="I37" s="4"/>
      <c r="J37" s="8" t="s">
        <v>15</v>
      </c>
      <c r="K37" s="15">
        <f>+K36/1.08*0.08</f>
        <v>0</v>
      </c>
    </row>
    <row r="38" spans="2:11" x14ac:dyDescent="0.25">
      <c r="B38" s="16"/>
      <c r="C38" s="17"/>
      <c r="D38" s="17"/>
      <c r="E38" s="17"/>
      <c r="F38" s="17"/>
      <c r="G38" s="18"/>
      <c r="H38" s="18">
        <f>SUBTOTAL(109,Tabla11034534544554564793638486171808998111120130139162163165[Total costo])</f>
        <v>778.15157049999993</v>
      </c>
      <c r="I38" s="4"/>
      <c r="J38" s="8" t="s">
        <v>16</v>
      </c>
      <c r="K38" s="15">
        <f>+K36-K37</f>
        <v>0</v>
      </c>
    </row>
    <row r="39" spans="2:11" ht="14.4" x14ac:dyDescent="0.3">
      <c r="B39"/>
      <c r="C39"/>
      <c r="D39"/>
      <c r="E39"/>
      <c r="F39"/>
      <c r="G39"/>
      <c r="H39"/>
      <c r="I39" s="4"/>
      <c r="J39" s="8" t="s">
        <v>17</v>
      </c>
      <c r="K39" s="22" t="e">
        <f>+K35/K38</f>
        <v>#DIV/0!</v>
      </c>
    </row>
    <row r="40" spans="2:11" ht="13.8" x14ac:dyDescent="0.25">
      <c r="I40" s="4"/>
      <c r="J40" s="8" t="s">
        <v>18</v>
      </c>
      <c r="K40" s="23">
        <f>+K38-K35</f>
        <v>-855.96672754999997</v>
      </c>
    </row>
    <row r="41" spans="2:11" ht="13.8" x14ac:dyDescent="0.25">
      <c r="I41" s="4"/>
      <c r="J41" s="8" t="s">
        <v>19</v>
      </c>
      <c r="K41" s="25">
        <f>+K40/K35</f>
        <v>-1</v>
      </c>
    </row>
  </sheetData>
  <mergeCells count="3">
    <mergeCell ref="J19:K19"/>
    <mergeCell ref="J6:K6"/>
    <mergeCell ref="J32:K32"/>
  </mergeCells>
  <conditionalFormatting sqref="K13">
    <cfRule type="cellIs" dxfId="2131" priority="3" operator="lessThan">
      <formula>0.3</formula>
    </cfRule>
    <cfRule type="cellIs" dxfId="2130" priority="4" operator="greaterThan">
      <formula>0.3</formula>
    </cfRule>
  </conditionalFormatting>
  <conditionalFormatting sqref="K26">
    <cfRule type="cellIs" dxfId="2129" priority="5" operator="lessThan">
      <formula>0.3</formula>
    </cfRule>
    <cfRule type="cellIs" dxfId="2128" priority="6" operator="greaterThan">
      <formula>0.3</formula>
    </cfRule>
  </conditionalFormatting>
  <conditionalFormatting sqref="K39">
    <cfRule type="cellIs" dxfId="2127" priority="1" operator="lessThan">
      <formula>0.3</formula>
    </cfRule>
    <cfRule type="cellIs" dxfId="2126" priority="2" operator="greaterThan">
      <formula>0.3</formula>
    </cfRule>
  </conditionalFormatting>
  <pageMargins left="0.7" right="0.7" top="0.75" bottom="0.75" header="0.3" footer="0.3"/>
  <drawing r:id="rId1"/>
  <tableParts count="3">
    <tablePart r:id="rId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638A-0C7F-44D6-A001-C628DB450177}">
  <dimension ref="B6:I232"/>
  <sheetViews>
    <sheetView showGridLines="0" topLeftCell="A100" zoomScale="80" zoomScaleNormal="80" workbookViewId="0">
      <selection activeCell="K100" sqref="K1:R1048576"/>
    </sheetView>
  </sheetViews>
  <sheetFormatPr baseColWidth="10" defaultColWidth="10.88671875" defaultRowHeight="13.2" x14ac:dyDescent="0.25"/>
  <cols>
    <col min="1" max="1" width="4" style="40" customWidth="1"/>
    <col min="2" max="2" width="29.77734375" style="40" customWidth="1"/>
    <col min="3" max="3" width="8.77734375" style="40" customWidth="1"/>
    <col min="4" max="4" width="8.5546875" style="40" customWidth="1"/>
    <col min="5" max="5" width="10.88671875" style="40"/>
    <col min="6" max="6" width="10.88671875" style="40" customWidth="1"/>
    <col min="7" max="7" width="0.33203125" style="40" customWidth="1"/>
    <col min="8" max="8" width="27.109375" style="40" customWidth="1"/>
    <col min="9" max="9" width="10.88671875" style="40"/>
    <col min="10" max="10" width="0.77734375" style="40" customWidth="1"/>
    <col min="11" max="16384" width="10.88671875" style="40"/>
  </cols>
  <sheetData>
    <row r="6" spans="2:9" x14ac:dyDescent="0.25">
      <c r="B6" s="1" t="s">
        <v>377</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SUM(Tabla110345345445545647945586877869510811712713622823724627233260269297315316321[Total costo])</f>
        <v>170170</v>
      </c>
    </row>
    <row r="8" spans="2:9" x14ac:dyDescent="0.25">
      <c r="B8" s="10" t="s">
        <v>299</v>
      </c>
      <c r="C8" s="11" t="s">
        <v>252</v>
      </c>
      <c r="D8" s="12">
        <v>22</v>
      </c>
      <c r="E8" s="13">
        <f>+VLOOKUP(Tabla110345345445545647945586877869510811712713622823724627233260269297315316321[[#This Row],[Ingrediente]],Tabla34[#All],3,0)</f>
        <v>7735</v>
      </c>
      <c r="F8" s="14">
        <f>+Tabla110345345445545647945586877869510811712713622823724627233260269297315316321[[#This Row],[Costo]]*Tabla110345345445545647945586877869510811712713622823724627233260269297315316321[[#This Row],[Cant.]]</f>
        <v>170170</v>
      </c>
      <c r="G8" s="4"/>
      <c r="H8" s="8" t="s">
        <v>12</v>
      </c>
      <c r="I8" s="15"/>
    </row>
    <row r="9" spans="2:9" x14ac:dyDescent="0.25">
      <c r="B9" s="16"/>
      <c r="C9" s="17"/>
      <c r="D9" s="17"/>
      <c r="E9" s="18"/>
      <c r="F9" s="18">
        <f>SUBTOTAL(109,Tabla110345345445545647945586877869510811712713622823724627233260269297315316321[Total costo])</f>
        <v>170170</v>
      </c>
      <c r="G9" s="4"/>
      <c r="H9" s="8" t="s">
        <v>13</v>
      </c>
      <c r="I9" s="15">
        <f>+I7+I8</f>
        <v>170170</v>
      </c>
    </row>
    <row r="10" spans="2:9" x14ac:dyDescent="0.25">
      <c r="G10" s="4"/>
      <c r="H10" s="20" t="s">
        <v>14</v>
      </c>
      <c r="I10" s="21">
        <v>313000</v>
      </c>
    </row>
    <row r="11" spans="2:9" x14ac:dyDescent="0.25">
      <c r="G11" s="4"/>
      <c r="H11" s="8" t="s">
        <v>15</v>
      </c>
      <c r="I11" s="15">
        <f>+I10/1.08*0.08</f>
        <v>23185.185185185182</v>
      </c>
    </row>
    <row r="12" spans="2:9" x14ac:dyDescent="0.25">
      <c r="G12" s="4"/>
      <c r="H12" s="8" t="s">
        <v>16</v>
      </c>
      <c r="I12" s="15">
        <f>+I10-I11</f>
        <v>289814.81481481483</v>
      </c>
    </row>
    <row r="13" spans="2:9" x14ac:dyDescent="0.25">
      <c r="G13" s="4"/>
      <c r="H13" s="8" t="s">
        <v>17</v>
      </c>
      <c r="I13" s="41">
        <f>+I9/I12</f>
        <v>0.5871680511182108</v>
      </c>
    </row>
    <row r="14" spans="2:9" x14ac:dyDescent="0.25">
      <c r="G14" s="4"/>
      <c r="H14" s="8" t="s">
        <v>18</v>
      </c>
      <c r="I14" s="42">
        <f>+I12-I9</f>
        <v>119644.81481481483</v>
      </c>
    </row>
    <row r="15" spans="2:9" x14ac:dyDescent="0.25">
      <c r="G15" s="4"/>
      <c r="H15" s="8" t="s">
        <v>19</v>
      </c>
      <c r="I15" s="43">
        <f>+I14/I9</f>
        <v>0.70308993838405609</v>
      </c>
    </row>
    <row r="16" spans="2:9" x14ac:dyDescent="0.25">
      <c r="G16" s="4"/>
      <c r="H16" s="4"/>
      <c r="I16" s="44"/>
    </row>
    <row r="17" spans="2:9" x14ac:dyDescent="0.25">
      <c r="B17" s="1" t="s">
        <v>379</v>
      </c>
      <c r="C17" s="2"/>
      <c r="D17" s="2"/>
      <c r="E17" s="3"/>
      <c r="F17" s="3"/>
      <c r="G17" s="4"/>
      <c r="H17" s="399" t="s">
        <v>0</v>
      </c>
      <c r="I17" s="399"/>
    </row>
    <row r="18" spans="2:9" x14ac:dyDescent="0.25">
      <c r="B18" s="5" t="s">
        <v>1</v>
      </c>
      <c r="C18" s="6" t="s">
        <v>2</v>
      </c>
      <c r="D18" s="6" t="s">
        <v>3</v>
      </c>
      <c r="E18" s="7" t="s">
        <v>4</v>
      </c>
      <c r="F18" s="7" t="s">
        <v>5</v>
      </c>
      <c r="G18" s="4"/>
      <c r="H18" s="8" t="s">
        <v>6</v>
      </c>
      <c r="I18" s="9">
        <f>SUM(Tabla110345345445545647945586877869510811712713622823724627233260269297315316321355377[Total costo])</f>
        <v>100385</v>
      </c>
    </row>
    <row r="19" spans="2:9" x14ac:dyDescent="0.25">
      <c r="B19" s="10" t="s">
        <v>184</v>
      </c>
      <c r="C19" s="11" t="s">
        <v>11</v>
      </c>
      <c r="D19" s="12">
        <v>1</v>
      </c>
      <c r="E19" s="13">
        <f>+VLOOKUP(Tabla110345345445545647945586877869510811712713622823724627233260269297315316321355377[[#This Row],[Ingrediente]],Tabla34[#All],3,0)</f>
        <v>100385</v>
      </c>
      <c r="F19" s="14">
        <f>+Tabla110345345445545647945586877869510811712713622823724627233260269297315316321355377[[#This Row],[Costo]]*Tabla110345345445545647945586877869510811712713622823724627233260269297315316321355377[[#This Row],[Cant.]]</f>
        <v>100385</v>
      </c>
      <c r="G19" s="4"/>
      <c r="H19" s="8" t="s">
        <v>12</v>
      </c>
      <c r="I19" s="15"/>
    </row>
    <row r="20" spans="2:9" x14ac:dyDescent="0.25">
      <c r="B20" s="16"/>
      <c r="C20" s="17"/>
      <c r="D20" s="17"/>
      <c r="E20" s="18"/>
      <c r="F20" s="18">
        <f>SUBTOTAL(109,Tabla110345345445545647945586877869510811712713622823724627233260269297315316321355377[Total costo])</f>
        <v>100385</v>
      </c>
      <c r="G20" s="4"/>
      <c r="H20" s="8" t="s">
        <v>13</v>
      </c>
      <c r="I20" s="15">
        <f>+I18+I19</f>
        <v>100385</v>
      </c>
    </row>
    <row r="21" spans="2:9" x14ac:dyDescent="0.25">
      <c r="G21" s="4"/>
      <c r="H21" s="20" t="s">
        <v>14</v>
      </c>
      <c r="I21" s="21">
        <v>180000</v>
      </c>
    </row>
    <row r="22" spans="2:9" x14ac:dyDescent="0.25">
      <c r="G22" s="4"/>
      <c r="H22" s="8" t="s">
        <v>15</v>
      </c>
      <c r="I22" s="15">
        <f>+I21/1.08*0.08</f>
        <v>13333.333333333332</v>
      </c>
    </row>
    <row r="23" spans="2:9" x14ac:dyDescent="0.25">
      <c r="G23" s="4"/>
      <c r="H23" s="8" t="s">
        <v>16</v>
      </c>
      <c r="I23" s="15">
        <f>+I21-I22</f>
        <v>166666.66666666666</v>
      </c>
    </row>
    <row r="24" spans="2:9" x14ac:dyDescent="0.25">
      <c r="G24" s="4"/>
      <c r="H24" s="8" t="s">
        <v>17</v>
      </c>
      <c r="I24" s="41">
        <f>+I20/I23</f>
        <v>0.60231000000000001</v>
      </c>
    </row>
    <row r="25" spans="2:9" x14ac:dyDescent="0.25">
      <c r="G25" s="4"/>
      <c r="H25" s="8" t="s">
        <v>18</v>
      </c>
      <c r="I25" s="42">
        <f>+I23-I20</f>
        <v>66281.666666666657</v>
      </c>
    </row>
    <row r="26" spans="2:9" x14ac:dyDescent="0.25">
      <c r="G26" s="4"/>
      <c r="H26" s="8" t="s">
        <v>19</v>
      </c>
      <c r="I26" s="43">
        <f>+I25/I20</f>
        <v>0.66027460942039806</v>
      </c>
    </row>
    <row r="27" spans="2:9" x14ac:dyDescent="0.25">
      <c r="G27" s="4"/>
      <c r="H27" s="4"/>
      <c r="I27" s="44"/>
    </row>
    <row r="28" spans="2:9" x14ac:dyDescent="0.25">
      <c r="B28" s="1" t="s">
        <v>382</v>
      </c>
      <c r="C28" s="2"/>
      <c r="D28" s="2"/>
      <c r="E28" s="3"/>
      <c r="F28" s="3"/>
      <c r="G28" s="4"/>
      <c r="H28" s="399" t="s">
        <v>0</v>
      </c>
      <c r="I28" s="399"/>
    </row>
    <row r="29" spans="2:9" x14ac:dyDescent="0.25">
      <c r="B29" s="5" t="s">
        <v>1</v>
      </c>
      <c r="C29" s="6" t="s">
        <v>2</v>
      </c>
      <c r="D29" s="6" t="s">
        <v>3</v>
      </c>
      <c r="E29" s="7" t="s">
        <v>4</v>
      </c>
      <c r="F29" s="7" t="s">
        <v>5</v>
      </c>
      <c r="G29" s="4"/>
      <c r="H29" s="8" t="s">
        <v>6</v>
      </c>
      <c r="I29" s="9">
        <f>SUM(Tabla110345345445545647945586877869510811712713622823724627233260269297315316321357380[Total costo])</f>
        <v>357522</v>
      </c>
    </row>
    <row r="30" spans="2:9" x14ac:dyDescent="0.25">
      <c r="B30" s="10" t="s">
        <v>617</v>
      </c>
      <c r="C30" s="11" t="s">
        <v>252</v>
      </c>
      <c r="D30" s="12">
        <v>22</v>
      </c>
      <c r="E30" s="13">
        <f>+VLOOKUP(Tabla110345345445545647945586877869510811712713622823724627233260269297315316321357380[[#This Row],[Ingrediente]],Tabla34[#All],3,0)</f>
        <v>16251</v>
      </c>
      <c r="F30" s="14">
        <f>+Tabla110345345445545647945586877869510811712713622823724627233260269297315316321357380[[#This Row],[Costo]]*Tabla110345345445545647945586877869510811712713622823724627233260269297315316321357380[[#This Row],[Cant.]]</f>
        <v>357522</v>
      </c>
      <c r="G30" s="4"/>
      <c r="H30" s="8" t="s">
        <v>12</v>
      </c>
      <c r="I30" s="15"/>
    </row>
    <row r="31" spans="2:9" x14ac:dyDescent="0.25">
      <c r="B31" s="16"/>
      <c r="C31" s="17"/>
      <c r="D31" s="17"/>
      <c r="E31" s="18"/>
      <c r="F31" s="18">
        <f>SUBTOTAL(109,Tabla110345345445545647945586877869510811712713622823724627233260269297315316321357380[Total costo])</f>
        <v>357522</v>
      </c>
      <c r="G31" s="4"/>
      <c r="H31" s="8" t="s">
        <v>13</v>
      </c>
      <c r="I31" s="15">
        <f>+I29+I30</f>
        <v>357522</v>
      </c>
    </row>
    <row r="32" spans="2:9" x14ac:dyDescent="0.25">
      <c r="G32" s="4"/>
      <c r="H32" s="20" t="s">
        <v>14</v>
      </c>
      <c r="I32" s="21">
        <v>723000</v>
      </c>
    </row>
    <row r="33" spans="2:9" x14ac:dyDescent="0.25">
      <c r="G33" s="4"/>
      <c r="H33" s="8" t="s">
        <v>15</v>
      </c>
      <c r="I33" s="15">
        <f>+I32/1.08*0.08</f>
        <v>53555.555555555555</v>
      </c>
    </row>
    <row r="34" spans="2:9" x14ac:dyDescent="0.25">
      <c r="G34" s="4"/>
      <c r="H34" s="8" t="s">
        <v>16</v>
      </c>
      <c r="I34" s="15">
        <f>+I32-I33</f>
        <v>669444.4444444445</v>
      </c>
    </row>
    <row r="35" spans="2:9" x14ac:dyDescent="0.25">
      <c r="G35" s="4"/>
      <c r="H35" s="8" t="s">
        <v>17</v>
      </c>
      <c r="I35" s="41">
        <f>+I31/I34</f>
        <v>0.53405775933609956</v>
      </c>
    </row>
    <row r="36" spans="2:9" x14ac:dyDescent="0.25">
      <c r="G36" s="4"/>
      <c r="H36" s="8" t="s">
        <v>18</v>
      </c>
      <c r="I36" s="42">
        <f>+I34-I31</f>
        <v>311922.4444444445</v>
      </c>
    </row>
    <row r="37" spans="2:9" x14ac:dyDescent="0.25">
      <c r="G37" s="4"/>
      <c r="H37" s="8" t="s">
        <v>19</v>
      </c>
      <c r="I37" s="43">
        <f>+I36/I31</f>
        <v>0.8724566444706745</v>
      </c>
    </row>
    <row r="39" spans="2:9" x14ac:dyDescent="0.25">
      <c r="G39" s="4"/>
      <c r="H39" s="4"/>
      <c r="I39" s="44"/>
    </row>
    <row r="40" spans="2:9" x14ac:dyDescent="0.25">
      <c r="B40" s="1" t="s">
        <v>380</v>
      </c>
      <c r="C40" s="2"/>
      <c r="D40" s="2"/>
      <c r="E40" s="3"/>
      <c r="F40" s="3"/>
      <c r="G40" s="4"/>
      <c r="H40" s="399" t="s">
        <v>0</v>
      </c>
      <c r="I40" s="399"/>
    </row>
    <row r="41" spans="2:9" x14ac:dyDescent="0.25">
      <c r="B41" s="5" t="s">
        <v>1</v>
      </c>
      <c r="C41" s="6" t="s">
        <v>2</v>
      </c>
      <c r="D41" s="6" t="s">
        <v>3</v>
      </c>
      <c r="E41" s="7" t="s">
        <v>4</v>
      </c>
      <c r="F41" s="7" t="s">
        <v>5</v>
      </c>
      <c r="G41" s="4"/>
      <c r="H41" s="8" t="s">
        <v>6</v>
      </c>
      <c r="I41" s="9">
        <f>SUM(Tabla110345345445545647945586877869510811712713622823724627233260269297315316321355[Total costo])</f>
        <v>171248</v>
      </c>
    </row>
    <row r="42" spans="2:9" x14ac:dyDescent="0.25">
      <c r="B42" s="10" t="s">
        <v>300</v>
      </c>
      <c r="C42" s="11" t="s">
        <v>252</v>
      </c>
      <c r="D42" s="12">
        <v>22</v>
      </c>
      <c r="E42" s="13">
        <f>+VLOOKUP(Tabla110345345445545647945586877869510811712713622823724627233260269297315316321355[[#This Row],[Ingrediente]],Tabla34[#All],3,0)</f>
        <v>7784</v>
      </c>
      <c r="F42" s="14">
        <f>+Tabla110345345445545647945586877869510811712713622823724627233260269297315316321355[[#This Row],[Costo]]*Tabla110345345445545647945586877869510811712713622823724627233260269297315316321355[[#This Row],[Cant.]]</f>
        <v>171248</v>
      </c>
      <c r="G42" s="4"/>
      <c r="H42" s="8" t="s">
        <v>12</v>
      </c>
      <c r="I42" s="15"/>
    </row>
    <row r="43" spans="2:9" x14ac:dyDescent="0.25">
      <c r="B43" s="16"/>
      <c r="C43" s="17"/>
      <c r="D43" s="17"/>
      <c r="E43" s="18"/>
      <c r="F43" s="18">
        <f>SUBTOTAL(109,Tabla110345345445545647945586877869510811712713622823724627233260269297315316321355[Total costo])</f>
        <v>171248</v>
      </c>
      <c r="G43" s="4"/>
      <c r="H43" s="8" t="s">
        <v>13</v>
      </c>
      <c r="I43" s="15">
        <f>+I41+I42</f>
        <v>171248</v>
      </c>
    </row>
    <row r="44" spans="2:9" x14ac:dyDescent="0.25">
      <c r="G44" s="4"/>
      <c r="H44" s="20" t="s">
        <v>14</v>
      </c>
      <c r="I44" s="21">
        <v>369000</v>
      </c>
    </row>
    <row r="45" spans="2:9" x14ac:dyDescent="0.25">
      <c r="G45" s="4"/>
      <c r="H45" s="8" t="s">
        <v>15</v>
      </c>
      <c r="I45" s="15">
        <f>+I44/1.08*0.08</f>
        <v>27333.333333333332</v>
      </c>
    </row>
    <row r="46" spans="2:9" x14ac:dyDescent="0.25">
      <c r="G46" s="4"/>
      <c r="H46" s="8" t="s">
        <v>16</v>
      </c>
      <c r="I46" s="15">
        <f>+I44-I45</f>
        <v>341666.66666666669</v>
      </c>
    </row>
    <row r="47" spans="2:9" x14ac:dyDescent="0.25">
      <c r="G47" s="4"/>
      <c r="H47" s="8" t="s">
        <v>17</v>
      </c>
      <c r="I47" s="41">
        <f>+I43/I46</f>
        <v>0.50121365853658528</v>
      </c>
    </row>
    <row r="48" spans="2:9" x14ac:dyDescent="0.25">
      <c r="G48" s="4"/>
      <c r="H48" s="8" t="s">
        <v>18</v>
      </c>
      <c r="I48" s="42">
        <f>+I46-I43</f>
        <v>170418.66666666669</v>
      </c>
    </row>
    <row r="49" spans="2:9" x14ac:dyDescent="0.25">
      <c r="G49" s="4"/>
      <c r="H49" s="8" t="s">
        <v>19</v>
      </c>
      <c r="I49" s="43">
        <f>+I48/I43</f>
        <v>0.99515712105640175</v>
      </c>
    </row>
    <row r="52" spans="2:9" x14ac:dyDescent="0.25">
      <c r="B52" s="1"/>
      <c r="C52" s="2"/>
      <c r="D52" s="2"/>
      <c r="E52" s="3"/>
      <c r="F52" s="3"/>
      <c r="G52" s="4"/>
      <c r="H52" s="399" t="s">
        <v>0</v>
      </c>
      <c r="I52" s="399"/>
    </row>
    <row r="53" spans="2:9" x14ac:dyDescent="0.25">
      <c r="B53" s="5" t="s">
        <v>1</v>
      </c>
      <c r="C53" s="6" t="s">
        <v>2</v>
      </c>
      <c r="D53" s="6" t="s">
        <v>3</v>
      </c>
      <c r="E53" s="7" t="s">
        <v>4</v>
      </c>
      <c r="F53" s="7" t="s">
        <v>5</v>
      </c>
      <c r="G53" s="4"/>
      <c r="H53" s="8" t="s">
        <v>6</v>
      </c>
      <c r="I53" s="9" t="e">
        <f>SUM(Tabla110345345445545647945586877869510811712713622823724627233260269297315316321357[Total costo])</f>
        <v>#N/A</v>
      </c>
    </row>
    <row r="54" spans="2:9" x14ac:dyDescent="0.25">
      <c r="B54" s="10"/>
      <c r="C54" s="11" t="s">
        <v>252</v>
      </c>
      <c r="D54" s="12">
        <v>16</v>
      </c>
      <c r="E54" s="13" t="e">
        <f>+VLOOKUP(Tabla110345345445545647945586877869510811712713622823724627233260269297315316321357[[#This Row],[Ingrediente]],Tabla34[#All],6,0)</f>
        <v>#N/A</v>
      </c>
      <c r="F54" s="14" t="e">
        <f>+Tabla110345345445545647945586877869510811712713622823724627233260269297315316321357[[#This Row],[Costo]]*Tabla110345345445545647945586877869510811712713622823724627233260269297315316321357[[#This Row],[Cant.]]</f>
        <v>#N/A</v>
      </c>
      <c r="G54" s="4"/>
      <c r="H54" s="8" t="s">
        <v>12</v>
      </c>
      <c r="I54" s="15"/>
    </row>
    <row r="55" spans="2:9" x14ac:dyDescent="0.25">
      <c r="B55" s="16"/>
      <c r="C55" s="17"/>
      <c r="D55" s="17"/>
      <c r="E55" s="18"/>
      <c r="F55" s="18" t="e">
        <f>SUBTOTAL(109,Tabla110345345445545647945586877869510811712713622823724627233260269297315316321357[Total costo])</f>
        <v>#N/A</v>
      </c>
      <c r="G55" s="4"/>
      <c r="H55" s="8" t="s">
        <v>13</v>
      </c>
      <c r="I55" s="15" t="e">
        <f>+I53+I54</f>
        <v>#N/A</v>
      </c>
    </row>
    <row r="56" spans="2:9" x14ac:dyDescent="0.25">
      <c r="G56" s="4"/>
      <c r="H56" s="20" t="s">
        <v>14</v>
      </c>
      <c r="I56" s="21">
        <v>282000</v>
      </c>
    </row>
    <row r="57" spans="2:9" x14ac:dyDescent="0.25">
      <c r="G57" s="4"/>
      <c r="H57" s="8" t="s">
        <v>15</v>
      </c>
      <c r="I57" s="15">
        <f>+I56/1.08*0.08</f>
        <v>20888.888888888887</v>
      </c>
    </row>
    <row r="58" spans="2:9" x14ac:dyDescent="0.25">
      <c r="G58" s="4"/>
      <c r="H58" s="8" t="s">
        <v>16</v>
      </c>
      <c r="I58" s="15">
        <f>+I56-I57</f>
        <v>261111.11111111112</v>
      </c>
    </row>
    <row r="59" spans="2:9" x14ac:dyDescent="0.25">
      <c r="G59" s="4"/>
      <c r="H59" s="8" t="s">
        <v>17</v>
      </c>
      <c r="I59" s="41" t="e">
        <f>+I55/I58</f>
        <v>#N/A</v>
      </c>
    </row>
    <row r="60" spans="2:9" x14ac:dyDescent="0.25">
      <c r="G60" s="4"/>
      <c r="H60" s="8" t="s">
        <v>18</v>
      </c>
      <c r="I60" s="42" t="e">
        <f>+I58-I55</f>
        <v>#N/A</v>
      </c>
    </row>
    <row r="61" spans="2:9" x14ac:dyDescent="0.25">
      <c r="G61" s="4"/>
      <c r="H61" s="8" t="s">
        <v>19</v>
      </c>
      <c r="I61" s="43" t="e">
        <f>+I60/I55</f>
        <v>#N/A</v>
      </c>
    </row>
    <row r="64" spans="2:9" x14ac:dyDescent="0.25">
      <c r="B64" s="1" t="s">
        <v>385</v>
      </c>
      <c r="C64" s="2"/>
      <c r="D64" s="2"/>
      <c r="E64" s="3"/>
      <c r="F64" s="3"/>
      <c r="G64" s="4"/>
      <c r="H64" s="399" t="s">
        <v>0</v>
      </c>
      <c r="I64" s="399"/>
    </row>
    <row r="65" spans="2:9" x14ac:dyDescent="0.25">
      <c r="B65" s="5" t="s">
        <v>1</v>
      </c>
      <c r="C65" s="6" t="s">
        <v>2</v>
      </c>
      <c r="D65" s="6" t="s">
        <v>3</v>
      </c>
      <c r="E65" s="7" t="s">
        <v>4</v>
      </c>
      <c r="F65" s="7" t="s">
        <v>5</v>
      </c>
      <c r="G65" s="4"/>
      <c r="H65" s="8" t="s">
        <v>6</v>
      </c>
      <c r="I65" s="9">
        <f>SUM(Tabla110345345445545647945586877869510811712713622823724627233260269297315316321361[Total costo])</f>
        <v>134953.99999994002</v>
      </c>
    </row>
    <row r="66" spans="2:9" x14ac:dyDescent="0.25">
      <c r="B66" s="10" t="s">
        <v>668</v>
      </c>
      <c r="C66" s="11" t="s">
        <v>252</v>
      </c>
      <c r="D66" s="12">
        <v>22</v>
      </c>
      <c r="E66" s="13">
        <f>+VLOOKUP(Tabla110345345445545647945586877869510811712713622823724627233260269297315316321361[[#This Row],[Ingrediente]],Tabla34[#All],3,0)</f>
        <v>6134.2727272700004</v>
      </c>
      <c r="F66" s="14">
        <f>+Tabla110345345445545647945586877869510811712713622823724627233260269297315316321361[[#This Row],[Costo]]*Tabla110345345445545647945586877869510811712713622823724627233260269297315316321361[[#This Row],[Cant.]]</f>
        <v>134953.99999994002</v>
      </c>
      <c r="G66" s="4"/>
      <c r="H66" s="8" t="s">
        <v>12</v>
      </c>
      <c r="I66" s="15"/>
    </row>
    <row r="67" spans="2:9" x14ac:dyDescent="0.25">
      <c r="B67" s="16"/>
      <c r="C67" s="17"/>
      <c r="D67" s="17"/>
      <c r="E67" s="18"/>
      <c r="F67" s="18">
        <f>SUBTOTAL(109,Tabla110345345445545647945586877869510811712713622823724627233260269297315316321361[Total costo])</f>
        <v>134953.99999994002</v>
      </c>
      <c r="G67" s="4"/>
      <c r="H67" s="8" t="s">
        <v>13</v>
      </c>
      <c r="I67" s="15">
        <f>+I65+I66</f>
        <v>134953.99999994002</v>
      </c>
    </row>
    <row r="68" spans="2:9" x14ac:dyDescent="0.25">
      <c r="G68" s="4"/>
      <c r="H68" s="20" t="s">
        <v>14</v>
      </c>
      <c r="I68" s="21">
        <v>330000</v>
      </c>
    </row>
    <row r="69" spans="2:9" x14ac:dyDescent="0.25">
      <c r="G69" s="4"/>
      <c r="H69" s="8" t="s">
        <v>15</v>
      </c>
      <c r="I69" s="15">
        <f>+I68/1.08*0.08</f>
        <v>24444.444444444445</v>
      </c>
    </row>
    <row r="70" spans="2:9" x14ac:dyDescent="0.25">
      <c r="G70" s="4"/>
      <c r="H70" s="8" t="s">
        <v>16</v>
      </c>
      <c r="I70" s="15">
        <f>+I68-I69</f>
        <v>305555.55555555556</v>
      </c>
    </row>
    <row r="71" spans="2:9" x14ac:dyDescent="0.25">
      <c r="G71" s="4"/>
      <c r="H71" s="8" t="s">
        <v>17</v>
      </c>
      <c r="I71" s="41">
        <f>+I67/I70</f>
        <v>0.44166763636344003</v>
      </c>
    </row>
    <row r="72" spans="2:9" x14ac:dyDescent="0.25">
      <c r="G72" s="4"/>
      <c r="H72" s="8" t="s">
        <v>18</v>
      </c>
      <c r="I72" s="42">
        <f>+I70-I67</f>
        <v>170601.55555561555</v>
      </c>
    </row>
    <row r="73" spans="2:9" x14ac:dyDescent="0.25">
      <c r="G73" s="4"/>
      <c r="H73" s="8" t="s">
        <v>19</v>
      </c>
      <c r="I73" s="43">
        <f>+I72/I67</f>
        <v>1.2641459723734856</v>
      </c>
    </row>
    <row r="78" spans="2:9" x14ac:dyDescent="0.25">
      <c r="B78" s="1" t="s">
        <v>387</v>
      </c>
      <c r="C78" s="2"/>
      <c r="D78" s="2"/>
      <c r="E78" s="3"/>
      <c r="F78" s="3"/>
      <c r="G78" s="4"/>
      <c r="H78" s="399" t="s">
        <v>0</v>
      </c>
      <c r="I78" s="399"/>
    </row>
    <row r="79" spans="2:9" x14ac:dyDescent="0.25">
      <c r="B79" s="5" t="s">
        <v>1</v>
      </c>
      <c r="C79" s="6" t="s">
        <v>2</v>
      </c>
      <c r="D79" s="6" t="s">
        <v>3</v>
      </c>
      <c r="E79" s="7" t="s">
        <v>4</v>
      </c>
      <c r="F79" s="7" t="s">
        <v>5</v>
      </c>
      <c r="G79" s="4"/>
      <c r="H79" s="8" t="s">
        <v>6</v>
      </c>
      <c r="I79" s="9">
        <f>SUM(Tabla110345345445545647945586877869510811712713622823724627233260269297315316321365[Total costo])</f>
        <v>149893.99999991999</v>
      </c>
    </row>
    <row r="80" spans="2:9" x14ac:dyDescent="0.25">
      <c r="B80" s="10" t="s">
        <v>185</v>
      </c>
      <c r="C80" s="11" t="s">
        <v>252</v>
      </c>
      <c r="D80" s="12">
        <v>24</v>
      </c>
      <c r="E80" s="13">
        <f>+VLOOKUP(Tabla110345345445545647945586877869510811712713622823724627233260269297315316321365[[#This Row],[Ingrediente]],Tabla34[#All],3,0)</f>
        <v>6245.5833333299997</v>
      </c>
      <c r="F80" s="14">
        <f>+Tabla110345345445545647945586877869510811712713622823724627233260269297315316321365[[#This Row],[Costo]]*Tabla110345345445545647945586877869510811712713622823724627233260269297315316321365[[#This Row],[Cant.]]</f>
        <v>149893.99999991999</v>
      </c>
      <c r="G80" s="4"/>
      <c r="H80" s="8" t="s">
        <v>12</v>
      </c>
      <c r="I80" s="15"/>
    </row>
    <row r="81" spans="2:9" x14ac:dyDescent="0.25">
      <c r="B81" s="16"/>
      <c r="C81" s="17"/>
      <c r="D81" s="17"/>
      <c r="E81" s="18"/>
      <c r="F81" s="18">
        <f>SUBTOTAL(109,Tabla110345345445545647945586877869510811712713622823724627233260269297315316321365[Total costo])</f>
        <v>149893.99999991999</v>
      </c>
      <c r="G81" s="4"/>
      <c r="H81" s="8" t="s">
        <v>13</v>
      </c>
      <c r="I81" s="15">
        <f>+I79+I80</f>
        <v>149893.99999991999</v>
      </c>
    </row>
    <row r="82" spans="2:9" x14ac:dyDescent="0.25">
      <c r="G82" s="4"/>
      <c r="H82" s="20" t="s">
        <v>14</v>
      </c>
      <c r="I82" s="21">
        <v>327000</v>
      </c>
    </row>
    <row r="83" spans="2:9" x14ac:dyDescent="0.25">
      <c r="G83" s="4"/>
      <c r="H83" s="8" t="s">
        <v>15</v>
      </c>
      <c r="I83" s="15">
        <f>+I82/1.08*0.08</f>
        <v>24222.222222222219</v>
      </c>
    </row>
    <row r="84" spans="2:9" x14ac:dyDescent="0.25">
      <c r="G84" s="4"/>
      <c r="H84" s="8" t="s">
        <v>16</v>
      </c>
      <c r="I84" s="15">
        <f>+I82-I83</f>
        <v>302777.77777777775</v>
      </c>
    </row>
    <row r="85" spans="2:9" x14ac:dyDescent="0.25">
      <c r="G85" s="4"/>
      <c r="H85" s="8" t="s">
        <v>17</v>
      </c>
      <c r="I85" s="41">
        <f>+I81/I84</f>
        <v>0.49506275229331376</v>
      </c>
    </row>
    <row r="86" spans="2:9" x14ac:dyDescent="0.25">
      <c r="G86" s="4"/>
      <c r="H86" s="8" t="s">
        <v>18</v>
      </c>
      <c r="I86" s="42">
        <f>+I84-I81</f>
        <v>152883.77777785776</v>
      </c>
    </row>
    <row r="87" spans="2:9" x14ac:dyDescent="0.25">
      <c r="G87" s="4"/>
      <c r="H87" s="8" t="s">
        <v>19</v>
      </c>
      <c r="I87" s="43">
        <f>+I86/I81</f>
        <v>1.0199459469888013</v>
      </c>
    </row>
    <row r="93" spans="2:9" x14ac:dyDescent="0.25">
      <c r="B93" s="1" t="s">
        <v>1270</v>
      </c>
      <c r="C93" s="2"/>
      <c r="D93" s="2"/>
      <c r="E93" s="3"/>
      <c r="F93" s="3"/>
      <c r="G93" s="4"/>
      <c r="H93" s="399" t="s">
        <v>0</v>
      </c>
      <c r="I93" s="399"/>
    </row>
    <row r="94" spans="2:9" x14ac:dyDescent="0.25">
      <c r="B94" s="5" t="s">
        <v>1</v>
      </c>
      <c r="C94" s="6" t="s">
        <v>2</v>
      </c>
      <c r="D94" s="6" t="s">
        <v>3</v>
      </c>
      <c r="E94" s="7" t="s">
        <v>4</v>
      </c>
      <c r="F94" s="7" t="s">
        <v>5</v>
      </c>
      <c r="G94" s="4"/>
      <c r="H94" s="8" t="s">
        <v>6</v>
      </c>
      <c r="I94" s="9">
        <f>SUM(Tabla11034534544554564794558687786951081171271362282372462723326026929731531632136515[Total costo])</f>
        <v>133500</v>
      </c>
    </row>
    <row r="95" spans="2:9" x14ac:dyDescent="0.25">
      <c r="B95" s="10" t="s">
        <v>629</v>
      </c>
      <c r="C95" s="11" t="s">
        <v>252</v>
      </c>
      <c r="D95" s="12">
        <v>24</v>
      </c>
      <c r="E95" s="13">
        <f>+VLOOKUP(Tabla11034534544554564794558687786951081171271362282372462723326026929731531632136515[[#This Row],[Ingrediente]],Tabla34[#All],3,0)</f>
        <v>5562.5</v>
      </c>
      <c r="F95" s="14">
        <f>+Tabla11034534544554564794558687786951081171271362282372462723326026929731531632136515[[#This Row],[Costo]]*Tabla11034534544554564794558687786951081171271362282372462723326026929731531632136515[[#This Row],[Cant.]]</f>
        <v>133500</v>
      </c>
      <c r="G95" s="4"/>
      <c r="H95" s="8" t="s">
        <v>12</v>
      </c>
      <c r="I95" s="15"/>
    </row>
    <row r="96" spans="2:9" x14ac:dyDescent="0.25">
      <c r="B96" s="16"/>
      <c r="C96" s="17"/>
      <c r="D96" s="17"/>
      <c r="E96" s="18"/>
      <c r="F96" s="18">
        <f>SUBTOTAL(109,Tabla11034534544554564794558687786951081171271362282372462723326026929731531632136515[Total costo])</f>
        <v>133500</v>
      </c>
      <c r="G96" s="4"/>
      <c r="H96" s="8" t="s">
        <v>13</v>
      </c>
      <c r="I96" s="15">
        <f>+I94+I95</f>
        <v>133500</v>
      </c>
    </row>
    <row r="97" spans="2:9" x14ac:dyDescent="0.25">
      <c r="G97" s="4"/>
      <c r="H97" s="20" t="s">
        <v>14</v>
      </c>
      <c r="I97" s="21">
        <v>327000</v>
      </c>
    </row>
    <row r="98" spans="2:9" x14ac:dyDescent="0.25">
      <c r="G98" s="4"/>
      <c r="H98" s="8" t="s">
        <v>15</v>
      </c>
      <c r="I98" s="15">
        <f>+I97/1.08*0.08</f>
        <v>24222.222222222219</v>
      </c>
    </row>
    <row r="99" spans="2:9" x14ac:dyDescent="0.25">
      <c r="G99" s="4"/>
      <c r="H99" s="8" t="s">
        <v>16</v>
      </c>
      <c r="I99" s="15">
        <f>+I97-I98</f>
        <v>302777.77777777775</v>
      </c>
    </row>
    <row r="100" spans="2:9" x14ac:dyDescent="0.25">
      <c r="G100" s="4"/>
      <c r="H100" s="8" t="s">
        <v>17</v>
      </c>
      <c r="I100" s="41">
        <f>+I96/I99</f>
        <v>0.44091743119266058</v>
      </c>
    </row>
    <row r="101" spans="2:9" x14ac:dyDescent="0.25">
      <c r="G101" s="4"/>
      <c r="H101" s="8" t="s">
        <v>18</v>
      </c>
      <c r="I101" s="42">
        <f>+I99-I96</f>
        <v>169277.77777777775</v>
      </c>
    </row>
    <row r="102" spans="2:9" x14ac:dyDescent="0.25">
      <c r="G102" s="4"/>
      <c r="H102" s="8" t="s">
        <v>19</v>
      </c>
      <c r="I102" s="43">
        <f>+I101/I96</f>
        <v>1.2679983354140656</v>
      </c>
    </row>
    <row r="108" spans="2:9" x14ac:dyDescent="0.25">
      <c r="B108" s="1" t="s">
        <v>1271</v>
      </c>
      <c r="C108" s="2"/>
      <c r="D108" s="2"/>
      <c r="E108" s="3"/>
      <c r="F108" s="3"/>
      <c r="G108" s="4"/>
      <c r="H108" s="399" t="s">
        <v>0</v>
      </c>
      <c r="I108" s="399"/>
    </row>
    <row r="109" spans="2:9" x14ac:dyDescent="0.25">
      <c r="B109" s="5" t="s">
        <v>1</v>
      </c>
      <c r="C109" s="6" t="s">
        <v>2</v>
      </c>
      <c r="D109" s="6" t="s">
        <v>3</v>
      </c>
      <c r="E109" s="7" t="s">
        <v>4</v>
      </c>
      <c r="F109" s="7" t="s">
        <v>5</v>
      </c>
      <c r="G109" s="4"/>
      <c r="H109" s="8" t="s">
        <v>6</v>
      </c>
      <c r="I109" s="9">
        <f>SUM(Tabla11034534544554564794558687786951081171271362282372462723326026929731531632136515156[Total costo])</f>
        <v>63856.000000100001</v>
      </c>
    </row>
    <row r="110" spans="2:9" x14ac:dyDescent="0.25">
      <c r="B110" s="10" t="s">
        <v>990</v>
      </c>
      <c r="C110" s="11" t="s">
        <v>252</v>
      </c>
      <c r="D110" s="12">
        <v>22</v>
      </c>
      <c r="E110" s="13">
        <f>+VLOOKUP(Tabla11034534544554564794558687786951081171271362282372462723326026929731531632136515156[[#This Row],[Ingrediente]],Tabla34[#All],3,0)</f>
        <v>2902.5454545500002</v>
      </c>
      <c r="F110" s="14">
        <f>+Tabla11034534544554564794558687786951081171271362282372462723326026929731531632136515156[[#This Row],[Costo]]*Tabla11034534544554564794558687786951081171271362282372462723326026929731531632136515156[[#This Row],[Cant.]]</f>
        <v>63856.000000100001</v>
      </c>
      <c r="G110" s="4"/>
      <c r="H110" s="8" t="s">
        <v>12</v>
      </c>
      <c r="I110" s="15"/>
    </row>
    <row r="111" spans="2:9" x14ac:dyDescent="0.25">
      <c r="B111" s="16"/>
      <c r="C111" s="17"/>
      <c r="D111" s="17"/>
      <c r="E111" s="18"/>
      <c r="F111" s="18">
        <f>SUBTOTAL(109,Tabla11034534544554564794558687786951081171271362282372462723326026929731531632136515156[Total costo])</f>
        <v>63856.000000100001</v>
      </c>
      <c r="G111" s="4"/>
      <c r="H111" s="8" t="s">
        <v>13</v>
      </c>
      <c r="I111" s="15">
        <f>+I109+I110</f>
        <v>63856.000000100001</v>
      </c>
    </row>
    <row r="112" spans="2:9" x14ac:dyDescent="0.25">
      <c r="G112" s="4"/>
      <c r="H112" s="20" t="s">
        <v>14</v>
      </c>
      <c r="I112" s="21">
        <v>327000</v>
      </c>
    </row>
    <row r="113" spans="2:9" x14ac:dyDescent="0.25">
      <c r="G113" s="4"/>
      <c r="H113" s="8" t="s">
        <v>15</v>
      </c>
      <c r="I113" s="15">
        <f>+I112/1.08*0.08</f>
        <v>24222.222222222219</v>
      </c>
    </row>
    <row r="114" spans="2:9" x14ac:dyDescent="0.25">
      <c r="G114" s="4"/>
      <c r="H114" s="8" t="s">
        <v>16</v>
      </c>
      <c r="I114" s="15">
        <f>+I112-I113</f>
        <v>302777.77777777775</v>
      </c>
    </row>
    <row r="115" spans="2:9" x14ac:dyDescent="0.25">
      <c r="G115" s="4"/>
      <c r="H115" s="8" t="s">
        <v>17</v>
      </c>
      <c r="I115" s="41">
        <f>+I111/I114</f>
        <v>0.2109005504590459</v>
      </c>
    </row>
    <row r="116" spans="2:9" x14ac:dyDescent="0.25">
      <c r="G116" s="4"/>
      <c r="H116" s="8" t="s">
        <v>18</v>
      </c>
      <c r="I116" s="42">
        <f>+I114-I111</f>
        <v>238921.77777767775</v>
      </c>
    </row>
    <row r="117" spans="2:9" x14ac:dyDescent="0.25">
      <c r="G117" s="4"/>
      <c r="H117" s="8" t="s">
        <v>19</v>
      </c>
      <c r="I117" s="43">
        <f>+I116/I111</f>
        <v>3.7415713132251249</v>
      </c>
    </row>
    <row r="121" spans="2:9" x14ac:dyDescent="0.25">
      <c r="B121" s="19" t="s">
        <v>378</v>
      </c>
      <c r="C121" s="2"/>
      <c r="D121" s="2"/>
      <c r="E121" s="3"/>
      <c r="F121" s="3"/>
      <c r="G121" s="4"/>
      <c r="H121" s="399" t="s">
        <v>0</v>
      </c>
      <c r="I121" s="399"/>
    </row>
    <row r="122" spans="2:9" x14ac:dyDescent="0.25">
      <c r="B122" s="5" t="s">
        <v>1</v>
      </c>
      <c r="C122" s="6" t="s">
        <v>2</v>
      </c>
      <c r="D122" s="6" t="s">
        <v>3</v>
      </c>
      <c r="E122" s="7" t="s">
        <v>4</v>
      </c>
      <c r="F122" s="7" t="s">
        <v>5</v>
      </c>
      <c r="G122" s="4"/>
      <c r="H122" s="8" t="s">
        <v>6</v>
      </c>
      <c r="I122" s="9">
        <f>SUM(Tabla110345345445545647945586877869510811712713622823724627233260269297315316321354218[Total costo])</f>
        <v>15470</v>
      </c>
    </row>
    <row r="123" spans="2:9" x14ac:dyDescent="0.25">
      <c r="B123" s="10" t="s">
        <v>299</v>
      </c>
      <c r="C123" s="11" t="s">
        <v>252</v>
      </c>
      <c r="D123" s="12">
        <v>2</v>
      </c>
      <c r="E123" s="13">
        <f>+VLOOKUP(Tabla110345345445545647945586877869510811712713622823724627233260269297315316321354218[[#This Row],[Ingrediente]],Tabla34[#All],3,0)</f>
        <v>7735</v>
      </c>
      <c r="F123" s="14">
        <f>+Tabla110345345445545647945586877869510811712713622823724627233260269297315316321354218[[#This Row],[Costo]]*Tabla110345345445545647945586877869510811712713622823724627233260269297315316321354218[[#This Row],[Cant.]]</f>
        <v>15470</v>
      </c>
      <c r="G123" s="4"/>
      <c r="H123" s="8" t="s">
        <v>12</v>
      </c>
      <c r="I123" s="15">
        <f>+I122*10%</f>
        <v>1547</v>
      </c>
    </row>
    <row r="124" spans="2:9" x14ac:dyDescent="0.25">
      <c r="B124" s="16"/>
      <c r="C124" s="17"/>
      <c r="D124" s="17"/>
      <c r="E124" s="18"/>
      <c r="F124" s="18">
        <f>SUBTOTAL(109,Tabla110345345445545647945586877869510811712713622823724627233260269297315316321354218[Total costo])</f>
        <v>15470</v>
      </c>
      <c r="G124" s="4"/>
      <c r="H124" s="8" t="s">
        <v>13</v>
      </c>
      <c r="I124" s="15">
        <f>+I122+I123</f>
        <v>17017</v>
      </c>
    </row>
    <row r="125" spans="2:9" x14ac:dyDescent="0.25">
      <c r="G125" s="4"/>
      <c r="H125" s="20" t="s">
        <v>14</v>
      </c>
      <c r="I125" s="21">
        <v>33000</v>
      </c>
    </row>
    <row r="126" spans="2:9" x14ac:dyDescent="0.25">
      <c r="G126" s="4"/>
      <c r="H126" s="8" t="s">
        <v>15</v>
      </c>
      <c r="I126" s="15">
        <f>+I125/1.08*0.08</f>
        <v>2444.4444444444443</v>
      </c>
    </row>
    <row r="127" spans="2:9" x14ac:dyDescent="0.25">
      <c r="G127" s="4"/>
      <c r="H127" s="8" t="s">
        <v>16</v>
      </c>
      <c r="I127" s="15">
        <f>+I125-I126</f>
        <v>30555.555555555555</v>
      </c>
    </row>
    <row r="128" spans="2:9" x14ac:dyDescent="0.25">
      <c r="G128" s="4"/>
      <c r="H128" s="8" t="s">
        <v>17</v>
      </c>
      <c r="I128" s="41">
        <f>+I124/I127</f>
        <v>0.55691999999999997</v>
      </c>
    </row>
    <row r="129" spans="2:9" x14ac:dyDescent="0.25">
      <c r="G129" s="4"/>
      <c r="H129" s="8" t="s">
        <v>18</v>
      </c>
      <c r="I129" s="42">
        <f>+I127-I124</f>
        <v>13538.555555555555</v>
      </c>
    </row>
    <row r="130" spans="2:9" x14ac:dyDescent="0.25">
      <c r="G130" s="4"/>
      <c r="H130" s="8" t="s">
        <v>19</v>
      </c>
      <c r="I130" s="43">
        <f>+I129/I124</f>
        <v>0.79559003088414848</v>
      </c>
    </row>
    <row r="143" spans="2:9" x14ac:dyDescent="0.25">
      <c r="B143" s="19" t="s">
        <v>383</v>
      </c>
      <c r="C143" s="2"/>
      <c r="D143" s="2"/>
      <c r="E143" s="3"/>
      <c r="F143" s="3"/>
      <c r="G143" s="4"/>
      <c r="H143" s="399" t="s">
        <v>0</v>
      </c>
      <c r="I143" s="399"/>
    </row>
    <row r="144" spans="2:9" x14ac:dyDescent="0.25">
      <c r="B144" s="5" t="s">
        <v>1</v>
      </c>
      <c r="C144" s="6" t="s">
        <v>2</v>
      </c>
      <c r="D144" s="6" t="s">
        <v>3</v>
      </c>
      <c r="E144" s="7" t="s">
        <v>4</v>
      </c>
      <c r="F144" s="7" t="s">
        <v>5</v>
      </c>
      <c r="G144" s="4"/>
      <c r="H144" s="8" t="s">
        <v>6</v>
      </c>
      <c r="I144" s="9">
        <f>SUM(Tabla110345345445545647945586877869510811712713622823724627233260269297315316321354358381223[Total costo])</f>
        <v>32502</v>
      </c>
    </row>
    <row r="145" spans="2:9" x14ac:dyDescent="0.25">
      <c r="B145" s="10" t="s">
        <v>617</v>
      </c>
      <c r="C145" s="11" t="s">
        <v>252</v>
      </c>
      <c r="D145" s="12">
        <v>2</v>
      </c>
      <c r="E145" s="13">
        <f>+VLOOKUP(Tabla110345345445545647945586877869510811712713622823724627233260269297315316321354358381223[[#This Row],[Ingrediente]],Tabla34[#All],3,0)</f>
        <v>16251</v>
      </c>
      <c r="F145" s="14">
        <f>+Tabla110345345445545647945586877869510811712713622823724627233260269297315316321354358381223[[#This Row],[Costo]]*Tabla110345345445545647945586877869510811712713622823724627233260269297315316321354358381223[[#This Row],[Cant.]]</f>
        <v>32502</v>
      </c>
      <c r="G145" s="4"/>
      <c r="H145" s="8" t="s">
        <v>12</v>
      </c>
      <c r="I145" s="15">
        <f>+I144*10%</f>
        <v>3250.2000000000003</v>
      </c>
    </row>
    <row r="146" spans="2:9" x14ac:dyDescent="0.25">
      <c r="B146" s="16"/>
      <c r="C146" s="17"/>
      <c r="D146" s="17"/>
      <c r="E146" s="18"/>
      <c r="F146" s="18">
        <f>SUBTOTAL(109,Tabla110345345445545647945586877869510811712713622823724627233260269297315316321354358381223[Total costo])</f>
        <v>32502</v>
      </c>
      <c r="G146" s="4"/>
      <c r="H146" s="8" t="s">
        <v>13</v>
      </c>
      <c r="I146" s="15">
        <f>+I144+I145</f>
        <v>35752.199999999997</v>
      </c>
    </row>
    <row r="147" spans="2:9" x14ac:dyDescent="0.25">
      <c r="G147" s="4"/>
      <c r="H147" s="20" t="s">
        <v>14</v>
      </c>
      <c r="I147" s="21">
        <v>74000</v>
      </c>
    </row>
    <row r="148" spans="2:9" x14ac:dyDescent="0.25">
      <c r="G148" s="4"/>
      <c r="H148" s="8" t="s">
        <v>15</v>
      </c>
      <c r="I148" s="15">
        <f>+I147/1.08*0.08</f>
        <v>5481.4814814814808</v>
      </c>
    </row>
    <row r="149" spans="2:9" x14ac:dyDescent="0.25">
      <c r="G149" s="4"/>
      <c r="H149" s="8" t="s">
        <v>16</v>
      </c>
      <c r="I149" s="15">
        <f>+I147-I148</f>
        <v>68518.518518518526</v>
      </c>
    </row>
    <row r="150" spans="2:9" x14ac:dyDescent="0.25">
      <c r="G150" s="4"/>
      <c r="H150" s="8" t="s">
        <v>17</v>
      </c>
      <c r="I150" s="41">
        <f>+I146/I149</f>
        <v>0.52178886486486475</v>
      </c>
    </row>
    <row r="151" spans="2:9" x14ac:dyDescent="0.25">
      <c r="G151" s="4"/>
      <c r="H151" s="8" t="s">
        <v>18</v>
      </c>
      <c r="I151" s="42">
        <f>+I149-I146</f>
        <v>32766.318518518528</v>
      </c>
    </row>
    <row r="152" spans="2:9" x14ac:dyDescent="0.25">
      <c r="G152" s="4"/>
      <c r="H152" s="8" t="s">
        <v>19</v>
      </c>
      <c r="I152" s="43">
        <f>+I151/I146</f>
        <v>0.91648397912627844</v>
      </c>
    </row>
    <row r="155" spans="2:9" x14ac:dyDescent="0.25">
      <c r="B155" s="19" t="s">
        <v>381</v>
      </c>
      <c r="C155" s="2"/>
      <c r="D155" s="2"/>
      <c r="E155" s="3"/>
      <c r="F155" s="3"/>
      <c r="G155" s="4"/>
      <c r="H155" s="399" t="s">
        <v>0</v>
      </c>
      <c r="I155" s="399"/>
    </row>
    <row r="156" spans="2:9" x14ac:dyDescent="0.25">
      <c r="B156" s="5" t="s">
        <v>1</v>
      </c>
      <c r="C156" s="6" t="s">
        <v>2</v>
      </c>
      <c r="D156" s="6" t="s">
        <v>3</v>
      </c>
      <c r="E156" s="7" t="s">
        <v>4</v>
      </c>
      <c r="F156" s="7" t="s">
        <v>5</v>
      </c>
      <c r="G156" s="4"/>
      <c r="H156" s="8" t="s">
        <v>6</v>
      </c>
      <c r="I156" s="9">
        <f>SUM(Tabla110345345445545647945586877869510811712713622823724627233260269297315316321354356219[Total costo])</f>
        <v>15568</v>
      </c>
    </row>
    <row r="157" spans="2:9" x14ac:dyDescent="0.25">
      <c r="B157" s="10" t="s">
        <v>300</v>
      </c>
      <c r="C157" s="11" t="s">
        <v>252</v>
      </c>
      <c r="D157" s="12">
        <v>2</v>
      </c>
      <c r="E157" s="13">
        <f>+VLOOKUP(Tabla110345345445545647945586877869510811712713622823724627233260269297315316321354356219[[#This Row],[Ingrediente]],Tabla34[#All],3,0)</f>
        <v>7784</v>
      </c>
      <c r="F157" s="14">
        <f>+Tabla110345345445545647945586877869510811712713622823724627233260269297315316321354356219[[#This Row],[Costo]]*Tabla110345345445545647945586877869510811712713622823724627233260269297315316321354356219[[#This Row],[Cant.]]</f>
        <v>15568</v>
      </c>
      <c r="G157" s="4"/>
      <c r="H157" s="8" t="s">
        <v>12</v>
      </c>
      <c r="I157" s="15">
        <f>+I156*10%</f>
        <v>1556.8000000000002</v>
      </c>
    </row>
    <row r="158" spans="2:9" x14ac:dyDescent="0.25">
      <c r="B158" s="16"/>
      <c r="C158" s="17"/>
      <c r="D158" s="17"/>
      <c r="E158" s="18"/>
      <c r="F158" s="18">
        <f>SUBTOTAL(109,Tabla110345345445545647945586877869510811712713622823724627233260269297315316321354356219[Total costo])</f>
        <v>15568</v>
      </c>
      <c r="G158" s="4"/>
      <c r="H158" s="8" t="s">
        <v>13</v>
      </c>
      <c r="I158" s="15">
        <f>+I156+I157</f>
        <v>17124.8</v>
      </c>
    </row>
    <row r="159" spans="2:9" x14ac:dyDescent="0.25">
      <c r="G159" s="4"/>
      <c r="H159" s="20" t="s">
        <v>14</v>
      </c>
      <c r="I159" s="21">
        <v>38000</v>
      </c>
    </row>
    <row r="160" spans="2:9" x14ac:dyDescent="0.25">
      <c r="G160" s="4"/>
      <c r="H160" s="8" t="s">
        <v>15</v>
      </c>
      <c r="I160" s="15">
        <f>+I159/1.08*0.08</f>
        <v>2814.8148148148148</v>
      </c>
    </row>
    <row r="161" spans="2:9" x14ac:dyDescent="0.25">
      <c r="G161" s="4"/>
      <c r="H161" s="8" t="s">
        <v>16</v>
      </c>
      <c r="I161" s="15">
        <f>+I159-I160</f>
        <v>35185.185185185182</v>
      </c>
    </row>
    <row r="162" spans="2:9" x14ac:dyDescent="0.25">
      <c r="G162" s="4"/>
      <c r="H162" s="8" t="s">
        <v>17</v>
      </c>
      <c r="I162" s="41">
        <f>+I158/I161</f>
        <v>0.48670484210526316</v>
      </c>
    </row>
    <row r="163" spans="2:9" x14ac:dyDescent="0.25">
      <c r="G163" s="4"/>
      <c r="H163" s="8" t="s">
        <v>18</v>
      </c>
      <c r="I163" s="42">
        <f>+I161-I158</f>
        <v>18060.385185185183</v>
      </c>
    </row>
    <row r="164" spans="2:9" x14ac:dyDescent="0.25">
      <c r="G164" s="4"/>
      <c r="H164" s="8" t="s">
        <v>19</v>
      </c>
      <c r="I164" s="43">
        <f>+I163/I158</f>
        <v>1.0546333495973783</v>
      </c>
    </row>
    <row r="167" spans="2:9" x14ac:dyDescent="0.25">
      <c r="B167" s="19" t="s">
        <v>384</v>
      </c>
      <c r="C167" s="2"/>
      <c r="D167" s="2"/>
      <c r="E167" s="3"/>
      <c r="F167" s="3"/>
      <c r="G167" s="4"/>
      <c r="H167" s="399" t="s">
        <v>0</v>
      </c>
      <c r="I167" s="399"/>
    </row>
    <row r="168" spans="2:9" x14ac:dyDescent="0.25">
      <c r="B168" s="5" t="s">
        <v>1</v>
      </c>
      <c r="C168" s="6" t="s">
        <v>2</v>
      </c>
      <c r="D168" s="6" t="s">
        <v>3</v>
      </c>
      <c r="E168" s="7" t="s">
        <v>4</v>
      </c>
      <c r="F168" s="7" t="s">
        <v>5</v>
      </c>
      <c r="G168" s="4"/>
      <c r="H168" s="8" t="s">
        <v>6</v>
      </c>
      <c r="I168" s="9">
        <f>SUM(Tabla110345345445545647945586877869510811712713622823724627233260269297315316321354358220[Total costo])</f>
        <v>11125</v>
      </c>
    </row>
    <row r="169" spans="2:9" x14ac:dyDescent="0.25">
      <c r="B169" s="10" t="s">
        <v>629</v>
      </c>
      <c r="C169" s="11" t="s">
        <v>252</v>
      </c>
      <c r="D169" s="12">
        <v>2</v>
      </c>
      <c r="E169" s="13">
        <f>+VLOOKUP(Tabla110345345445545647945586877869510811712713622823724627233260269297315316321354358220[[#This Row],[Ingrediente]],Tabla34[#All],3,0)</f>
        <v>5562.5</v>
      </c>
      <c r="F169" s="14">
        <f>+Tabla110345345445545647945586877869510811712713622823724627233260269297315316321354358220[[#This Row],[Costo]]*Tabla110345345445545647945586877869510811712713622823724627233260269297315316321354358220[[#This Row],[Cant.]]</f>
        <v>11125</v>
      </c>
      <c r="G169" s="4"/>
      <c r="H169" s="8" t="s">
        <v>12</v>
      </c>
      <c r="I169" s="15">
        <f>+I168*10%</f>
        <v>1112.5</v>
      </c>
    </row>
    <row r="170" spans="2:9" x14ac:dyDescent="0.25">
      <c r="B170" s="16"/>
      <c r="C170" s="17"/>
      <c r="D170" s="17"/>
      <c r="E170" s="18"/>
      <c r="F170" s="18">
        <f>SUBTOTAL(109,Tabla110345345445545647945586877869510811712713622823724627233260269297315316321354358220[Total costo])</f>
        <v>11125</v>
      </c>
      <c r="G170" s="4"/>
      <c r="H170" s="8" t="s">
        <v>13</v>
      </c>
      <c r="I170" s="15">
        <f>+I168+I169</f>
        <v>12237.5</v>
      </c>
    </row>
    <row r="171" spans="2:9" x14ac:dyDescent="0.25">
      <c r="G171" s="4"/>
      <c r="H171" s="20" t="s">
        <v>14</v>
      </c>
      <c r="I171" s="21">
        <v>35000</v>
      </c>
    </row>
    <row r="172" spans="2:9" x14ac:dyDescent="0.25">
      <c r="G172" s="4"/>
      <c r="H172" s="8" t="s">
        <v>15</v>
      </c>
      <c r="I172" s="15">
        <f>+I171/1.08*0.08</f>
        <v>2592.5925925925926</v>
      </c>
    </row>
    <row r="173" spans="2:9" x14ac:dyDescent="0.25">
      <c r="G173" s="4"/>
      <c r="H173" s="8" t="s">
        <v>16</v>
      </c>
      <c r="I173" s="15">
        <f>+I171-I172</f>
        <v>32407.407407407409</v>
      </c>
    </row>
    <row r="174" spans="2:9" x14ac:dyDescent="0.25">
      <c r="G174" s="4"/>
      <c r="H174" s="8" t="s">
        <v>17</v>
      </c>
      <c r="I174" s="41">
        <f>+I170/I173</f>
        <v>0.37761428571428568</v>
      </c>
    </row>
    <row r="175" spans="2:9" x14ac:dyDescent="0.25">
      <c r="G175" s="4"/>
      <c r="H175" s="8" t="s">
        <v>18</v>
      </c>
      <c r="I175" s="42">
        <f>+I173-I170</f>
        <v>20169.907407407409</v>
      </c>
    </row>
    <row r="176" spans="2:9" x14ac:dyDescent="0.25">
      <c r="G176" s="4"/>
      <c r="H176" s="8" t="s">
        <v>19</v>
      </c>
      <c r="I176" s="43">
        <f>+I175/I170</f>
        <v>1.6482048953959068</v>
      </c>
    </row>
    <row r="179" spans="2:9" x14ac:dyDescent="0.25">
      <c r="B179" s="19" t="s">
        <v>386</v>
      </c>
      <c r="C179" s="2"/>
      <c r="D179" s="2"/>
      <c r="E179" s="3"/>
      <c r="F179" s="3"/>
      <c r="G179" s="4"/>
      <c r="H179" s="399" t="s">
        <v>0</v>
      </c>
      <c r="I179" s="399"/>
    </row>
    <row r="180" spans="2:9" x14ac:dyDescent="0.25">
      <c r="B180" s="5" t="s">
        <v>1</v>
      </c>
      <c r="C180" s="6" t="s">
        <v>2</v>
      </c>
      <c r="D180" s="6" t="s">
        <v>3</v>
      </c>
      <c r="E180" s="7" t="s">
        <v>4</v>
      </c>
      <c r="F180" s="7" t="s">
        <v>5</v>
      </c>
      <c r="G180" s="4"/>
      <c r="H180" s="8" t="s">
        <v>6</v>
      </c>
      <c r="I180" s="9">
        <f>SUM(Tabla110345345445545647945586877869510811712713622823724627233260269297315316321354362221[Total costo])</f>
        <v>12268.545454540001</v>
      </c>
    </row>
    <row r="181" spans="2:9" x14ac:dyDescent="0.25">
      <c r="B181" s="10" t="s">
        <v>668</v>
      </c>
      <c r="C181" s="11" t="s">
        <v>252</v>
      </c>
      <c r="D181" s="12">
        <v>2</v>
      </c>
      <c r="E181" s="13">
        <f>+VLOOKUP(Tabla110345345445545647945586877869510811712713622823724627233260269297315316321354362221[[#This Row],[Ingrediente]],Tabla34[#All],3,0)</f>
        <v>6134.2727272700004</v>
      </c>
      <c r="F181" s="14">
        <f>+Tabla110345345445545647945586877869510811712713622823724627233260269297315316321354362221[[#This Row],[Costo]]*Tabla110345345445545647945586877869510811712713622823724627233260269297315316321354362221[[#This Row],[Cant.]]</f>
        <v>12268.545454540001</v>
      </c>
      <c r="G181" s="4"/>
      <c r="H181" s="8" t="s">
        <v>12</v>
      </c>
      <c r="I181" s="15">
        <f>+I180*10%</f>
        <v>1226.8545454540001</v>
      </c>
    </row>
    <row r="182" spans="2:9" x14ac:dyDescent="0.25">
      <c r="B182" s="16"/>
      <c r="C182" s="17"/>
      <c r="D182" s="17"/>
      <c r="E182" s="18"/>
      <c r="F182" s="18">
        <f>SUBTOTAL(109,Tabla110345345445545647945586877869510811712713622823724627233260269297315316321354362221[Total costo])</f>
        <v>12268.545454540001</v>
      </c>
      <c r="G182" s="4"/>
      <c r="H182" s="8" t="s">
        <v>13</v>
      </c>
      <c r="I182" s="15">
        <f>+I180+I181</f>
        <v>13495.399999994001</v>
      </c>
    </row>
    <row r="183" spans="2:9" x14ac:dyDescent="0.25">
      <c r="G183" s="4"/>
      <c r="H183" s="20" t="s">
        <v>14</v>
      </c>
      <c r="I183" s="21">
        <v>30000</v>
      </c>
    </row>
    <row r="184" spans="2:9" x14ac:dyDescent="0.25">
      <c r="G184" s="4"/>
      <c r="H184" s="8" t="s">
        <v>15</v>
      </c>
      <c r="I184" s="15">
        <f>+I183/1.08*0.08</f>
        <v>2222.2222222222222</v>
      </c>
    </row>
    <row r="185" spans="2:9" x14ac:dyDescent="0.25">
      <c r="G185" s="4"/>
      <c r="H185" s="8" t="s">
        <v>16</v>
      </c>
      <c r="I185" s="15">
        <f>+I183-I184</f>
        <v>27777.777777777777</v>
      </c>
    </row>
    <row r="186" spans="2:9" x14ac:dyDescent="0.25">
      <c r="G186" s="4"/>
      <c r="H186" s="8" t="s">
        <v>17</v>
      </c>
      <c r="I186" s="41">
        <f>+I182/I185</f>
        <v>0.48583439999978401</v>
      </c>
    </row>
    <row r="187" spans="2:9" x14ac:dyDescent="0.25">
      <c r="G187" s="4"/>
      <c r="H187" s="8" t="s">
        <v>18</v>
      </c>
      <c r="I187" s="42">
        <f>+I185-I182</f>
        <v>14282.377777783777</v>
      </c>
    </row>
    <row r="188" spans="2:9" x14ac:dyDescent="0.25">
      <c r="G188" s="4"/>
      <c r="H188" s="8" t="s">
        <v>19</v>
      </c>
      <c r="I188" s="43">
        <f>+I187/I182</f>
        <v>1.0583145203395323</v>
      </c>
    </row>
    <row r="193" spans="2:9" x14ac:dyDescent="0.25">
      <c r="B193" s="19" t="s">
        <v>388</v>
      </c>
      <c r="C193" s="2"/>
      <c r="D193" s="2"/>
      <c r="E193" s="3"/>
      <c r="F193" s="3"/>
      <c r="G193" s="4"/>
      <c r="H193" s="399" t="s">
        <v>0</v>
      </c>
      <c r="I193" s="399"/>
    </row>
    <row r="194" spans="2:9" x14ac:dyDescent="0.25">
      <c r="B194" s="5" t="s">
        <v>1</v>
      </c>
      <c r="C194" s="6" t="s">
        <v>2</v>
      </c>
      <c r="D194" s="6" t="s">
        <v>3</v>
      </c>
      <c r="E194" s="7" t="s">
        <v>4</v>
      </c>
      <c r="F194" s="7" t="s">
        <v>5</v>
      </c>
      <c r="G194" s="4"/>
      <c r="H194" s="8" t="s">
        <v>6</v>
      </c>
      <c r="I194" s="9">
        <f>SUM(Tabla110345345445545647945586877869510811712713622823724627233260269297315316321354366222[Total costo])</f>
        <v>12491.166666659999</v>
      </c>
    </row>
    <row r="195" spans="2:9" x14ac:dyDescent="0.25">
      <c r="B195" s="10" t="s">
        <v>185</v>
      </c>
      <c r="C195" s="11" t="s">
        <v>252</v>
      </c>
      <c r="D195" s="12">
        <v>2</v>
      </c>
      <c r="E195" s="13">
        <f>+VLOOKUP(Tabla110345345445545647945586877869510811712713622823724627233260269297315316321354366222[[#This Row],[Ingrediente]],Tabla34[#All],3,0)</f>
        <v>6245.5833333299997</v>
      </c>
      <c r="F195" s="14">
        <f>+Tabla110345345445545647945586877869510811712713622823724627233260269297315316321354366222[[#This Row],[Costo]]*Tabla110345345445545647945586877869510811712713622823724627233260269297315316321354366222[[#This Row],[Cant.]]</f>
        <v>12491.166666659999</v>
      </c>
      <c r="G195" s="4"/>
      <c r="H195" s="8" t="s">
        <v>12</v>
      </c>
      <c r="I195" s="15">
        <f>+I194*10%</f>
        <v>1249.1166666660001</v>
      </c>
    </row>
    <row r="196" spans="2:9" x14ac:dyDescent="0.25">
      <c r="B196" s="16"/>
      <c r="C196" s="17"/>
      <c r="D196" s="17"/>
      <c r="E196" s="18"/>
      <c r="F196" s="18">
        <f>SUBTOTAL(109,Tabla110345345445545647945586877869510811712713622823724627233260269297315316321354366222[Total costo])</f>
        <v>12491.166666659999</v>
      </c>
      <c r="G196" s="4"/>
      <c r="H196" s="8" t="s">
        <v>13</v>
      </c>
      <c r="I196" s="15">
        <f>+I194+I195</f>
        <v>13740.283333325999</v>
      </c>
    </row>
    <row r="197" spans="2:9" x14ac:dyDescent="0.25">
      <c r="G197" s="4"/>
      <c r="H197" s="20" t="s">
        <v>14</v>
      </c>
      <c r="I197" s="21">
        <v>34000</v>
      </c>
    </row>
    <row r="198" spans="2:9" x14ac:dyDescent="0.25">
      <c r="G198" s="4"/>
      <c r="H198" s="8" t="s">
        <v>15</v>
      </c>
      <c r="I198" s="15">
        <f>+I197/1.08*0.08</f>
        <v>2518.5185185185182</v>
      </c>
    </row>
    <row r="199" spans="2:9" x14ac:dyDescent="0.25">
      <c r="G199" s="4"/>
      <c r="H199" s="8" t="s">
        <v>16</v>
      </c>
      <c r="I199" s="15">
        <f>+I197-I198</f>
        <v>31481.481481481482</v>
      </c>
    </row>
    <row r="200" spans="2:9" x14ac:dyDescent="0.25">
      <c r="G200" s="4"/>
      <c r="H200" s="8" t="s">
        <v>17</v>
      </c>
      <c r="I200" s="41">
        <f>+I196/I199</f>
        <v>0.43645605882329641</v>
      </c>
    </row>
    <row r="201" spans="2:9" x14ac:dyDescent="0.25">
      <c r="G201" s="4"/>
      <c r="H201" s="8" t="s">
        <v>18</v>
      </c>
      <c r="I201" s="42">
        <f>+I199-I196</f>
        <v>17741.198148155483</v>
      </c>
    </row>
    <row r="202" spans="2:9" x14ac:dyDescent="0.25">
      <c r="G202" s="4"/>
      <c r="H202" s="8" t="s">
        <v>19</v>
      </c>
      <c r="I202" s="43">
        <f>+I201/I196</f>
        <v>1.2911813910798748</v>
      </c>
    </row>
    <row r="208" spans="2:9" x14ac:dyDescent="0.25">
      <c r="B208" s="1" t="s">
        <v>1108</v>
      </c>
      <c r="C208" s="2"/>
      <c r="D208" s="2"/>
      <c r="E208" s="3"/>
      <c r="F208" s="3"/>
      <c r="G208" s="4"/>
      <c r="H208" s="399" t="s">
        <v>0</v>
      </c>
      <c r="I208" s="399"/>
    </row>
    <row r="209" spans="2:9" x14ac:dyDescent="0.25">
      <c r="B209" s="5" t="s">
        <v>1</v>
      </c>
      <c r="C209" s="6" t="s">
        <v>2</v>
      </c>
      <c r="D209" s="6" t="s">
        <v>3</v>
      </c>
      <c r="E209" s="7" t="s">
        <v>4</v>
      </c>
      <c r="F209" s="7" t="s">
        <v>5</v>
      </c>
      <c r="G209" s="4"/>
      <c r="H209" s="8" t="s">
        <v>6</v>
      </c>
      <c r="I209" s="9">
        <f>SUM(Tabla11034534544554564794558687786951081171271362282372462723326026929731531632136516224[Total costo])</f>
        <v>93956</v>
      </c>
    </row>
    <row r="210" spans="2:9" x14ac:dyDescent="0.25">
      <c r="B210" s="60" t="s">
        <v>937</v>
      </c>
      <c r="C210" s="11" t="s">
        <v>11</v>
      </c>
      <c r="D210" s="12">
        <v>1</v>
      </c>
      <c r="E210" s="13">
        <f>+VLOOKUP(Tabla11034534544554564794558687786951081171271362282372462723326026929731531632136516224[[#This Row],[Ingrediente]],Tabla34[#All],3,0)</f>
        <v>93956</v>
      </c>
      <c r="F210" s="14">
        <f>+Tabla11034534544554564794558687786951081171271362282372462723326026929731531632136516224[[#This Row],[Costo]]*Tabla11034534544554564794558687786951081171271362282372462723326026929731531632136516224[[#This Row],[Cant.]]</f>
        <v>93956</v>
      </c>
      <c r="G210" s="4"/>
      <c r="H210" s="8" t="s">
        <v>12</v>
      </c>
      <c r="I210" s="15"/>
    </row>
    <row r="211" spans="2:9" x14ac:dyDescent="0.25">
      <c r="B211" s="16"/>
      <c r="C211" s="17"/>
      <c r="D211" s="17"/>
      <c r="E211" s="18"/>
      <c r="F211" s="18">
        <f>SUBTOTAL(109,Tabla11034534544554564794558687786951081171271362282372462723326026929731531632136516224[Total costo])</f>
        <v>93956</v>
      </c>
      <c r="G211" s="4"/>
      <c r="H211" s="8" t="s">
        <v>13</v>
      </c>
      <c r="I211" s="15">
        <f>+I209+I210</f>
        <v>93956</v>
      </c>
    </row>
    <row r="212" spans="2:9" x14ac:dyDescent="0.25">
      <c r="G212" s="4"/>
      <c r="H212" s="20" t="s">
        <v>14</v>
      </c>
      <c r="I212" s="21">
        <v>250000</v>
      </c>
    </row>
    <row r="213" spans="2:9" x14ac:dyDescent="0.25">
      <c r="G213" s="4"/>
      <c r="H213" s="8" t="s">
        <v>15</v>
      </c>
      <c r="I213" s="15">
        <f>+I212/1.08*0.08</f>
        <v>18518.518518518518</v>
      </c>
    </row>
    <row r="214" spans="2:9" x14ac:dyDescent="0.25">
      <c r="G214" s="4"/>
      <c r="H214" s="8" t="s">
        <v>16</v>
      </c>
      <c r="I214" s="15">
        <f>+I212-I213</f>
        <v>231481.48148148149</v>
      </c>
    </row>
    <row r="215" spans="2:9" x14ac:dyDescent="0.25">
      <c r="G215" s="4"/>
      <c r="H215" s="8" t="s">
        <v>17</v>
      </c>
      <c r="I215" s="41">
        <f>+I211/I214</f>
        <v>0.40588991999999996</v>
      </c>
    </row>
    <row r="216" spans="2:9" x14ac:dyDescent="0.25">
      <c r="G216" s="4"/>
      <c r="H216" s="8" t="s">
        <v>18</v>
      </c>
      <c r="I216" s="42">
        <f>+I214-I211</f>
        <v>137525.48148148149</v>
      </c>
    </row>
    <row r="217" spans="2:9" x14ac:dyDescent="0.25">
      <c r="G217" s="4"/>
      <c r="H217" s="8" t="s">
        <v>19</v>
      </c>
      <c r="I217" s="43">
        <f>+I216/I211</f>
        <v>1.4637221835910585</v>
      </c>
    </row>
    <row r="223" spans="2:9" x14ac:dyDescent="0.25">
      <c r="B223" s="1" t="s">
        <v>1098</v>
      </c>
      <c r="C223" s="2"/>
      <c r="D223" s="2"/>
      <c r="E223" s="3"/>
      <c r="F223" s="3"/>
      <c r="G223" s="4"/>
      <c r="H223" s="399" t="s">
        <v>0</v>
      </c>
      <c r="I223" s="399"/>
    </row>
    <row r="224" spans="2:9" x14ac:dyDescent="0.25">
      <c r="B224" s="5" t="s">
        <v>1</v>
      </c>
      <c r="C224" s="6" t="s">
        <v>2</v>
      </c>
      <c r="D224" s="6" t="s">
        <v>3</v>
      </c>
      <c r="E224" s="7" t="s">
        <v>4</v>
      </c>
      <c r="F224" s="7" t="s">
        <v>5</v>
      </c>
      <c r="G224" s="4"/>
      <c r="H224" s="8" t="s">
        <v>6</v>
      </c>
      <c r="I224" s="9">
        <f>SUM(Tabla11034534544554564794558687786951081171271362282372462723326026929731531632136516157225[Total costo])</f>
        <v>5805.0909091000003</v>
      </c>
    </row>
    <row r="225" spans="2:9" x14ac:dyDescent="0.25">
      <c r="B225" s="10" t="s">
        <v>990</v>
      </c>
      <c r="C225" s="11" t="s">
        <v>252</v>
      </c>
      <c r="D225" s="12">
        <v>2</v>
      </c>
      <c r="E225" s="13">
        <f>+VLOOKUP(Tabla11034534544554564794558687786951081171271362282372462723326026929731531632136516157225[[#This Row],[Ingrediente]],Tabla34[#All],3,0)</f>
        <v>2902.5454545500002</v>
      </c>
      <c r="F225" s="14">
        <f>+Tabla11034534544554564794558687786951081171271362282372462723326026929731531632136516157225[[#This Row],[Costo]]*Tabla11034534544554564794558687786951081171271362282372462723326026929731531632136516157225[[#This Row],[Cant.]]</f>
        <v>5805.0909091000003</v>
      </c>
      <c r="G225" s="4"/>
      <c r="H225" s="8" t="s">
        <v>12</v>
      </c>
      <c r="I225" s="15">
        <f>+I224*10%</f>
        <v>580.50909091000005</v>
      </c>
    </row>
    <row r="226" spans="2:9" x14ac:dyDescent="0.25">
      <c r="B226" s="16"/>
      <c r="C226" s="17"/>
      <c r="D226" s="17"/>
      <c r="E226" s="18"/>
      <c r="F226" s="18">
        <f>SUBTOTAL(109,Tabla11034534544554564794558687786951081171271362282372462723326026929731531632136516157225[Total costo])</f>
        <v>5805.0909091000003</v>
      </c>
      <c r="G226" s="4"/>
      <c r="H226" s="8" t="s">
        <v>13</v>
      </c>
      <c r="I226" s="15">
        <f>+I224+I225</f>
        <v>6385.6000000100003</v>
      </c>
    </row>
    <row r="227" spans="2:9" x14ac:dyDescent="0.25">
      <c r="G227" s="4"/>
      <c r="H227" s="20" t="s">
        <v>14</v>
      </c>
      <c r="I227" s="21">
        <v>250000</v>
      </c>
    </row>
    <row r="228" spans="2:9" x14ac:dyDescent="0.25">
      <c r="G228" s="4"/>
      <c r="H228" s="8" t="s">
        <v>15</v>
      </c>
      <c r="I228" s="15">
        <f>+I227/1.08*0.08</f>
        <v>18518.518518518518</v>
      </c>
    </row>
    <row r="229" spans="2:9" x14ac:dyDescent="0.25">
      <c r="G229" s="4"/>
      <c r="H229" s="8" t="s">
        <v>16</v>
      </c>
      <c r="I229" s="15">
        <f>+I227-I228</f>
        <v>231481.48148148149</v>
      </c>
    </row>
    <row r="230" spans="2:9" x14ac:dyDescent="0.25">
      <c r="G230" s="4"/>
      <c r="H230" s="8" t="s">
        <v>17</v>
      </c>
      <c r="I230" s="41">
        <f>+I226/I229</f>
        <v>2.7585792000043199E-2</v>
      </c>
    </row>
    <row r="231" spans="2:9" x14ac:dyDescent="0.25">
      <c r="G231" s="4"/>
      <c r="H231" s="8" t="s">
        <v>18</v>
      </c>
      <c r="I231" s="42">
        <f>+I229-I226</f>
        <v>225095.8814814715</v>
      </c>
    </row>
    <row r="232" spans="2:9" x14ac:dyDescent="0.25">
      <c r="G232" s="4"/>
      <c r="H232" s="8" t="s">
        <v>19</v>
      </c>
      <c r="I232" s="43">
        <f>+I231/I226</f>
        <v>35.250545208143166</v>
      </c>
    </row>
  </sheetData>
  <mergeCells count="17">
    <mergeCell ref="H179:I179"/>
    <mergeCell ref="H193:I193"/>
    <mergeCell ref="H208:I208"/>
    <mergeCell ref="H223:I223"/>
    <mergeCell ref="H121:I121"/>
    <mergeCell ref="H143:I143"/>
    <mergeCell ref="H155:I155"/>
    <mergeCell ref="H167:I167"/>
    <mergeCell ref="H108:I108"/>
    <mergeCell ref="H93:I93"/>
    <mergeCell ref="H6:I6"/>
    <mergeCell ref="H78:I78"/>
    <mergeCell ref="H40:I40"/>
    <mergeCell ref="H52:I52"/>
    <mergeCell ref="H64:I64"/>
    <mergeCell ref="H17:I17"/>
    <mergeCell ref="H28:I28"/>
  </mergeCells>
  <conditionalFormatting sqref="I13">
    <cfRule type="cellIs" dxfId="2125" priority="83" operator="lessThan">
      <formula>0.3</formula>
    </cfRule>
    <cfRule type="cellIs" dxfId="2124" priority="84" operator="greaterThan">
      <formula>0.3</formula>
    </cfRule>
  </conditionalFormatting>
  <conditionalFormatting sqref="I24">
    <cfRule type="cellIs" dxfId="2123" priority="31" operator="lessThan">
      <formula>0.3</formula>
    </cfRule>
    <cfRule type="cellIs" dxfId="2122" priority="32" operator="greaterThan">
      <formula>0.3</formula>
    </cfRule>
  </conditionalFormatting>
  <conditionalFormatting sqref="I35">
    <cfRule type="cellIs" dxfId="2121" priority="29" operator="lessThan">
      <formula>0.3</formula>
    </cfRule>
    <cfRule type="cellIs" dxfId="2120" priority="30" operator="greaterThan">
      <formula>0.3</formula>
    </cfRule>
  </conditionalFormatting>
  <conditionalFormatting sqref="I47">
    <cfRule type="cellIs" dxfId="2119" priority="71" operator="lessThan">
      <formula>0.3</formula>
    </cfRule>
    <cfRule type="cellIs" dxfId="2118" priority="72" operator="greaterThan">
      <formula>0.3</formula>
    </cfRule>
  </conditionalFormatting>
  <conditionalFormatting sqref="I59">
    <cfRule type="cellIs" dxfId="2117" priority="67" operator="lessThan">
      <formula>0.3</formula>
    </cfRule>
    <cfRule type="cellIs" dxfId="2116" priority="68" operator="greaterThan">
      <formula>0.3</formula>
    </cfRule>
  </conditionalFormatting>
  <conditionalFormatting sqref="I71">
    <cfRule type="cellIs" dxfId="2115" priority="63" operator="lessThan">
      <formula>0.3</formula>
    </cfRule>
    <cfRule type="cellIs" dxfId="2114" priority="64" operator="greaterThan">
      <formula>0.3</formula>
    </cfRule>
  </conditionalFormatting>
  <conditionalFormatting sqref="I85">
    <cfRule type="cellIs" dxfId="2113" priority="55" operator="lessThan">
      <formula>0.3</formula>
    </cfRule>
    <cfRule type="cellIs" dxfId="2112" priority="56" operator="greaterThan">
      <formula>0.3</formula>
    </cfRule>
  </conditionalFormatting>
  <conditionalFormatting sqref="I100">
    <cfRule type="cellIs" dxfId="2111" priority="23" operator="lessThan">
      <formula>0.3</formula>
    </cfRule>
    <cfRule type="cellIs" dxfId="2110" priority="24" operator="greaterThan">
      <formula>0.3</formula>
    </cfRule>
  </conditionalFormatting>
  <conditionalFormatting sqref="I115">
    <cfRule type="cellIs" dxfId="2109" priority="19" operator="lessThan">
      <formula>0.3</formula>
    </cfRule>
    <cfRule type="cellIs" dxfId="2108" priority="20" operator="greaterThan">
      <formula>0.3</formula>
    </cfRule>
  </conditionalFormatting>
  <conditionalFormatting sqref="I128">
    <cfRule type="cellIs" dxfId="2107" priority="15" operator="lessThan">
      <formula>0.3</formula>
    </cfRule>
    <cfRule type="cellIs" dxfId="2106" priority="16" operator="greaterThan">
      <formula>0.3</formula>
    </cfRule>
  </conditionalFormatting>
  <conditionalFormatting sqref="I150">
    <cfRule type="cellIs" dxfId="2105" priority="5" operator="lessThan">
      <formula>0.3</formula>
    </cfRule>
    <cfRule type="cellIs" dxfId="2104" priority="6" operator="greaterThan">
      <formula>0.3</formula>
    </cfRule>
  </conditionalFormatting>
  <conditionalFormatting sqref="I162">
    <cfRule type="cellIs" dxfId="2103" priority="13" operator="lessThan">
      <formula>0.3</formula>
    </cfRule>
    <cfRule type="cellIs" dxfId="2102" priority="14" operator="greaterThan">
      <formula>0.3</formula>
    </cfRule>
  </conditionalFormatting>
  <conditionalFormatting sqref="I174">
    <cfRule type="cellIs" dxfId="2101" priority="11" operator="lessThan">
      <formula>0.3</formula>
    </cfRule>
    <cfRule type="cellIs" dxfId="2100" priority="12" operator="greaterThan">
      <formula>0.3</formula>
    </cfRule>
  </conditionalFormatting>
  <conditionalFormatting sqref="I186">
    <cfRule type="cellIs" dxfId="2099" priority="9" operator="lessThan">
      <formula>0.3</formula>
    </cfRule>
    <cfRule type="cellIs" dxfId="2098" priority="10" operator="greaterThan">
      <formula>0.3</formula>
    </cfRule>
  </conditionalFormatting>
  <conditionalFormatting sqref="I200">
    <cfRule type="cellIs" dxfId="2097" priority="7" operator="lessThan">
      <formula>0.3</formula>
    </cfRule>
    <cfRule type="cellIs" dxfId="2096" priority="8" operator="greaterThan">
      <formula>0.3</formula>
    </cfRule>
  </conditionalFormatting>
  <conditionalFormatting sqref="I215">
    <cfRule type="cellIs" dxfId="2095" priority="3" operator="lessThan">
      <formula>0.3</formula>
    </cfRule>
    <cfRule type="cellIs" dxfId="2094" priority="4" operator="greaterThan">
      <formula>0.3</formula>
    </cfRule>
  </conditionalFormatting>
  <conditionalFormatting sqref="I230">
    <cfRule type="cellIs" dxfId="2093" priority="1" operator="lessThan">
      <formula>0.3</formula>
    </cfRule>
    <cfRule type="cellIs" dxfId="2092" priority="2" operator="greaterThan">
      <formula>0.3</formula>
    </cfRule>
  </conditionalFormatting>
  <pageMargins left="0.7" right="0.7" top="0.75" bottom="0.75" header="0.3" footer="0.3"/>
  <drawing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CCDD-2B4D-4F6C-85AD-0AC2B7136120}">
  <dimension ref="B6:I110"/>
  <sheetViews>
    <sheetView showGridLines="0" topLeftCell="A76" zoomScale="90" zoomScaleNormal="90" workbookViewId="0">
      <selection activeCell="I95" sqref="I95"/>
    </sheetView>
  </sheetViews>
  <sheetFormatPr baseColWidth="10" defaultRowHeight="14.4" x14ac:dyDescent="0.3"/>
  <cols>
    <col min="1" max="1" width="4" customWidth="1"/>
    <col min="2" max="2" width="32" customWidth="1"/>
    <col min="6" max="6" width="10.88671875" customWidth="1"/>
    <col min="7" max="7" width="3.33203125" customWidth="1"/>
    <col min="8" max="8" width="27.109375" customWidth="1"/>
  </cols>
  <sheetData>
    <row r="6" spans="2:9" x14ac:dyDescent="0.3">
      <c r="B6" s="1" t="s">
        <v>1095</v>
      </c>
      <c r="C6" s="2"/>
      <c r="D6" s="2"/>
      <c r="E6" s="3"/>
      <c r="F6" s="3"/>
      <c r="G6" s="4"/>
      <c r="H6" s="399" t="s">
        <v>0</v>
      </c>
      <c r="I6" s="399"/>
    </row>
    <row r="7" spans="2:9" x14ac:dyDescent="0.3">
      <c r="B7" s="5" t="s">
        <v>1</v>
      </c>
      <c r="C7" s="6" t="s">
        <v>2</v>
      </c>
      <c r="D7" s="6" t="s">
        <v>3</v>
      </c>
      <c r="E7" s="7" t="s">
        <v>4</v>
      </c>
      <c r="F7" s="7" t="s">
        <v>5</v>
      </c>
      <c r="G7" s="4"/>
      <c r="H7" s="8" t="s">
        <v>6</v>
      </c>
      <c r="I7" s="9">
        <f>SUM(Tabla110345345445545647945586877869510811712713622823724627233260[Total costo])</f>
        <v>2284.1208333300001</v>
      </c>
    </row>
    <row r="8" spans="2:9" x14ac:dyDescent="0.3">
      <c r="B8" s="10" t="s">
        <v>311</v>
      </c>
      <c r="C8" s="11" t="s">
        <v>11</v>
      </c>
      <c r="D8" s="12">
        <v>1</v>
      </c>
      <c r="E8" s="13">
        <f>+VLOOKUP(Tabla110345345445545647945586877869510811712713622823724627233260[[#This Row],[Ingrediente]],Tabla34[#All],3,0)</f>
        <v>2284.1208333300001</v>
      </c>
      <c r="F8" s="14">
        <f>+Tabla110345345445545647945586877869510811712713622823724627233260[[#This Row],[Costo]]*Tabla110345345445545647945586877869510811712713622823724627233260[[#This Row],[Cant.]]</f>
        <v>2284.1208333300001</v>
      </c>
      <c r="G8" s="4"/>
      <c r="H8" s="8" t="s">
        <v>12</v>
      </c>
      <c r="I8" s="15"/>
    </row>
    <row r="9" spans="2:9" x14ac:dyDescent="0.3">
      <c r="B9" s="16"/>
      <c r="C9" s="17"/>
      <c r="D9" s="17"/>
      <c r="E9" s="18"/>
      <c r="F9" s="18">
        <f>SUBTOTAL(109,Tabla110345345445545647945586877869510811712713622823724627233260[Total costo])</f>
        <v>2284.1208333300001</v>
      </c>
      <c r="G9" s="4"/>
      <c r="H9" s="8" t="s">
        <v>13</v>
      </c>
      <c r="I9" s="15">
        <f>+I7+I8</f>
        <v>2284.1208333300001</v>
      </c>
    </row>
    <row r="10" spans="2:9" x14ac:dyDescent="0.3">
      <c r="G10" s="4"/>
      <c r="H10" s="20" t="s">
        <v>14</v>
      </c>
      <c r="I10" s="21">
        <v>9500</v>
      </c>
    </row>
    <row r="11" spans="2:9" x14ac:dyDescent="0.3">
      <c r="G11" s="4"/>
      <c r="H11" s="8" t="s">
        <v>15</v>
      </c>
      <c r="I11" s="15">
        <f>+I10/1.08*0.08</f>
        <v>703.7037037037037</v>
      </c>
    </row>
    <row r="12" spans="2:9" x14ac:dyDescent="0.3">
      <c r="G12" s="4"/>
      <c r="H12" s="8" t="s">
        <v>16</v>
      </c>
      <c r="I12" s="15">
        <f>+I10-I11</f>
        <v>8796.2962962962956</v>
      </c>
    </row>
    <row r="13" spans="2:9" x14ac:dyDescent="0.3">
      <c r="G13" s="4"/>
      <c r="H13" s="8" t="s">
        <v>17</v>
      </c>
      <c r="I13" s="22">
        <f>+I9/I12</f>
        <v>0.25966847368383161</v>
      </c>
    </row>
    <row r="14" spans="2:9" x14ac:dyDescent="0.3">
      <c r="G14" s="4"/>
      <c r="H14" s="8" t="s">
        <v>18</v>
      </c>
      <c r="I14" s="23">
        <f>+I12-I9</f>
        <v>6512.1754629662955</v>
      </c>
    </row>
    <row r="15" spans="2:9" x14ac:dyDescent="0.3">
      <c r="G15" s="4"/>
      <c r="H15" s="8" t="s">
        <v>19</v>
      </c>
      <c r="I15" s="25">
        <f>+I14/I9</f>
        <v>2.8510643429805991</v>
      </c>
    </row>
    <row r="16" spans="2:9" x14ac:dyDescent="0.3">
      <c r="G16" s="4"/>
      <c r="H16" s="4"/>
      <c r="I16" s="31"/>
    </row>
    <row r="17" spans="2:9" x14ac:dyDescent="0.3">
      <c r="G17" s="4"/>
      <c r="H17" s="4"/>
      <c r="I17" s="31"/>
    </row>
    <row r="18" spans="2:9" x14ac:dyDescent="0.3">
      <c r="G18" s="4"/>
      <c r="H18" s="4"/>
      <c r="I18" s="31"/>
    </row>
    <row r="19" spans="2:9" x14ac:dyDescent="0.3">
      <c r="B19" s="1" t="s">
        <v>258</v>
      </c>
      <c r="C19" s="2"/>
      <c r="D19" s="2"/>
      <c r="E19" s="3"/>
      <c r="F19" s="3"/>
      <c r="G19" s="4"/>
      <c r="H19" s="399" t="s">
        <v>0</v>
      </c>
      <c r="I19" s="399"/>
    </row>
    <row r="20" spans="2:9" x14ac:dyDescent="0.3">
      <c r="B20" s="5" t="s">
        <v>1</v>
      </c>
      <c r="C20" s="6" t="s">
        <v>2</v>
      </c>
      <c r="D20" s="6" t="s">
        <v>3</v>
      </c>
      <c r="E20" s="7" t="s">
        <v>4</v>
      </c>
      <c r="F20" s="7" t="s">
        <v>5</v>
      </c>
      <c r="G20" s="4"/>
      <c r="H20" s="8" t="s">
        <v>6</v>
      </c>
      <c r="I20" s="9">
        <f>SUM(Tabla110345345445545647945586877869510811712713622823724627233260[Total costo])</f>
        <v>2284.1208333300001</v>
      </c>
    </row>
    <row r="21" spans="2:9" x14ac:dyDescent="0.3">
      <c r="B21" s="10" t="s">
        <v>196</v>
      </c>
      <c r="C21" s="11" t="s">
        <v>11</v>
      </c>
      <c r="D21" s="12">
        <v>1</v>
      </c>
      <c r="E21" s="13">
        <f>+VLOOKUP(Tabla110345345445545647945586877869510811712713622823724627233260278[[#This Row],[Ingrediente]],Tabla34[#All],3,0)</f>
        <v>2119.6875</v>
      </c>
      <c r="F21" s="14">
        <f>+Tabla110345345445545647945586877869510811712713622823724627233260278[[#This Row],[Costo]]*Tabla110345345445545647945586877869510811712713622823724627233260278[[#This Row],[Cant.]]</f>
        <v>2119.6875</v>
      </c>
      <c r="G21" s="4"/>
      <c r="H21" s="8" t="s">
        <v>12</v>
      </c>
      <c r="I21" s="15"/>
    </row>
    <row r="22" spans="2:9" x14ac:dyDescent="0.3">
      <c r="B22" s="16"/>
      <c r="C22" s="17"/>
      <c r="D22" s="17"/>
      <c r="E22" s="18"/>
      <c r="F22" s="18">
        <f>SUBTOTAL(109,Tabla110345345445545647945586877869510811712713622823724627233260278[Total costo])</f>
        <v>2119.6875</v>
      </c>
      <c r="G22" s="4"/>
      <c r="H22" s="8" t="s">
        <v>13</v>
      </c>
      <c r="I22" s="15">
        <f>+I20+I21</f>
        <v>2284.1208333300001</v>
      </c>
    </row>
    <row r="23" spans="2:9" x14ac:dyDescent="0.3">
      <c r="G23" s="4"/>
      <c r="H23" s="20" t="s">
        <v>14</v>
      </c>
      <c r="I23" s="21">
        <v>9500</v>
      </c>
    </row>
    <row r="24" spans="2:9" x14ac:dyDescent="0.3">
      <c r="G24" s="4"/>
      <c r="H24" s="8" t="s">
        <v>15</v>
      </c>
      <c r="I24" s="15">
        <f>+I23/1.08*0.08</f>
        <v>703.7037037037037</v>
      </c>
    </row>
    <row r="25" spans="2:9" x14ac:dyDescent="0.3">
      <c r="G25" s="4"/>
      <c r="H25" s="8" t="s">
        <v>16</v>
      </c>
      <c r="I25" s="15">
        <f>+I23-I24</f>
        <v>8796.2962962962956</v>
      </c>
    </row>
    <row r="26" spans="2:9" x14ac:dyDescent="0.3">
      <c r="G26" s="4"/>
      <c r="H26" s="8" t="s">
        <v>17</v>
      </c>
      <c r="I26" s="22">
        <f>+I22/I25</f>
        <v>0.25966847368383161</v>
      </c>
    </row>
    <row r="27" spans="2:9" x14ac:dyDescent="0.3">
      <c r="G27" s="4"/>
      <c r="H27" s="8" t="s">
        <v>18</v>
      </c>
      <c r="I27" s="23">
        <f>+I25-I22</f>
        <v>6512.1754629662955</v>
      </c>
    </row>
    <row r="28" spans="2:9" x14ac:dyDescent="0.3">
      <c r="G28" s="4"/>
      <c r="H28" s="8" t="s">
        <v>19</v>
      </c>
      <c r="I28" s="25">
        <f>+I27/I22</f>
        <v>2.8510643429805991</v>
      </c>
    </row>
    <row r="29" spans="2:9" x14ac:dyDescent="0.3">
      <c r="G29" s="4"/>
      <c r="H29" s="38"/>
      <c r="I29" s="39"/>
    </row>
    <row r="30" spans="2:9" x14ac:dyDescent="0.3">
      <c r="B30" s="1" t="s">
        <v>259</v>
      </c>
      <c r="C30" s="2"/>
      <c r="D30" s="2"/>
      <c r="E30" s="3"/>
      <c r="F30" s="3"/>
      <c r="G30" s="4"/>
      <c r="H30" s="399" t="s">
        <v>0</v>
      </c>
      <c r="I30" s="399"/>
    </row>
    <row r="31" spans="2:9" x14ac:dyDescent="0.3">
      <c r="B31" s="5" t="s">
        <v>1</v>
      </c>
      <c r="C31" s="6" t="s">
        <v>2</v>
      </c>
      <c r="D31" s="6" t="s">
        <v>3</v>
      </c>
      <c r="E31" s="7" t="s">
        <v>4</v>
      </c>
      <c r="F31" s="7" t="s">
        <v>5</v>
      </c>
      <c r="G31" s="4"/>
      <c r="H31" s="8" t="s">
        <v>6</v>
      </c>
      <c r="I31" s="9">
        <f>SUM(Tabla110345345445545647945586877869510811712713622823724627233260280[Total costo])</f>
        <v>1569.05</v>
      </c>
    </row>
    <row r="32" spans="2:9" x14ac:dyDescent="0.3">
      <c r="B32" s="10" t="s">
        <v>228</v>
      </c>
      <c r="C32" s="11" t="s">
        <v>11</v>
      </c>
      <c r="D32" s="12">
        <v>1</v>
      </c>
      <c r="E32" s="13">
        <f>+VLOOKUP(Tabla110345345445545647945586877869510811712713622823724627233260280[[#This Row],[Ingrediente]],Tabla34[#All],3,0)</f>
        <v>1569.05</v>
      </c>
      <c r="F32" s="14">
        <f>+Tabla110345345445545647945586877869510811712713622823724627233260280[[#This Row],[Costo]]*Tabla110345345445545647945586877869510811712713622823724627233260280[[#This Row],[Cant.]]</f>
        <v>1569.05</v>
      </c>
      <c r="G32" s="4"/>
      <c r="H32" s="8" t="s">
        <v>12</v>
      </c>
      <c r="I32" s="15"/>
    </row>
    <row r="33" spans="2:9" x14ac:dyDescent="0.3">
      <c r="B33" s="16"/>
      <c r="C33" s="17"/>
      <c r="D33" s="17"/>
      <c r="E33" s="18"/>
      <c r="F33" s="18">
        <f>SUBTOTAL(109,Tabla110345345445545647945586877869510811712713622823724627233260280[Total costo])</f>
        <v>1569.05</v>
      </c>
      <c r="G33" s="4"/>
      <c r="H33" s="8" t="s">
        <v>13</v>
      </c>
      <c r="I33" s="15">
        <f>+I31+I32</f>
        <v>1569.05</v>
      </c>
    </row>
    <row r="34" spans="2:9" x14ac:dyDescent="0.3">
      <c r="G34" s="4"/>
      <c r="H34" s="20" t="s">
        <v>14</v>
      </c>
      <c r="I34" s="21">
        <v>9500</v>
      </c>
    </row>
    <row r="35" spans="2:9" x14ac:dyDescent="0.3">
      <c r="G35" s="4"/>
      <c r="H35" s="8" t="s">
        <v>15</v>
      </c>
      <c r="I35" s="15">
        <f>+I34/1.08*0.08</f>
        <v>703.7037037037037</v>
      </c>
    </row>
    <row r="36" spans="2:9" x14ac:dyDescent="0.3">
      <c r="G36" s="4"/>
      <c r="H36" s="8" t="s">
        <v>16</v>
      </c>
      <c r="I36" s="15">
        <f>+I34-I35</f>
        <v>8796.2962962962956</v>
      </c>
    </row>
    <row r="37" spans="2:9" x14ac:dyDescent="0.3">
      <c r="G37" s="4"/>
      <c r="H37" s="8" t="s">
        <v>17</v>
      </c>
      <c r="I37" s="22">
        <f>+I33/I36</f>
        <v>0.1783762105263158</v>
      </c>
    </row>
    <row r="38" spans="2:9" x14ac:dyDescent="0.3">
      <c r="G38" s="4"/>
      <c r="H38" s="8" t="s">
        <v>18</v>
      </c>
      <c r="I38" s="23">
        <f>+I36-I33</f>
        <v>7227.2462962962954</v>
      </c>
    </row>
    <row r="39" spans="2:9" x14ac:dyDescent="0.3">
      <c r="G39" s="4"/>
      <c r="H39" s="8" t="s">
        <v>19</v>
      </c>
      <c r="I39" s="25">
        <f>+I38/I33</f>
        <v>4.6061287379601001</v>
      </c>
    </row>
    <row r="42" spans="2:9" x14ac:dyDescent="0.3">
      <c r="B42" s="1" t="s">
        <v>260</v>
      </c>
      <c r="C42" s="2"/>
      <c r="D42" s="2"/>
      <c r="E42" s="3"/>
      <c r="F42" s="3"/>
      <c r="G42" s="4"/>
      <c r="H42" s="399" t="s">
        <v>0</v>
      </c>
      <c r="I42" s="399"/>
    </row>
    <row r="43" spans="2:9" x14ac:dyDescent="0.3">
      <c r="B43" s="5" t="s">
        <v>1</v>
      </c>
      <c r="C43" s="6" t="s">
        <v>2</v>
      </c>
      <c r="D43" s="6" t="s">
        <v>3</v>
      </c>
      <c r="E43" s="7" t="s">
        <v>4</v>
      </c>
      <c r="F43" s="7" t="s">
        <v>5</v>
      </c>
      <c r="G43" s="4"/>
      <c r="H43" s="8" t="s">
        <v>6</v>
      </c>
      <c r="I43" s="9">
        <f>SUM(Tabla110345345445545647945586877869510811712713622823724627233260281[Total costo])</f>
        <v>1497.59166667</v>
      </c>
    </row>
    <row r="44" spans="2:9" x14ac:dyDescent="0.3">
      <c r="B44" s="10" t="s">
        <v>226</v>
      </c>
      <c r="C44" s="11" t="s">
        <v>11</v>
      </c>
      <c r="D44" s="12">
        <v>1</v>
      </c>
      <c r="E44" s="13">
        <f>+VLOOKUP(Tabla110345345445545647945586877869510811712713622823724627233260281[[#This Row],[Ingrediente]],Tabla34[#All],3,0)</f>
        <v>1497.59166667</v>
      </c>
      <c r="F44" s="14">
        <f>+Tabla110345345445545647945586877869510811712713622823724627233260281[[#This Row],[Costo]]*Tabla110345345445545647945586877869510811712713622823724627233260281[[#This Row],[Cant.]]</f>
        <v>1497.59166667</v>
      </c>
      <c r="G44" s="4"/>
      <c r="H44" s="8" t="s">
        <v>12</v>
      </c>
      <c r="I44" s="15"/>
    </row>
    <row r="45" spans="2:9" x14ac:dyDescent="0.3">
      <c r="B45" s="16"/>
      <c r="C45" s="17"/>
      <c r="D45" s="17"/>
      <c r="E45" s="18"/>
      <c r="F45" s="18">
        <f>SUBTOTAL(109,Tabla110345345445545647945586877869510811712713622823724627233260281[Total costo])</f>
        <v>1497.59166667</v>
      </c>
      <c r="G45" s="4"/>
      <c r="H45" s="8" t="s">
        <v>13</v>
      </c>
      <c r="I45" s="15">
        <f>+I43+I44</f>
        <v>1497.59166667</v>
      </c>
    </row>
    <row r="46" spans="2:9" x14ac:dyDescent="0.3">
      <c r="G46" s="4"/>
      <c r="H46" s="20" t="s">
        <v>14</v>
      </c>
      <c r="I46" s="21">
        <v>8500</v>
      </c>
    </row>
    <row r="47" spans="2:9" x14ac:dyDescent="0.3">
      <c r="G47" s="4"/>
      <c r="H47" s="8" t="s">
        <v>15</v>
      </c>
      <c r="I47" s="15">
        <f>+I46/1.08*0.08</f>
        <v>629.62962962962956</v>
      </c>
    </row>
    <row r="48" spans="2:9" x14ac:dyDescent="0.3">
      <c r="G48" s="4"/>
      <c r="H48" s="8" t="s">
        <v>16</v>
      </c>
      <c r="I48" s="15">
        <f>+I46-I47</f>
        <v>7870.3703703703704</v>
      </c>
    </row>
    <row r="49" spans="2:9" x14ac:dyDescent="0.3">
      <c r="G49" s="4"/>
      <c r="H49" s="8" t="s">
        <v>17</v>
      </c>
      <c r="I49" s="22">
        <f>+I45/I48</f>
        <v>0.19028223529454116</v>
      </c>
    </row>
    <row r="50" spans="2:9" x14ac:dyDescent="0.3">
      <c r="G50" s="4"/>
      <c r="H50" s="8" t="s">
        <v>18</v>
      </c>
      <c r="I50" s="23">
        <f>+I48-I45</f>
        <v>6372.7787037003709</v>
      </c>
    </row>
    <row r="51" spans="2:9" x14ac:dyDescent="0.3">
      <c r="G51" s="4"/>
      <c r="H51" s="8" t="s">
        <v>19</v>
      </c>
      <c r="I51" s="25">
        <f>+I50/I45</f>
        <v>4.2553513387735995</v>
      </c>
    </row>
    <row r="54" spans="2:9" x14ac:dyDescent="0.3">
      <c r="B54" s="1" t="s">
        <v>261</v>
      </c>
      <c r="C54" s="2"/>
      <c r="D54" s="2"/>
      <c r="E54" s="3"/>
      <c r="F54" s="3"/>
      <c r="G54" s="4"/>
      <c r="H54" s="399" t="s">
        <v>0</v>
      </c>
      <c r="I54" s="399"/>
    </row>
    <row r="55" spans="2:9" x14ac:dyDescent="0.3">
      <c r="B55" s="5" t="s">
        <v>1</v>
      </c>
      <c r="C55" s="6" t="s">
        <v>2</v>
      </c>
      <c r="D55" s="6" t="s">
        <v>3</v>
      </c>
      <c r="E55" s="7" t="s">
        <v>4</v>
      </c>
      <c r="F55" s="7" t="s">
        <v>5</v>
      </c>
      <c r="G55" s="4"/>
      <c r="H55" s="8" t="s">
        <v>6</v>
      </c>
      <c r="I55" s="9">
        <f>SUM(Tabla110345345445545647945586877869510811712713622823724627233260282[Total costo])</f>
        <v>2116.0300016700003</v>
      </c>
    </row>
    <row r="56" spans="2:9" x14ac:dyDescent="0.3">
      <c r="B56" s="10" t="s">
        <v>835</v>
      </c>
      <c r="C56" s="11" t="s">
        <v>67</v>
      </c>
      <c r="D56" s="12">
        <v>136.36363</v>
      </c>
      <c r="E56" s="13">
        <f>+VLOOKUP(Tabla110345345445545647945586877869510811712713622823724627233260282[[#This Row],[Ingrediente]],Tabla34[#All],3,0)</f>
        <v>4.5</v>
      </c>
      <c r="F56" s="14">
        <f>+Tabla110345345445545647945586877869510811712713622823724627233260282[[#This Row],[Costo]]*Tabla110345345445545647945586877869510811712713622823724627233260282[[#This Row],[Cant.]]</f>
        <v>613.63633500000003</v>
      </c>
      <c r="G56" s="4"/>
      <c r="H56" s="8" t="s">
        <v>12</v>
      </c>
      <c r="I56" s="15"/>
    </row>
    <row r="57" spans="2:9" x14ac:dyDescent="0.3">
      <c r="B57" s="10" t="s">
        <v>89</v>
      </c>
      <c r="C57" s="11" t="s">
        <v>67</v>
      </c>
      <c r="D57" s="12">
        <v>2</v>
      </c>
      <c r="E57" s="13">
        <f>+VLOOKUP(Tabla110345345445545647945586877869510811712713622823724627233260282[[#This Row],[Ingrediente]],Tabla34[#All],3,0)</f>
        <v>2.4009999999999998</v>
      </c>
      <c r="F57" s="14">
        <f>+Tabla110345345445545647945586877869510811712713622823724627233260282[[#This Row],[Costo]]*Tabla110345345445545647945586877869510811712713622823724627233260282[[#This Row],[Cant.]]</f>
        <v>4.8019999999999996</v>
      </c>
      <c r="G57" s="4"/>
      <c r="H57" s="8" t="s">
        <v>13</v>
      </c>
      <c r="I57" s="15">
        <f>+I55+I56</f>
        <v>2116.0300016700003</v>
      </c>
    </row>
    <row r="58" spans="2:9" x14ac:dyDescent="0.3">
      <c r="B58" s="10" t="s">
        <v>226</v>
      </c>
      <c r="C58" s="11" t="s">
        <v>847</v>
      </c>
      <c r="D58" s="12">
        <v>1</v>
      </c>
      <c r="E58" s="13">
        <f>+VLOOKUP(Tabla110345345445545647945586877869510811712713622823724627233260282[[#This Row],[Ingrediente]],Tabla34[#All],3,0)</f>
        <v>1497.59166667</v>
      </c>
      <c r="F58" s="14">
        <f>+Tabla110345345445545647945586877869510811712713622823724627233260282[[#This Row],[Costo]]*Tabla110345345445545647945586877869510811712713622823724627233260282[[#This Row],[Cant.]]</f>
        <v>1497.59166667</v>
      </c>
      <c r="G58" s="4"/>
      <c r="H58" s="20" t="s">
        <v>14</v>
      </c>
      <c r="I58" s="21">
        <v>11000</v>
      </c>
    </row>
    <row r="59" spans="2:9" x14ac:dyDescent="0.3">
      <c r="B59" s="16"/>
      <c r="C59" s="17"/>
      <c r="D59" s="17"/>
      <c r="E59" s="18"/>
      <c r="F59" s="18">
        <f>SUBTOTAL(109,Tabla110345345445545647945586877869510811712713622823724627233260282[Total costo])</f>
        <v>2116.0300016700003</v>
      </c>
      <c r="G59" s="4"/>
      <c r="H59" s="8" t="s">
        <v>15</v>
      </c>
      <c r="I59" s="15">
        <f>+I58/1.08*0.08</f>
        <v>814.81481481481478</v>
      </c>
    </row>
    <row r="60" spans="2:9" x14ac:dyDescent="0.3">
      <c r="G60" s="4"/>
      <c r="H60" s="8" t="s">
        <v>16</v>
      </c>
      <c r="I60" s="15">
        <f>+I58-I59</f>
        <v>10185.185185185186</v>
      </c>
    </row>
    <row r="61" spans="2:9" x14ac:dyDescent="0.3">
      <c r="G61" s="4"/>
      <c r="H61" s="8" t="s">
        <v>17</v>
      </c>
      <c r="I61" s="22">
        <f>+I57/I60</f>
        <v>0.20775567289123636</v>
      </c>
    </row>
    <row r="62" spans="2:9" x14ac:dyDescent="0.3">
      <c r="G62" s="4"/>
      <c r="H62" s="8" t="s">
        <v>18</v>
      </c>
      <c r="I62" s="23">
        <f>+I60-I57</f>
        <v>8069.1551835151859</v>
      </c>
    </row>
    <row r="63" spans="2:9" x14ac:dyDescent="0.3">
      <c r="G63" s="4"/>
      <c r="H63" s="8" t="s">
        <v>19</v>
      </c>
      <c r="I63" s="25">
        <f>+I62/I57</f>
        <v>3.8133463028156012</v>
      </c>
    </row>
    <row r="66" spans="2:9" x14ac:dyDescent="0.3">
      <c r="B66" s="1" t="s">
        <v>262</v>
      </c>
      <c r="C66" s="2"/>
      <c r="D66" s="2"/>
      <c r="E66" s="3"/>
      <c r="F66" s="3"/>
      <c r="G66" s="4"/>
      <c r="H66" s="399" t="s">
        <v>0</v>
      </c>
      <c r="I66" s="399"/>
    </row>
    <row r="67" spans="2:9" x14ac:dyDescent="0.3">
      <c r="B67" s="5" t="s">
        <v>1</v>
      </c>
      <c r="C67" s="6" t="s">
        <v>2</v>
      </c>
      <c r="D67" s="6" t="s">
        <v>3</v>
      </c>
      <c r="E67" s="7" t="s">
        <v>4</v>
      </c>
      <c r="F67" s="7" t="s">
        <v>5</v>
      </c>
      <c r="G67" s="4"/>
      <c r="H67" s="8" t="s">
        <v>6</v>
      </c>
      <c r="I67" s="9">
        <f>SUM(Tabla110345345445545647945586877869510811712713622823724627233260283[Total costo])</f>
        <v>1234.3916666699999</v>
      </c>
    </row>
    <row r="68" spans="2:9" x14ac:dyDescent="0.3">
      <c r="B68" s="10" t="s">
        <v>208</v>
      </c>
      <c r="C68" s="11" t="s">
        <v>11</v>
      </c>
      <c r="D68" s="12">
        <v>1</v>
      </c>
      <c r="E68" s="13">
        <f>+VLOOKUP(Tabla110345345445545647945586877869510811712713622823724627233260283[[#This Row],[Ingrediente]],Tabla34[#All],3,0)</f>
        <v>1234.3916666699999</v>
      </c>
      <c r="F68" s="14">
        <f>+Tabla110345345445545647945586877869510811712713622823724627233260283[[#This Row],[Costo]]*Tabla110345345445545647945586877869510811712713622823724627233260283[[#This Row],[Cant.]]</f>
        <v>1234.3916666699999</v>
      </c>
      <c r="G68" s="4"/>
      <c r="H68" s="8" t="s">
        <v>12</v>
      </c>
      <c r="I68" s="15"/>
    </row>
    <row r="69" spans="2:9" x14ac:dyDescent="0.3">
      <c r="B69" s="16"/>
      <c r="C69" s="17"/>
      <c r="D69" s="17"/>
      <c r="E69" s="18"/>
      <c r="F69" s="18">
        <f>SUBTOTAL(109,Tabla110345345445545647945586877869510811712713622823724627233260283[Total costo])</f>
        <v>1234.3916666699999</v>
      </c>
      <c r="G69" s="4"/>
      <c r="H69" s="8" t="s">
        <v>13</v>
      </c>
      <c r="I69" s="15">
        <f>+I67+I68</f>
        <v>1234.3916666699999</v>
      </c>
    </row>
    <row r="70" spans="2:9" x14ac:dyDescent="0.3">
      <c r="G70" s="4"/>
      <c r="H70" s="20" t="s">
        <v>14</v>
      </c>
      <c r="I70" s="21">
        <v>8500</v>
      </c>
    </row>
    <row r="71" spans="2:9" x14ac:dyDescent="0.3">
      <c r="G71" s="4"/>
      <c r="H71" s="8" t="s">
        <v>15</v>
      </c>
      <c r="I71" s="15">
        <f>+I70/1.08*0.08</f>
        <v>629.62962962962956</v>
      </c>
    </row>
    <row r="72" spans="2:9" x14ac:dyDescent="0.3">
      <c r="G72" s="4"/>
      <c r="H72" s="8" t="s">
        <v>16</v>
      </c>
      <c r="I72" s="15">
        <f>+I70-I71</f>
        <v>7870.3703703703704</v>
      </c>
    </row>
    <row r="73" spans="2:9" x14ac:dyDescent="0.3">
      <c r="G73" s="4"/>
      <c r="H73" s="8" t="s">
        <v>17</v>
      </c>
      <c r="I73" s="22">
        <f>+I69/I72</f>
        <v>0.15684035294159998</v>
      </c>
    </row>
    <row r="74" spans="2:9" x14ac:dyDescent="0.3">
      <c r="H74" s="8" t="s">
        <v>18</v>
      </c>
      <c r="I74" s="23">
        <f>+I72-I69</f>
        <v>6635.9787037003707</v>
      </c>
    </row>
    <row r="75" spans="2:9" x14ac:dyDescent="0.3">
      <c r="H75" s="8" t="s">
        <v>19</v>
      </c>
      <c r="I75" s="25">
        <f>+I74/I69</f>
        <v>5.3759101611582905</v>
      </c>
    </row>
    <row r="76" spans="2:9" x14ac:dyDescent="0.3">
      <c r="G76" s="4"/>
    </row>
    <row r="77" spans="2:9" x14ac:dyDescent="0.3">
      <c r="G77" s="4"/>
    </row>
    <row r="78" spans="2:9" x14ac:dyDescent="0.3">
      <c r="B78" s="1" t="s">
        <v>263</v>
      </c>
      <c r="C78" s="2"/>
      <c r="D78" s="2"/>
      <c r="E78" s="3"/>
      <c r="F78" s="3"/>
      <c r="G78" s="4"/>
      <c r="H78" s="399" t="s">
        <v>0</v>
      </c>
      <c r="I78" s="399"/>
    </row>
    <row r="79" spans="2:9" x14ac:dyDescent="0.3">
      <c r="B79" s="5" t="s">
        <v>1</v>
      </c>
      <c r="C79" s="6" t="s">
        <v>2</v>
      </c>
      <c r="D79" s="6" t="s">
        <v>3</v>
      </c>
      <c r="E79" s="7" t="s">
        <v>4</v>
      </c>
      <c r="F79" s="7" t="s">
        <v>5</v>
      </c>
      <c r="G79" s="4"/>
      <c r="H79" s="8" t="s">
        <v>6</v>
      </c>
      <c r="I79" s="9">
        <f>SUM(Tabla110345345445545647945586877869510811712713622823724627233260284[Total costo])</f>
        <v>1654.21666667</v>
      </c>
    </row>
    <row r="80" spans="2:9" x14ac:dyDescent="0.3">
      <c r="B80" s="10" t="s">
        <v>209</v>
      </c>
      <c r="C80" s="11" t="s">
        <v>11</v>
      </c>
      <c r="D80" s="12">
        <v>1</v>
      </c>
      <c r="E80" s="13">
        <f>+VLOOKUP(Tabla110345345445545647945586877869510811712713622823724627233260284[[#This Row],[Ingrediente]],Tabla34[#All],3,0)</f>
        <v>1654.21666667</v>
      </c>
      <c r="F80" s="14">
        <f>+Tabla110345345445545647945586877869510811712713622823724627233260284[[#This Row],[Costo]]*Tabla110345345445545647945586877869510811712713622823724627233260284[[#This Row],[Cant.]]</f>
        <v>1654.21666667</v>
      </c>
      <c r="G80" s="4"/>
      <c r="H80" s="8" t="s">
        <v>12</v>
      </c>
      <c r="I80" s="15"/>
    </row>
    <row r="81" spans="2:9" x14ac:dyDescent="0.3">
      <c r="B81" s="16"/>
      <c r="C81" s="17"/>
      <c r="D81" s="17"/>
      <c r="E81" s="18"/>
      <c r="F81" s="18">
        <f>SUBTOTAL(109,Tabla110345345445545647945586877869510811712713622823724627233260284[Total costo])</f>
        <v>1654.21666667</v>
      </c>
      <c r="G81" s="4"/>
      <c r="H81" s="8" t="s">
        <v>13</v>
      </c>
      <c r="I81" s="15">
        <f>+I79+I80</f>
        <v>1654.21666667</v>
      </c>
    </row>
    <row r="82" spans="2:9" x14ac:dyDescent="0.3">
      <c r="G82" s="4"/>
      <c r="H82" s="20" t="s">
        <v>14</v>
      </c>
      <c r="I82" s="21">
        <v>8500</v>
      </c>
    </row>
    <row r="83" spans="2:9" x14ac:dyDescent="0.3">
      <c r="G83" s="4"/>
      <c r="H83" s="8" t="s">
        <v>15</v>
      </c>
      <c r="I83" s="15">
        <f>+I82/1.08*0.08</f>
        <v>629.62962962962956</v>
      </c>
    </row>
    <row r="84" spans="2:9" x14ac:dyDescent="0.3">
      <c r="G84" s="4"/>
      <c r="H84" s="8" t="s">
        <v>16</v>
      </c>
      <c r="I84" s="15">
        <f>+I82-I83</f>
        <v>7870.3703703703704</v>
      </c>
    </row>
    <row r="85" spans="2:9" x14ac:dyDescent="0.3">
      <c r="G85" s="4"/>
      <c r="H85" s="8" t="s">
        <v>17</v>
      </c>
      <c r="I85" s="22">
        <f>+I81/I84</f>
        <v>0.21018282352983531</v>
      </c>
    </row>
    <row r="86" spans="2:9" x14ac:dyDescent="0.3">
      <c r="H86" s="8" t="s">
        <v>18</v>
      </c>
      <c r="I86" s="23">
        <f>+I84-I81</f>
        <v>6216.1537037003709</v>
      </c>
    </row>
    <row r="87" spans="2:9" x14ac:dyDescent="0.3">
      <c r="H87" s="8" t="s">
        <v>19</v>
      </c>
      <c r="I87" s="25">
        <f>+I86/I81</f>
        <v>3.7577627096538211</v>
      </c>
    </row>
    <row r="88" spans="2:9" x14ac:dyDescent="0.3">
      <c r="G88" s="4"/>
    </row>
    <row r="89" spans="2:9" x14ac:dyDescent="0.3">
      <c r="G89" s="4"/>
    </row>
    <row r="90" spans="2:9" x14ac:dyDescent="0.3">
      <c r="B90" s="1" t="s">
        <v>264</v>
      </c>
      <c r="C90" s="2"/>
      <c r="D90" s="2"/>
      <c r="E90" s="3"/>
      <c r="F90" s="3"/>
      <c r="G90" s="4"/>
      <c r="H90" s="399" t="s">
        <v>0</v>
      </c>
      <c r="I90" s="399"/>
    </row>
    <row r="91" spans="2:9" x14ac:dyDescent="0.3">
      <c r="B91" s="5" t="s">
        <v>1</v>
      </c>
      <c r="C91" s="6" t="s">
        <v>2</v>
      </c>
      <c r="D91" s="6" t="s">
        <v>3</v>
      </c>
      <c r="E91" s="7" t="s">
        <v>4</v>
      </c>
      <c r="F91" s="7" t="s">
        <v>5</v>
      </c>
      <c r="G91" s="4"/>
      <c r="H91" s="8" t="s">
        <v>6</v>
      </c>
      <c r="I91" s="9">
        <f>SUM(Tabla110345345445545647945586877869510811712713622823724627233260285[Total costo])</f>
        <v>7330</v>
      </c>
    </row>
    <row r="92" spans="2:9" x14ac:dyDescent="0.3">
      <c r="B92" s="10" t="s">
        <v>175</v>
      </c>
      <c r="C92" s="11" t="s">
        <v>11</v>
      </c>
      <c r="D92" s="12">
        <v>1</v>
      </c>
      <c r="E92" s="13">
        <f>+VLOOKUP(Tabla110345345445545647945586877869510811712713622823724627233260285[[#This Row],[Ingrediente]],Tabla34[#All],3,0)</f>
        <v>7330</v>
      </c>
      <c r="F92" s="14">
        <f>+Tabla110345345445545647945586877869510811712713622823724627233260285[[#This Row],[Costo]]*Tabla110345345445545647945586877869510811712713622823724627233260285[[#This Row],[Cant.]]</f>
        <v>7330</v>
      </c>
      <c r="G92" s="4"/>
      <c r="H92" s="8" t="s">
        <v>12</v>
      </c>
      <c r="I92" s="15"/>
    </row>
    <row r="93" spans="2:9" x14ac:dyDescent="0.3">
      <c r="B93" s="16"/>
      <c r="C93" s="17"/>
      <c r="D93" s="17"/>
      <c r="E93" s="18"/>
      <c r="F93" s="18">
        <f>SUBTOTAL(109,Tabla110345345445545647945586877869510811712713622823724627233260285[Total costo])</f>
        <v>7330</v>
      </c>
      <c r="G93" s="4"/>
      <c r="H93" s="8" t="s">
        <v>13</v>
      </c>
      <c r="I93" s="15">
        <f>+I91+I92</f>
        <v>7330</v>
      </c>
    </row>
    <row r="94" spans="2:9" x14ac:dyDescent="0.3">
      <c r="G94" s="4"/>
      <c r="H94" s="20" t="s">
        <v>14</v>
      </c>
      <c r="I94" s="21">
        <v>25000</v>
      </c>
    </row>
    <row r="95" spans="2:9" x14ac:dyDescent="0.3">
      <c r="G95" s="4"/>
      <c r="H95" s="8" t="s">
        <v>15</v>
      </c>
      <c r="I95" s="15">
        <f>+I94/1.08*0.08</f>
        <v>1851.8518518518517</v>
      </c>
    </row>
    <row r="96" spans="2:9" x14ac:dyDescent="0.3">
      <c r="G96" s="4"/>
      <c r="H96" s="8" t="s">
        <v>16</v>
      </c>
      <c r="I96" s="15">
        <f>+I94-I95</f>
        <v>23148.14814814815</v>
      </c>
    </row>
    <row r="97" spans="2:9" x14ac:dyDescent="0.3">
      <c r="G97" s="4"/>
      <c r="H97" s="8" t="s">
        <v>17</v>
      </c>
      <c r="I97" s="22">
        <f>+I93/I96</f>
        <v>0.31665599999999999</v>
      </c>
    </row>
    <row r="98" spans="2:9" x14ac:dyDescent="0.3">
      <c r="H98" s="8" t="s">
        <v>18</v>
      </c>
      <c r="I98" s="23">
        <f>+I96-I93</f>
        <v>15818.14814814815</v>
      </c>
    </row>
    <row r="99" spans="2:9" x14ac:dyDescent="0.3">
      <c r="G99" s="4"/>
      <c r="H99" s="8" t="s">
        <v>19</v>
      </c>
      <c r="I99" s="25">
        <f>+I98/I93</f>
        <v>2.1580011116163913</v>
      </c>
    </row>
    <row r="100" spans="2:9" x14ac:dyDescent="0.3">
      <c r="G100" s="4"/>
    </row>
    <row r="101" spans="2:9" x14ac:dyDescent="0.3">
      <c r="B101" s="1" t="s">
        <v>265</v>
      </c>
      <c r="C101" s="2"/>
      <c r="D101" s="2"/>
      <c r="E101" s="3"/>
      <c r="F101" s="3"/>
      <c r="G101" s="4"/>
      <c r="H101" s="399" t="s">
        <v>0</v>
      </c>
      <c r="I101" s="399"/>
    </row>
    <row r="102" spans="2:9" x14ac:dyDescent="0.3">
      <c r="B102" s="5" t="s">
        <v>1</v>
      </c>
      <c r="C102" s="6" t="s">
        <v>2</v>
      </c>
      <c r="D102" s="6" t="s">
        <v>3</v>
      </c>
      <c r="E102" s="7" t="s">
        <v>4</v>
      </c>
      <c r="F102" s="7" t="s">
        <v>5</v>
      </c>
      <c r="G102" s="4"/>
      <c r="H102" s="8" t="s">
        <v>6</v>
      </c>
      <c r="I102" s="9">
        <f>SUM(Tabla110345345445545647945586877869510811712713622823724627233260286[Total costo])</f>
        <v>7857</v>
      </c>
    </row>
    <row r="103" spans="2:9" x14ac:dyDescent="0.3">
      <c r="B103" s="10" t="s">
        <v>176</v>
      </c>
      <c r="C103" s="11" t="s">
        <v>11</v>
      </c>
      <c r="D103" s="12">
        <v>1</v>
      </c>
      <c r="E103" s="13">
        <f>+VLOOKUP(Tabla110345345445545647945586877869510811712713622823724627233260286[[#This Row],[Ingrediente]],Tabla34[#All],3,0)</f>
        <v>7857</v>
      </c>
      <c r="F103" s="14">
        <f>+Tabla110345345445545647945586877869510811712713622823724627233260286[[#This Row],[Costo]]*Tabla110345345445545647945586877869510811712713622823724627233260286[[#This Row],[Cant.]]</f>
        <v>7857</v>
      </c>
      <c r="G103" s="4"/>
      <c r="H103" s="8" t="s">
        <v>12</v>
      </c>
      <c r="I103" s="15"/>
    </row>
    <row r="104" spans="2:9" x14ac:dyDescent="0.3">
      <c r="B104" s="16"/>
      <c r="C104" s="17"/>
      <c r="D104" s="17"/>
      <c r="E104" s="18"/>
      <c r="F104" s="18">
        <f>SUBTOTAL(109,Tabla110345345445545647945586877869510811712713622823724627233260286[Total costo])</f>
        <v>7857</v>
      </c>
      <c r="G104" s="4"/>
      <c r="H104" s="8" t="s">
        <v>13</v>
      </c>
      <c r="I104" s="15">
        <f>+I102+I103</f>
        <v>7857</v>
      </c>
    </row>
    <row r="105" spans="2:9" x14ac:dyDescent="0.3">
      <c r="G105" s="4"/>
      <c r="H105" s="20" t="s">
        <v>14</v>
      </c>
      <c r="I105" s="21">
        <v>25000</v>
      </c>
    </row>
    <row r="106" spans="2:9" x14ac:dyDescent="0.3">
      <c r="G106" s="4"/>
      <c r="H106" s="8" t="s">
        <v>15</v>
      </c>
      <c r="I106" s="15">
        <f>+I105/1.08*0.08</f>
        <v>1851.8518518518517</v>
      </c>
    </row>
    <row r="107" spans="2:9" x14ac:dyDescent="0.3">
      <c r="G107" s="4"/>
      <c r="H107" s="8" t="s">
        <v>16</v>
      </c>
      <c r="I107" s="15">
        <f>+I105-I106</f>
        <v>23148.14814814815</v>
      </c>
    </row>
    <row r="108" spans="2:9" x14ac:dyDescent="0.3">
      <c r="G108" s="4"/>
      <c r="H108" s="8" t="s">
        <v>17</v>
      </c>
      <c r="I108" s="22">
        <f>+I104/I107</f>
        <v>0.33942239999999996</v>
      </c>
    </row>
    <row r="109" spans="2:9" x14ac:dyDescent="0.3">
      <c r="H109" s="8" t="s">
        <v>18</v>
      </c>
      <c r="I109" s="23">
        <f>+I107-I104</f>
        <v>15291.14814814815</v>
      </c>
    </row>
    <row r="110" spans="2:9" x14ac:dyDescent="0.3">
      <c r="H110" s="8" t="s">
        <v>19</v>
      </c>
      <c r="I110" s="25">
        <f>+I109/I104</f>
        <v>1.9461815130645475</v>
      </c>
    </row>
  </sheetData>
  <mergeCells count="9">
    <mergeCell ref="H6:I6"/>
    <mergeCell ref="H90:I90"/>
    <mergeCell ref="H101:I101"/>
    <mergeCell ref="H19:I19"/>
    <mergeCell ref="H30:I30"/>
    <mergeCell ref="H42:I42"/>
    <mergeCell ref="H54:I54"/>
    <mergeCell ref="H66:I66"/>
    <mergeCell ref="H78:I78"/>
  </mergeCells>
  <conditionalFormatting sqref="I13">
    <cfRule type="cellIs" dxfId="2091" priority="37" operator="lessThan">
      <formula>0.3</formula>
    </cfRule>
    <cfRule type="cellIs" dxfId="2090" priority="38" operator="greaterThan">
      <formula>0.3</formula>
    </cfRule>
  </conditionalFormatting>
  <conditionalFormatting sqref="I26">
    <cfRule type="cellIs" dxfId="2089" priority="1" operator="lessThan">
      <formula>0.3</formula>
    </cfRule>
    <cfRule type="cellIs" dxfId="2088" priority="2" operator="greaterThan">
      <formula>0.3</formula>
    </cfRule>
  </conditionalFormatting>
  <conditionalFormatting sqref="I37">
    <cfRule type="cellIs" dxfId="2087" priority="17" operator="lessThan">
      <formula>0.3</formula>
    </cfRule>
    <cfRule type="cellIs" dxfId="2086" priority="18" operator="greaterThan">
      <formula>0.3</formula>
    </cfRule>
  </conditionalFormatting>
  <conditionalFormatting sqref="I49">
    <cfRule type="cellIs" dxfId="2085" priority="15" operator="lessThan">
      <formula>0.3</formula>
    </cfRule>
    <cfRule type="cellIs" dxfId="2084" priority="16" operator="greaterThan">
      <formula>0.3</formula>
    </cfRule>
  </conditionalFormatting>
  <conditionalFormatting sqref="I61">
    <cfRule type="cellIs" dxfId="2083" priority="13" operator="lessThan">
      <formula>0.3</formula>
    </cfRule>
    <cfRule type="cellIs" dxfId="2082" priority="14" operator="greaterThan">
      <formula>0.3</formula>
    </cfRule>
  </conditionalFormatting>
  <conditionalFormatting sqref="I73">
    <cfRule type="cellIs" dxfId="2081" priority="11" operator="lessThan">
      <formula>0.3</formula>
    </cfRule>
    <cfRule type="cellIs" dxfId="2080" priority="12" operator="greaterThan">
      <formula>0.3</formula>
    </cfRule>
  </conditionalFormatting>
  <conditionalFormatting sqref="I85">
    <cfRule type="cellIs" dxfId="2079" priority="9" operator="lessThan">
      <formula>0.3</formula>
    </cfRule>
    <cfRule type="cellIs" dxfId="2078" priority="10" operator="greaterThan">
      <formula>0.3</formula>
    </cfRule>
  </conditionalFormatting>
  <conditionalFormatting sqref="I97">
    <cfRule type="cellIs" dxfId="2077" priority="7" operator="lessThan">
      <formula>0.3</formula>
    </cfRule>
    <cfRule type="cellIs" dxfId="2076" priority="8" operator="greaterThan">
      <formula>0.3</formula>
    </cfRule>
  </conditionalFormatting>
  <conditionalFormatting sqref="I108">
    <cfRule type="cellIs" dxfId="2075" priority="5" operator="lessThan">
      <formula>0.3</formula>
    </cfRule>
    <cfRule type="cellIs" dxfId="2074" priority="6" operator="greaterThan">
      <formula>0.3</formula>
    </cfRule>
  </conditionalFormatting>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D781-F31C-40B1-BA36-145E2F467BC7}">
  <dimension ref="A6:I65"/>
  <sheetViews>
    <sheetView showGridLines="0" topLeftCell="B46" zoomScale="80" zoomScaleNormal="80" workbookViewId="0">
      <selection activeCell="I60" sqref="I60"/>
    </sheetView>
  </sheetViews>
  <sheetFormatPr baseColWidth="10" defaultColWidth="10.88671875" defaultRowHeight="13.2" x14ac:dyDescent="0.25"/>
  <cols>
    <col min="1" max="1" width="4" style="40" hidden="1" customWidth="1"/>
    <col min="2" max="2" width="41.88671875" style="40" bestFit="1" customWidth="1"/>
    <col min="3" max="3" width="10.33203125" style="40" bestFit="1" customWidth="1"/>
    <col min="4" max="4" width="8.5546875" style="40" customWidth="1"/>
    <col min="5" max="5" width="9.44140625" style="40" customWidth="1"/>
    <col min="6" max="6" width="17.44140625" style="40" bestFit="1" customWidth="1"/>
    <col min="7" max="7" width="3.33203125" style="40" customWidth="1"/>
    <col min="8" max="8" width="26.109375" style="40" bestFit="1" customWidth="1"/>
    <col min="9" max="16384" width="10.88671875" style="40"/>
  </cols>
  <sheetData>
    <row r="6" spans="2:9" x14ac:dyDescent="0.25">
      <c r="B6" s="1" t="s">
        <v>440</v>
      </c>
      <c r="C6" s="2"/>
      <c r="D6" s="2"/>
      <c r="E6" s="3"/>
      <c r="F6" s="3"/>
      <c r="G6" s="4"/>
      <c r="H6" s="399" t="s">
        <v>0</v>
      </c>
      <c r="I6" s="399"/>
    </row>
    <row r="7" spans="2:9" x14ac:dyDescent="0.25">
      <c r="B7" s="5" t="s">
        <v>1</v>
      </c>
      <c r="C7" s="6" t="s">
        <v>2</v>
      </c>
      <c r="D7" s="6" t="s">
        <v>3</v>
      </c>
      <c r="E7" s="7" t="s">
        <v>4</v>
      </c>
      <c r="F7" s="7" t="s">
        <v>5</v>
      </c>
      <c r="G7" s="4"/>
      <c r="H7" s="8" t="s">
        <v>6</v>
      </c>
      <c r="I7" s="9">
        <f>+Tabla110345345445545647945586877869510811712713622823724627233260269297315316384392394396416418302317[[#Totals],[Total costo]]</f>
        <v>5133.6666666700003</v>
      </c>
    </row>
    <row r="8" spans="2:9" x14ac:dyDescent="0.25">
      <c r="B8" s="51" t="s">
        <v>95</v>
      </c>
      <c r="C8" s="11" t="s">
        <v>11</v>
      </c>
      <c r="D8" s="12">
        <v>1</v>
      </c>
      <c r="E8" s="13">
        <f>+VLOOKUP(Tabla110345345445545647945586877869510811712713622823724627233260269297315316384392394396416418302317[[#This Row],[Ingrediente]],Tabla34[#All],3,0)</f>
        <v>5133.6666666700003</v>
      </c>
      <c r="F8" s="14">
        <f>+Tabla110345345445545647945586877869510811712713622823724627233260269297315316384392394396416418302317[[#This Row],[Costo]]*Tabla110345345445545647945586877869510811712713622823724627233260269297315316384392394396416418302317[[#This Row],[Cant.]]</f>
        <v>5133.6666666700003</v>
      </c>
      <c r="G8" s="4"/>
      <c r="H8" s="8" t="s">
        <v>372</v>
      </c>
      <c r="I8" s="15"/>
    </row>
    <row r="9" spans="2:9" x14ac:dyDescent="0.25">
      <c r="B9" s="16"/>
      <c r="C9" s="17"/>
      <c r="D9" s="17"/>
      <c r="E9" s="18"/>
      <c r="F9" s="18">
        <f>SUBTOTAL(109,Tabla110345345445545647945586877869510811712713622823724627233260269297315316384392394396416418302317[Total costo])</f>
        <v>5133.6666666700003</v>
      </c>
      <c r="G9" s="4"/>
      <c r="H9" s="8" t="s">
        <v>13</v>
      </c>
      <c r="I9" s="15">
        <f>+I7+I8</f>
        <v>5133.6666666700003</v>
      </c>
    </row>
    <row r="10" spans="2:9" x14ac:dyDescent="0.25">
      <c r="G10" s="4"/>
      <c r="H10" s="20" t="s">
        <v>14</v>
      </c>
      <c r="I10" s="21">
        <v>16000</v>
      </c>
    </row>
    <row r="11" spans="2:9" x14ac:dyDescent="0.25">
      <c r="G11" s="4"/>
      <c r="H11" s="8" t="s">
        <v>15</v>
      </c>
      <c r="I11" s="15">
        <f>+I10/1.08*0.08</f>
        <v>1185.1851851851852</v>
      </c>
    </row>
    <row r="12" spans="2:9" x14ac:dyDescent="0.25">
      <c r="H12" s="8" t="s">
        <v>16</v>
      </c>
      <c r="I12" s="15">
        <f>+I10-I11</f>
        <v>14814.814814814814</v>
      </c>
    </row>
    <row r="13" spans="2:9" x14ac:dyDescent="0.25">
      <c r="H13" s="8" t="s">
        <v>17</v>
      </c>
      <c r="I13" s="41">
        <f>+I9/I12</f>
        <v>0.34652250000022505</v>
      </c>
    </row>
    <row r="14" spans="2:9" x14ac:dyDescent="0.25">
      <c r="H14" s="8" t="s">
        <v>18</v>
      </c>
      <c r="I14" s="42">
        <f>+I12-I9</f>
        <v>9681.1481481448136</v>
      </c>
    </row>
    <row r="15" spans="2:9" x14ac:dyDescent="0.25">
      <c r="H15" s="8" t="s">
        <v>19</v>
      </c>
      <c r="I15" s="43">
        <f>+I14/I9</f>
        <v>1.8858154953844284</v>
      </c>
    </row>
    <row r="19" spans="2:9" x14ac:dyDescent="0.25">
      <c r="B19" s="1" t="s">
        <v>441</v>
      </c>
      <c r="C19" s="2"/>
      <c r="D19" s="2"/>
      <c r="E19" s="3"/>
      <c r="F19" s="3"/>
      <c r="G19" s="4"/>
      <c r="H19" s="399" t="s">
        <v>0</v>
      </c>
      <c r="I19" s="399"/>
    </row>
    <row r="20" spans="2:9" x14ac:dyDescent="0.25">
      <c r="B20" s="5" t="s">
        <v>1</v>
      </c>
      <c r="C20" s="6" t="s">
        <v>2</v>
      </c>
      <c r="D20" s="6" t="s">
        <v>3</v>
      </c>
      <c r="E20" s="7" t="s">
        <v>4</v>
      </c>
      <c r="F20" s="7" t="s">
        <v>5</v>
      </c>
      <c r="G20" s="4"/>
      <c r="H20" s="8" t="s">
        <v>6</v>
      </c>
      <c r="I20" s="9">
        <f>+Tabla110345345445545647945586877869510811712713622823724627233260269297315316384392394396416418302317320[[#Totals],[Total costo]]</f>
        <v>4986</v>
      </c>
    </row>
    <row r="21" spans="2:9" x14ac:dyDescent="0.25">
      <c r="B21" s="51" t="s">
        <v>96</v>
      </c>
      <c r="C21" s="11" t="s">
        <v>11</v>
      </c>
      <c r="D21" s="12">
        <v>1</v>
      </c>
      <c r="E21" s="13">
        <f>+VLOOKUP(Tabla110345345445545647945586877869510811712713622823724627233260269297315316384392394396416418302317320[[#This Row],[Ingrediente]],Tabla34[#All],3,0)</f>
        <v>4986</v>
      </c>
      <c r="F21" s="14">
        <f>+Tabla110345345445545647945586877869510811712713622823724627233260269297315316384392394396416418302317320[[#This Row],[Costo]]*Tabla110345345445545647945586877869510811712713622823724627233260269297315316384392394396416418302317320[[#This Row],[Cant.]]</f>
        <v>4986</v>
      </c>
      <c r="G21" s="4"/>
      <c r="H21" s="8" t="s">
        <v>372</v>
      </c>
      <c r="I21" s="15"/>
    </row>
    <row r="22" spans="2:9" x14ac:dyDescent="0.25">
      <c r="B22" s="16"/>
      <c r="C22" s="17"/>
      <c r="D22" s="17"/>
      <c r="E22" s="18"/>
      <c r="F22" s="18">
        <f>SUBTOTAL(109,Tabla110345345445545647945586877869510811712713622823724627233260269297315316384392394396416418302317320[Total costo])</f>
        <v>4986</v>
      </c>
      <c r="G22" s="4"/>
      <c r="H22" s="8" t="s">
        <v>13</v>
      </c>
      <c r="I22" s="15">
        <f>+I20+I21</f>
        <v>4986</v>
      </c>
    </row>
    <row r="23" spans="2:9" x14ac:dyDescent="0.25">
      <c r="G23" s="4"/>
      <c r="H23" s="20" t="s">
        <v>14</v>
      </c>
      <c r="I23" s="21">
        <v>16000</v>
      </c>
    </row>
    <row r="24" spans="2:9" x14ac:dyDescent="0.25">
      <c r="G24" s="4"/>
      <c r="H24" s="8" t="s">
        <v>15</v>
      </c>
      <c r="I24" s="15">
        <f>+I23/1.08*0.08</f>
        <v>1185.1851851851852</v>
      </c>
    </row>
    <row r="25" spans="2:9" x14ac:dyDescent="0.25">
      <c r="H25" s="8" t="s">
        <v>16</v>
      </c>
      <c r="I25" s="15">
        <f>+I23-I24</f>
        <v>14814.814814814814</v>
      </c>
    </row>
    <row r="26" spans="2:9" x14ac:dyDescent="0.25">
      <c r="H26" s="8" t="s">
        <v>17</v>
      </c>
      <c r="I26" s="41">
        <f>+I22/I25</f>
        <v>0.33655500000000005</v>
      </c>
    </row>
    <row r="27" spans="2:9" x14ac:dyDescent="0.25">
      <c r="H27" s="8" t="s">
        <v>18</v>
      </c>
      <c r="I27" s="42">
        <f>+I25-I22</f>
        <v>9828.8148148148139</v>
      </c>
    </row>
    <row r="28" spans="2:9" x14ac:dyDescent="0.25">
      <c r="H28" s="8" t="s">
        <v>19</v>
      </c>
      <c r="I28" s="43">
        <f>+I27/I22</f>
        <v>1.9712825541144834</v>
      </c>
    </row>
    <row r="31" spans="2:9" x14ac:dyDescent="0.25">
      <c r="B31" s="1" t="s">
        <v>442</v>
      </c>
      <c r="C31" s="2"/>
      <c r="D31" s="2"/>
      <c r="E31" s="3"/>
      <c r="F31" s="3"/>
      <c r="G31" s="4"/>
      <c r="H31" s="399" t="s">
        <v>0</v>
      </c>
      <c r="I31" s="399"/>
    </row>
    <row r="32" spans="2:9" x14ac:dyDescent="0.25">
      <c r="B32" s="5" t="s">
        <v>1</v>
      </c>
      <c r="C32" s="6" t="s">
        <v>2</v>
      </c>
      <c r="D32" s="6" t="s">
        <v>3</v>
      </c>
      <c r="E32" s="7" t="s">
        <v>4</v>
      </c>
      <c r="F32" s="7" t="s">
        <v>5</v>
      </c>
      <c r="G32" s="4"/>
      <c r="H32" s="8" t="s">
        <v>6</v>
      </c>
      <c r="I32" s="9">
        <f>+Tabla110345345445545647945586877869510811712713622823724627233260269297315316384392394396416418302317322[[#Totals],[Total costo]]</f>
        <v>5132.75</v>
      </c>
    </row>
    <row r="33" spans="2:9" x14ac:dyDescent="0.25">
      <c r="B33" s="51" t="s">
        <v>177</v>
      </c>
      <c r="C33" s="11" t="s">
        <v>11</v>
      </c>
      <c r="D33" s="12">
        <v>1</v>
      </c>
      <c r="E33" s="13">
        <f>+VLOOKUP(Tabla110345345445545647945586877869510811712713622823724627233260269297315316384392394396416418302317322[[#This Row],[Ingrediente]],Tabla34[#All],3,0)</f>
        <v>5132.75</v>
      </c>
      <c r="F33" s="14">
        <f>+Tabla110345345445545647945586877869510811712713622823724627233260269297315316384392394396416418302317322[[#This Row],[Costo]]*Tabla110345345445545647945586877869510811712713622823724627233260269297315316384392394396416418302317322[[#This Row],[Cant.]]</f>
        <v>5132.75</v>
      </c>
      <c r="G33" s="4"/>
      <c r="H33" s="8" t="s">
        <v>372</v>
      </c>
      <c r="I33" s="15"/>
    </row>
    <row r="34" spans="2:9" x14ac:dyDescent="0.25">
      <c r="B34" s="16"/>
      <c r="C34" s="17"/>
      <c r="D34" s="17"/>
      <c r="E34" s="18"/>
      <c r="F34" s="18">
        <f>SUBTOTAL(109,Tabla110345345445545647945586877869510811712713622823724627233260269297315316384392394396416418302317322[Total costo])</f>
        <v>5132.75</v>
      </c>
      <c r="G34" s="4"/>
      <c r="H34" s="8" t="s">
        <v>13</v>
      </c>
      <c r="I34" s="15">
        <f>+I32+I33</f>
        <v>5132.75</v>
      </c>
    </row>
    <row r="35" spans="2:9" x14ac:dyDescent="0.25">
      <c r="G35" s="4"/>
      <c r="H35" s="20" t="s">
        <v>14</v>
      </c>
      <c r="I35" s="21">
        <v>16000</v>
      </c>
    </row>
    <row r="36" spans="2:9" x14ac:dyDescent="0.25">
      <c r="G36" s="4"/>
      <c r="H36" s="8" t="s">
        <v>15</v>
      </c>
      <c r="I36" s="15">
        <f>+I35/1.08*0.08</f>
        <v>1185.1851851851852</v>
      </c>
    </row>
    <row r="37" spans="2:9" x14ac:dyDescent="0.25">
      <c r="H37" s="8" t="s">
        <v>16</v>
      </c>
      <c r="I37" s="15">
        <f>+I35-I36</f>
        <v>14814.814814814814</v>
      </c>
    </row>
    <row r="38" spans="2:9" x14ac:dyDescent="0.25">
      <c r="H38" s="8" t="s">
        <v>17</v>
      </c>
      <c r="I38" s="41">
        <f>+I34/I37</f>
        <v>0.34646062500000002</v>
      </c>
    </row>
    <row r="39" spans="2:9" x14ac:dyDescent="0.25">
      <c r="H39" s="8" t="s">
        <v>18</v>
      </c>
      <c r="I39" s="42">
        <f>+I37-I34</f>
        <v>9682.0648148148139</v>
      </c>
    </row>
    <row r="40" spans="2:9" x14ac:dyDescent="0.25">
      <c r="H40" s="8" t="s">
        <v>19</v>
      </c>
      <c r="I40" s="43">
        <f>+I39/I34</f>
        <v>1.8863308781481298</v>
      </c>
    </row>
    <row r="44" spans="2:9" x14ac:dyDescent="0.25">
      <c r="B44" s="1" t="s">
        <v>585</v>
      </c>
      <c r="C44" s="2"/>
      <c r="D44" s="2"/>
      <c r="E44" s="3"/>
      <c r="F44" s="3"/>
      <c r="G44" s="4"/>
      <c r="H44" s="399" t="s">
        <v>0</v>
      </c>
      <c r="I44" s="399"/>
    </row>
    <row r="45" spans="2:9" x14ac:dyDescent="0.25">
      <c r="B45" s="5" t="s">
        <v>1</v>
      </c>
      <c r="C45" s="6" t="s">
        <v>2</v>
      </c>
      <c r="D45" s="6" t="s">
        <v>3</v>
      </c>
      <c r="E45" s="7" t="s">
        <v>4</v>
      </c>
      <c r="F45" s="7" t="s">
        <v>5</v>
      </c>
      <c r="G45" s="4"/>
      <c r="H45" s="8" t="s">
        <v>6</v>
      </c>
      <c r="I45" s="9">
        <f>+Tabla110345345445545647945586877869510811712713622823724627233260269297315316384392394396416418302317322484[[#Totals],[Total costo]]</f>
        <v>5023</v>
      </c>
    </row>
    <row r="46" spans="2:9" x14ac:dyDescent="0.25">
      <c r="B46" s="51" t="s">
        <v>568</v>
      </c>
      <c r="C46" s="11" t="s">
        <v>11</v>
      </c>
      <c r="D46" s="12">
        <v>1</v>
      </c>
      <c r="E46" s="13">
        <f>+VLOOKUP(Tabla110345345445545647945586877869510811712713622823724627233260269297315316384392394396416418302317322484[[#This Row],[Ingrediente]],Tabla34[#All],3,0)</f>
        <v>5023</v>
      </c>
      <c r="F46" s="14">
        <f>+Tabla110345345445545647945586877869510811712713622823724627233260269297315316384392394396416418302317322484[[#This Row],[Costo]]*Tabla110345345445545647945586877869510811712713622823724627233260269297315316384392394396416418302317322484[[#This Row],[Cant.]]</f>
        <v>5023</v>
      </c>
      <c r="G46" s="4"/>
      <c r="H46" s="8" t="s">
        <v>372</v>
      </c>
      <c r="I46" s="15"/>
    </row>
    <row r="47" spans="2:9" x14ac:dyDescent="0.25">
      <c r="B47" s="16"/>
      <c r="C47" s="17"/>
      <c r="D47" s="17"/>
      <c r="E47" s="18"/>
      <c r="F47" s="18">
        <f>SUBTOTAL(109,Tabla110345345445545647945586877869510811712713622823724627233260269297315316384392394396416418302317322484[Total costo])</f>
        <v>5023</v>
      </c>
      <c r="G47" s="4"/>
      <c r="H47" s="8" t="s">
        <v>13</v>
      </c>
      <c r="I47" s="15">
        <f>+I45+I46</f>
        <v>5023</v>
      </c>
    </row>
    <row r="48" spans="2:9" x14ac:dyDescent="0.25">
      <c r="G48" s="4"/>
      <c r="H48" s="20" t="s">
        <v>14</v>
      </c>
      <c r="I48" s="21">
        <v>16000</v>
      </c>
    </row>
    <row r="49" spans="2:9" x14ac:dyDescent="0.25">
      <c r="G49" s="4"/>
      <c r="H49" s="8" t="s">
        <v>15</v>
      </c>
      <c r="I49" s="15">
        <f>+I48/1.08*0.08</f>
        <v>1185.1851851851852</v>
      </c>
    </row>
    <row r="50" spans="2:9" x14ac:dyDescent="0.25">
      <c r="H50" s="8" t="s">
        <v>16</v>
      </c>
      <c r="I50" s="15">
        <f>+I48-I49</f>
        <v>14814.814814814814</v>
      </c>
    </row>
    <row r="51" spans="2:9" x14ac:dyDescent="0.25">
      <c r="H51" s="8" t="s">
        <v>17</v>
      </c>
      <c r="I51" s="41">
        <f>+I47/I50</f>
        <v>0.33905250000000003</v>
      </c>
    </row>
    <row r="52" spans="2:9" x14ac:dyDescent="0.25">
      <c r="H52" s="8" t="s">
        <v>18</v>
      </c>
      <c r="I52" s="42">
        <f>+I50-I47</f>
        <v>9791.8148148148139</v>
      </c>
    </row>
    <row r="53" spans="2:9" x14ac:dyDescent="0.25">
      <c r="H53" s="8" t="s">
        <v>19</v>
      </c>
      <c r="I53" s="43">
        <f>+I52/I47</f>
        <v>1.9493957425472455</v>
      </c>
    </row>
    <row r="56" spans="2:9" x14ac:dyDescent="0.25">
      <c r="B56" s="1" t="s">
        <v>586</v>
      </c>
      <c r="C56" s="2"/>
      <c r="D56" s="2"/>
      <c r="E56" s="3"/>
      <c r="F56" s="3"/>
      <c r="G56" s="4"/>
      <c r="H56" s="399" t="s">
        <v>0</v>
      </c>
      <c r="I56" s="399"/>
    </row>
    <row r="57" spans="2:9" x14ac:dyDescent="0.25">
      <c r="B57" s="5" t="s">
        <v>1</v>
      </c>
      <c r="C57" s="6" t="s">
        <v>2</v>
      </c>
      <c r="D57" s="6" t="s">
        <v>3</v>
      </c>
      <c r="E57" s="7" t="s">
        <v>4</v>
      </c>
      <c r="F57" s="7" t="s">
        <v>5</v>
      </c>
      <c r="G57" s="4"/>
      <c r="H57" s="8" t="s">
        <v>6</v>
      </c>
      <c r="I57" s="9">
        <f>+Tabla110345345445545647945586877869510811712713622823724627233260269297315316384392394396416418302317322484485[[#Totals],[Total costo]]</f>
        <v>4986.1393557499996</v>
      </c>
    </row>
    <row r="58" spans="2:9" x14ac:dyDescent="0.25">
      <c r="B58" s="51" t="s">
        <v>707</v>
      </c>
      <c r="C58" s="11" t="s">
        <v>11</v>
      </c>
      <c r="D58" s="12">
        <v>1</v>
      </c>
      <c r="E58" s="13">
        <f>+VLOOKUP(Tabla110345345445545647945586877869510811712713622823724627233260269297315316384392394396416418302317322484485[[#This Row],[Ingrediente]],Tabla34[#All],3,0)</f>
        <v>4986.1393557499996</v>
      </c>
      <c r="F58" s="14">
        <f>+Tabla110345345445545647945586877869510811712713622823724627233260269297315316384392394396416418302317322484485[[#This Row],[Costo]]*Tabla110345345445545647945586877869510811712713622823724627233260269297315316384392394396416418302317322484485[[#This Row],[Cant.]]</f>
        <v>4986.1393557499996</v>
      </c>
      <c r="G58" s="4"/>
      <c r="H58" s="8" t="s">
        <v>372</v>
      </c>
      <c r="I58" s="15"/>
    </row>
    <row r="59" spans="2:9" x14ac:dyDescent="0.25">
      <c r="B59" s="16"/>
      <c r="C59" s="17"/>
      <c r="D59" s="17"/>
      <c r="E59" s="18"/>
      <c r="F59" s="18">
        <f>SUBTOTAL(109,Tabla110345345445545647945586877869510811712713622823724627233260269297315316384392394396416418302317322484485[Total costo])</f>
        <v>4986.1393557499996</v>
      </c>
      <c r="G59" s="4"/>
      <c r="H59" s="8" t="s">
        <v>13</v>
      </c>
      <c r="I59" s="15">
        <f>+I57+I58</f>
        <v>4986.1393557499996</v>
      </c>
    </row>
    <row r="60" spans="2:9" x14ac:dyDescent="0.25">
      <c r="G60" s="4"/>
      <c r="H60" s="20" t="s">
        <v>14</v>
      </c>
      <c r="I60" s="21">
        <v>16000</v>
      </c>
    </row>
    <row r="61" spans="2:9" x14ac:dyDescent="0.25">
      <c r="G61" s="4"/>
      <c r="H61" s="8" t="s">
        <v>15</v>
      </c>
      <c r="I61" s="15">
        <f>+I60/1.08*0.08</f>
        <v>1185.1851851851852</v>
      </c>
    </row>
    <row r="62" spans="2:9" x14ac:dyDescent="0.25">
      <c r="H62" s="8" t="s">
        <v>16</v>
      </c>
      <c r="I62" s="15">
        <f>+I60-I61</f>
        <v>14814.814814814814</v>
      </c>
    </row>
    <row r="63" spans="2:9" x14ac:dyDescent="0.25">
      <c r="H63" s="8" t="s">
        <v>17</v>
      </c>
      <c r="I63" s="41">
        <f>+I59/I62</f>
        <v>0.33656440651312497</v>
      </c>
    </row>
    <row r="64" spans="2:9" x14ac:dyDescent="0.25">
      <c r="H64" s="8" t="s">
        <v>18</v>
      </c>
      <c r="I64" s="42">
        <f>+I62-I59</f>
        <v>9828.6754590648143</v>
      </c>
    </row>
    <row r="65" spans="8:9" x14ac:dyDescent="0.25">
      <c r="H65" s="8" t="s">
        <v>19</v>
      </c>
      <c r="I65" s="43">
        <f>+I64/I59</f>
        <v>1.9711995108460854</v>
      </c>
    </row>
  </sheetData>
  <mergeCells count="5">
    <mergeCell ref="H6:I6"/>
    <mergeCell ref="H19:I19"/>
    <mergeCell ref="H31:I31"/>
    <mergeCell ref="H44:I44"/>
    <mergeCell ref="H56:I56"/>
  </mergeCells>
  <conditionalFormatting sqref="I13">
    <cfRule type="cellIs" dxfId="2073" priority="11" operator="lessThan">
      <formula>0.3</formula>
    </cfRule>
    <cfRule type="cellIs" dxfId="2072" priority="12" operator="greaterThan">
      <formula>0.3</formula>
    </cfRule>
  </conditionalFormatting>
  <conditionalFormatting sqref="I26">
    <cfRule type="cellIs" dxfId="2071" priority="9" operator="lessThan">
      <formula>0.3</formula>
    </cfRule>
    <cfRule type="cellIs" dxfId="2070" priority="10" operator="greaterThan">
      <formula>0.3</formula>
    </cfRule>
  </conditionalFormatting>
  <conditionalFormatting sqref="I38">
    <cfRule type="cellIs" dxfId="2069" priority="7" operator="lessThan">
      <formula>0.3</formula>
    </cfRule>
    <cfRule type="cellIs" dxfId="2068" priority="8" operator="greaterThan">
      <formula>0.3</formula>
    </cfRule>
  </conditionalFormatting>
  <conditionalFormatting sqref="I51">
    <cfRule type="cellIs" dxfId="2067" priority="5" operator="lessThan">
      <formula>0.3</formula>
    </cfRule>
    <cfRule type="cellIs" dxfId="2066" priority="6" operator="greaterThan">
      <formula>0.3</formula>
    </cfRule>
  </conditionalFormatting>
  <conditionalFormatting sqref="I63">
    <cfRule type="cellIs" dxfId="2065" priority="3" operator="lessThan">
      <formula>0.3</formula>
    </cfRule>
    <cfRule type="cellIs" dxfId="2064" priority="4" operator="greaterThan">
      <formula>0.3</formula>
    </cfRule>
  </conditionalFormatting>
  <pageMargins left="0.7" right="0.7" top="0.75" bottom="0.75" header="0.3" footer="0.3"/>
  <drawing r:id="rId1"/>
  <tableParts count="5">
    <tablePart r:id="rId2"/>
    <tablePart r:id="rId3"/>
    <tablePart r:id="rId4"/>
    <tablePart r:id="rId5"/>
    <tablePart r:id="rId6"/>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2244-34F6-4C9D-8586-78179E5F8E17}">
  <dimension ref="B6:I93"/>
  <sheetViews>
    <sheetView showGridLines="0" topLeftCell="A7" zoomScale="98" zoomScaleNormal="98" workbookViewId="0">
      <selection activeCell="B29" sqref="B29"/>
    </sheetView>
  </sheetViews>
  <sheetFormatPr baseColWidth="10" defaultColWidth="10.88671875" defaultRowHeight="13.2" x14ac:dyDescent="0.25"/>
  <cols>
    <col min="1" max="1" width="4" style="40" customWidth="1"/>
    <col min="2" max="2" width="45.44140625" style="40" bestFit="1" customWidth="1"/>
    <col min="3" max="3" width="8.6640625" style="40" customWidth="1"/>
    <col min="4" max="4" width="8.5546875" style="40" customWidth="1"/>
    <col min="5" max="5" width="12.44140625" style="40" bestFit="1" customWidth="1"/>
    <col min="6" max="6" width="10.88671875" style="40" customWidth="1"/>
    <col min="7" max="7" width="3.33203125" style="40" customWidth="1"/>
    <col min="8" max="8" width="20.33203125" style="40" customWidth="1"/>
    <col min="9" max="9" width="10.88671875" style="40"/>
    <col min="10" max="10" width="2.6640625" style="40" customWidth="1"/>
    <col min="11" max="16384" width="10.88671875" style="40"/>
  </cols>
  <sheetData>
    <row r="6" spans="2:9" x14ac:dyDescent="0.25">
      <c r="B6" s="19" t="s">
        <v>433</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SUM(Tabla110345345445545647945586877869510811712713622823724627233260269297315316384392394396416418426428458[Total costo])</f>
        <v>80870</v>
      </c>
    </row>
    <row r="8" spans="2:9" x14ac:dyDescent="0.25">
      <c r="B8" s="10" t="s">
        <v>781</v>
      </c>
      <c r="C8" s="11" t="s">
        <v>11</v>
      </c>
      <c r="D8" s="12">
        <v>1</v>
      </c>
      <c r="E8" s="13">
        <f>+VLOOKUP(Tabla110345345445545647945586877869510811712713622823724627233260269297315316384392394396416418426428458[[#This Row],[Ingrediente]],Tabla34[#All],3,0)</f>
        <v>80870</v>
      </c>
      <c r="F8" s="14">
        <f>+Tabla110345345445545647945586877869510811712713622823724627233260269297315316384392394396416418426428458[[#This Row],[Costo]]*Tabla110345345445545647945586877869510811712713622823724627233260269297315316384392394396416418426428458[[#This Row],[Cant.]]</f>
        <v>80870</v>
      </c>
      <c r="G8" s="4"/>
      <c r="H8" s="8" t="s">
        <v>372</v>
      </c>
      <c r="I8" s="15"/>
    </row>
    <row r="9" spans="2:9" x14ac:dyDescent="0.25">
      <c r="B9" s="16"/>
      <c r="C9" s="17"/>
      <c r="D9" s="17"/>
      <c r="E9" s="18"/>
      <c r="F9" s="18">
        <f>SUBTOTAL(109,Tabla110345345445545647945586877869510811712713622823724627233260269297315316384392394396416418426428458[Total costo])</f>
        <v>80870</v>
      </c>
      <c r="G9" s="4"/>
      <c r="H9" s="8" t="s">
        <v>13</v>
      </c>
      <c r="I9" s="15">
        <f>+I7+I8</f>
        <v>80870</v>
      </c>
    </row>
    <row r="10" spans="2:9" x14ac:dyDescent="0.25">
      <c r="G10" s="4"/>
      <c r="H10" s="20" t="s">
        <v>14</v>
      </c>
      <c r="I10" s="21">
        <v>184000</v>
      </c>
    </row>
    <row r="11" spans="2:9" x14ac:dyDescent="0.25">
      <c r="G11" s="4"/>
      <c r="H11" s="8" t="s">
        <v>15</v>
      </c>
      <c r="I11" s="15">
        <f>+I10/1.08*0.08</f>
        <v>13629.62962962963</v>
      </c>
    </row>
    <row r="12" spans="2:9" x14ac:dyDescent="0.25">
      <c r="G12" s="4"/>
      <c r="H12" s="8" t="s">
        <v>16</v>
      </c>
      <c r="I12" s="15">
        <f>+I10-I11</f>
        <v>170370.37037037036</v>
      </c>
    </row>
    <row r="13" spans="2:9" x14ac:dyDescent="0.25">
      <c r="G13" s="4"/>
      <c r="H13" s="8" t="s">
        <v>17</v>
      </c>
      <c r="I13" s="41">
        <f>+I9/I12</f>
        <v>0.47467173913043481</v>
      </c>
    </row>
    <row r="14" spans="2:9" x14ac:dyDescent="0.25">
      <c r="G14" s="4"/>
      <c r="H14" s="8" t="s">
        <v>18</v>
      </c>
      <c r="I14" s="42">
        <f>+I12-I9</f>
        <v>89500.370370370365</v>
      </c>
    </row>
    <row r="15" spans="2:9" x14ac:dyDescent="0.25">
      <c r="G15" s="4"/>
      <c r="H15" s="8" t="s">
        <v>19</v>
      </c>
      <c r="I15" s="43">
        <f>+I14/I9</f>
        <v>1.1067190598537204</v>
      </c>
    </row>
    <row r="22" spans="2:9" x14ac:dyDescent="0.25">
      <c r="B22" s="19" t="s">
        <v>434</v>
      </c>
      <c r="C22" s="2"/>
      <c r="D22" s="2"/>
      <c r="E22" s="3"/>
      <c r="F22" s="3"/>
      <c r="G22" s="4"/>
      <c r="H22" s="399" t="s">
        <v>0</v>
      </c>
      <c r="I22" s="399"/>
    </row>
    <row r="23" spans="2:9" x14ac:dyDescent="0.25">
      <c r="B23" s="5" t="s">
        <v>1</v>
      </c>
      <c r="C23" s="6" t="s">
        <v>2</v>
      </c>
      <c r="D23" s="6" t="s">
        <v>3</v>
      </c>
      <c r="E23" s="7" t="s">
        <v>4</v>
      </c>
      <c r="F23" s="7" t="s">
        <v>5</v>
      </c>
      <c r="G23" s="4"/>
      <c r="H23" s="8" t="s">
        <v>6</v>
      </c>
      <c r="I23" s="9">
        <f>SUM(Tabla110345345445545647945586877869510811712713622823724627233260269297315316384392394396416418426428458236[Total costo])</f>
        <v>80870</v>
      </c>
    </row>
    <row r="24" spans="2:9" x14ac:dyDescent="0.25">
      <c r="B24" s="10" t="s">
        <v>942</v>
      </c>
      <c r="C24" s="11" t="s">
        <v>11</v>
      </c>
      <c r="D24" s="12">
        <v>1</v>
      </c>
      <c r="E24" s="13">
        <f>+VLOOKUP(Tabla110345345445545647945586877869510811712713622823724627233260269297315316384392394396416418426428458236[[#This Row],[Ingrediente]],Tabla34[#All],3,0)</f>
        <v>80870</v>
      </c>
      <c r="F24" s="14">
        <f>+Tabla110345345445545647945586877869510811712713622823724627233260269297315316384392394396416418426428458236[[#This Row],[Costo]]*Tabla110345345445545647945586877869510811712713622823724627233260269297315316384392394396416418426428458236[[#This Row],[Cant.]]</f>
        <v>80870</v>
      </c>
      <c r="G24" s="4"/>
      <c r="H24" s="8" t="s">
        <v>372</v>
      </c>
      <c r="I24" s="15"/>
    </row>
    <row r="25" spans="2:9" x14ac:dyDescent="0.25">
      <c r="B25" s="16"/>
      <c r="C25" s="17"/>
      <c r="D25" s="17"/>
      <c r="E25" s="18"/>
      <c r="F25" s="18">
        <f>SUBTOTAL(109,Tabla110345345445545647945586877869510811712713622823724627233260269297315316384392394396416418426428458236[Total costo])</f>
        <v>80870</v>
      </c>
      <c r="G25" s="4"/>
      <c r="H25" s="8" t="s">
        <v>13</v>
      </c>
      <c r="I25" s="15">
        <f>+I23+I24</f>
        <v>80870</v>
      </c>
    </row>
    <row r="26" spans="2:9" x14ac:dyDescent="0.25">
      <c r="G26" s="4"/>
      <c r="H26" s="20" t="s">
        <v>14</v>
      </c>
      <c r="I26" s="21">
        <v>184000</v>
      </c>
    </row>
    <row r="27" spans="2:9" x14ac:dyDescent="0.25">
      <c r="G27" s="4"/>
      <c r="H27" s="8" t="s">
        <v>15</v>
      </c>
      <c r="I27" s="15">
        <f>+I26/1.08*0.08</f>
        <v>13629.62962962963</v>
      </c>
    </row>
    <row r="28" spans="2:9" x14ac:dyDescent="0.25">
      <c r="G28" s="4"/>
      <c r="H28" s="8" t="s">
        <v>16</v>
      </c>
      <c r="I28" s="15">
        <f>+I26-I27</f>
        <v>170370.37037037036</v>
      </c>
    </row>
    <row r="29" spans="2:9" x14ac:dyDescent="0.25">
      <c r="G29" s="4"/>
      <c r="H29" s="8" t="s">
        <v>17</v>
      </c>
      <c r="I29" s="41">
        <f>+I25/I28</f>
        <v>0.47467173913043481</v>
      </c>
    </row>
    <row r="30" spans="2:9" x14ac:dyDescent="0.25">
      <c r="G30" s="4"/>
      <c r="H30" s="8" t="s">
        <v>18</v>
      </c>
      <c r="I30" s="42">
        <f>+I28-I25</f>
        <v>89500.370370370365</v>
      </c>
    </row>
    <row r="31" spans="2:9" x14ac:dyDescent="0.25">
      <c r="G31" s="4"/>
      <c r="H31" s="8" t="s">
        <v>19</v>
      </c>
      <c r="I31" s="43">
        <f>+I30/I25</f>
        <v>1.1067190598537204</v>
      </c>
    </row>
    <row r="33" spans="2:9" x14ac:dyDescent="0.25">
      <c r="B33" s="19" t="s">
        <v>435</v>
      </c>
      <c r="C33" s="2"/>
      <c r="D33" s="2"/>
      <c r="E33" s="3"/>
      <c r="F33" s="3"/>
      <c r="G33" s="4"/>
      <c r="H33" s="399" t="s">
        <v>0</v>
      </c>
      <c r="I33" s="399"/>
    </row>
    <row r="34" spans="2:9" x14ac:dyDescent="0.25">
      <c r="B34" s="5" t="s">
        <v>1</v>
      </c>
      <c r="C34" s="6" t="s">
        <v>2</v>
      </c>
      <c r="D34" s="6" t="s">
        <v>3</v>
      </c>
      <c r="E34" s="7" t="s">
        <v>4</v>
      </c>
      <c r="F34" s="7" t="s">
        <v>5</v>
      </c>
      <c r="G34" s="4"/>
      <c r="H34" s="8" t="s">
        <v>6</v>
      </c>
      <c r="I34" s="9" t="e">
        <f>SUM(Tabla110345345445545647945586877869510811712713622823724627233260269297315316384392394396416418426428458268[Total costo])</f>
        <v>#N/A</v>
      </c>
    </row>
    <row r="35" spans="2:9" x14ac:dyDescent="0.25">
      <c r="B35" s="10" t="s">
        <v>855</v>
      </c>
      <c r="C35" s="11" t="s">
        <v>11</v>
      </c>
      <c r="D35" s="12">
        <v>1</v>
      </c>
      <c r="E35" s="13" t="e">
        <f>+VLOOKUP(Tabla110345345445545647945586877869510811712713622823724627233260269297315316384392394396416418426428458268[[#This Row],[Ingrediente]],Tabla34[#All],3,0)</f>
        <v>#N/A</v>
      </c>
      <c r="F35" s="14" t="e">
        <f>+Tabla110345345445545647945586877869510811712713622823724627233260269297315316384392394396416418426428458268[[#This Row],[Costo]]*Tabla110345345445545647945586877869510811712713622823724627233260269297315316384392394396416418426428458268[[#This Row],[Cant.]]</f>
        <v>#N/A</v>
      </c>
      <c r="G35" s="4"/>
      <c r="H35" s="8" t="s">
        <v>372</v>
      </c>
      <c r="I35" s="15"/>
    </row>
    <row r="36" spans="2:9" x14ac:dyDescent="0.25">
      <c r="B36" s="16"/>
      <c r="C36" s="17"/>
      <c r="D36" s="17"/>
      <c r="E36" s="18"/>
      <c r="F36" s="18" t="e">
        <f>SUBTOTAL(109,Tabla110345345445545647945586877869510811712713622823724627233260269297315316384392394396416418426428458268[Total costo])</f>
        <v>#N/A</v>
      </c>
      <c r="G36" s="4"/>
      <c r="H36" s="8" t="s">
        <v>13</v>
      </c>
      <c r="I36" s="15" t="e">
        <f>+I34+I35</f>
        <v>#N/A</v>
      </c>
    </row>
    <row r="37" spans="2:9" x14ac:dyDescent="0.25">
      <c r="G37" s="4"/>
      <c r="H37" s="20" t="s">
        <v>14</v>
      </c>
      <c r="I37" s="21">
        <v>112000</v>
      </c>
    </row>
    <row r="38" spans="2:9" x14ac:dyDescent="0.25">
      <c r="G38" s="4"/>
      <c r="H38" s="8" t="s">
        <v>15</v>
      </c>
      <c r="I38" s="15">
        <f>+I37/1.08*0.08</f>
        <v>8296.2962962962956</v>
      </c>
    </row>
    <row r="39" spans="2:9" x14ac:dyDescent="0.25">
      <c r="G39" s="4"/>
      <c r="H39" s="8" t="s">
        <v>16</v>
      </c>
      <c r="I39" s="15">
        <f>+I37-I38</f>
        <v>103703.70370370371</v>
      </c>
    </row>
    <row r="40" spans="2:9" x14ac:dyDescent="0.25">
      <c r="G40" s="4"/>
      <c r="H40" s="8" t="s">
        <v>17</v>
      </c>
      <c r="I40" s="41" t="e">
        <f>+I36/I39</f>
        <v>#N/A</v>
      </c>
    </row>
    <row r="41" spans="2:9" x14ac:dyDescent="0.25">
      <c r="G41" s="4"/>
      <c r="H41" s="8" t="s">
        <v>18</v>
      </c>
      <c r="I41" s="42" t="e">
        <f>+I39-I36</f>
        <v>#N/A</v>
      </c>
    </row>
    <row r="42" spans="2:9" x14ac:dyDescent="0.25">
      <c r="G42" s="4"/>
      <c r="H42" s="8" t="s">
        <v>19</v>
      </c>
      <c r="I42" s="43" t="e">
        <f>+I41/I36</f>
        <v>#N/A</v>
      </c>
    </row>
    <row r="45" spans="2:9" x14ac:dyDescent="0.25">
      <c r="B45" s="19" t="s">
        <v>436</v>
      </c>
      <c r="C45" s="2"/>
      <c r="D45" s="2"/>
      <c r="E45" s="3"/>
      <c r="F45" s="3"/>
      <c r="G45" s="4"/>
      <c r="H45" s="399" t="s">
        <v>0</v>
      </c>
      <c r="I45" s="399"/>
    </row>
    <row r="46" spans="2:9" x14ac:dyDescent="0.25">
      <c r="B46" s="5" t="s">
        <v>1</v>
      </c>
      <c r="C46" s="6" t="s">
        <v>2</v>
      </c>
      <c r="D46" s="6" t="s">
        <v>3</v>
      </c>
      <c r="E46" s="7" t="s">
        <v>4</v>
      </c>
      <c r="F46" s="7" t="s">
        <v>5</v>
      </c>
      <c r="G46" s="4"/>
      <c r="H46" s="8" t="s">
        <v>6</v>
      </c>
      <c r="I46" s="9">
        <f>SUM(Tabla110345345445545647945586877869510811712713622823724627233260269297315316384392394396416418426428458270[Total costo])</f>
        <v>37617</v>
      </c>
    </row>
    <row r="47" spans="2:9" x14ac:dyDescent="0.25">
      <c r="B47" s="10" t="s">
        <v>238</v>
      </c>
      <c r="C47" s="11" t="s">
        <v>11</v>
      </c>
      <c r="D47" s="12">
        <v>1</v>
      </c>
      <c r="E47" s="13">
        <f>+VLOOKUP(Tabla110345345445545647945586877869510811712713622823724627233260269297315316384392394396416418426428458270[[#This Row],[Ingrediente]],Tabla34[#All],3,0)</f>
        <v>37617</v>
      </c>
      <c r="F47" s="14">
        <f>+Tabla110345345445545647945586877869510811712713622823724627233260269297315316384392394396416418426428458270[[#This Row],[Costo]]*Tabla110345345445545647945586877869510811712713622823724627233260269297315316384392394396416418426428458270[[#This Row],[Cant.]]</f>
        <v>37617</v>
      </c>
      <c r="G47" s="4"/>
      <c r="H47" s="8" t="s">
        <v>372</v>
      </c>
      <c r="I47" s="15"/>
    </row>
    <row r="48" spans="2:9" x14ac:dyDescent="0.25">
      <c r="B48" s="16"/>
      <c r="C48" s="17"/>
      <c r="D48" s="17"/>
      <c r="E48" s="18"/>
      <c r="F48" s="18">
        <f>SUBTOTAL(109,Tabla110345345445545647945586877869510811712713622823724627233260269297315316384392394396416418426428458270[Total costo])</f>
        <v>37617</v>
      </c>
      <c r="G48" s="4"/>
      <c r="H48" s="8" t="s">
        <v>13</v>
      </c>
      <c r="I48" s="15">
        <f>+I46+I47</f>
        <v>37617</v>
      </c>
    </row>
    <row r="49" spans="2:9" x14ac:dyDescent="0.25">
      <c r="G49" s="4"/>
      <c r="H49" s="20" t="s">
        <v>14</v>
      </c>
      <c r="I49" s="21">
        <v>110000</v>
      </c>
    </row>
    <row r="50" spans="2:9" x14ac:dyDescent="0.25">
      <c r="G50" s="4"/>
      <c r="H50" s="8" t="s">
        <v>15</v>
      </c>
      <c r="I50" s="15">
        <f>+I49/1.08*0.08</f>
        <v>8148.1481481481469</v>
      </c>
    </row>
    <row r="51" spans="2:9" x14ac:dyDescent="0.25">
      <c r="G51" s="4"/>
      <c r="H51" s="8" t="s">
        <v>16</v>
      </c>
      <c r="I51" s="15">
        <f>+I49-I50</f>
        <v>101851.85185185185</v>
      </c>
    </row>
    <row r="52" spans="2:9" x14ac:dyDescent="0.25">
      <c r="G52" s="4"/>
      <c r="H52" s="8" t="s">
        <v>17</v>
      </c>
      <c r="I52" s="41">
        <f>+I48/I51</f>
        <v>0.36933054545454547</v>
      </c>
    </row>
    <row r="53" spans="2:9" x14ac:dyDescent="0.25">
      <c r="G53" s="4"/>
      <c r="H53" s="8" t="s">
        <v>18</v>
      </c>
      <c r="I53" s="42">
        <f>+I51-I48</f>
        <v>64234.851851851854</v>
      </c>
    </row>
    <row r="54" spans="2:9" x14ac:dyDescent="0.25">
      <c r="G54" s="4"/>
      <c r="H54" s="8" t="s">
        <v>19</v>
      </c>
      <c r="I54" s="43">
        <f>+I53/I48</f>
        <v>1.7076016655196282</v>
      </c>
    </row>
    <row r="60" spans="2:9" x14ac:dyDescent="0.25">
      <c r="B60" s="19" t="s">
        <v>437</v>
      </c>
      <c r="C60" s="2"/>
      <c r="D60" s="2"/>
      <c r="E60" s="3"/>
      <c r="F60" s="3"/>
      <c r="G60" s="4"/>
      <c r="H60" s="399" t="s">
        <v>0</v>
      </c>
      <c r="I60" s="399"/>
    </row>
    <row r="61" spans="2:9" x14ac:dyDescent="0.25">
      <c r="B61" s="5" t="s">
        <v>1</v>
      </c>
      <c r="C61" s="6" t="s">
        <v>2</v>
      </c>
      <c r="D61" s="6" t="s">
        <v>3</v>
      </c>
      <c r="E61" s="7" t="s">
        <v>4</v>
      </c>
      <c r="F61" s="7" t="s">
        <v>5</v>
      </c>
      <c r="G61" s="4"/>
      <c r="H61" s="8" t="s">
        <v>6</v>
      </c>
      <c r="I61" s="9">
        <f>SUM(Tabla110345345445545647945586877869510811712713622823724627233260269297315316384392394396416418426428458298[Total costo])</f>
        <v>37617</v>
      </c>
    </row>
    <row r="62" spans="2:9" x14ac:dyDescent="0.25">
      <c r="B62" s="10" t="s">
        <v>110</v>
      </c>
      <c r="C62" s="11" t="s">
        <v>11</v>
      </c>
      <c r="D62" s="12">
        <v>1</v>
      </c>
      <c r="E62" s="13">
        <f>+VLOOKUP(Tabla110345345445545647945586877869510811712713622823724627233260269297315316384392394396416418426428458298[[#This Row],[Ingrediente]],Tabla34[#All],3,0)</f>
        <v>37617</v>
      </c>
      <c r="F62" s="14">
        <f>+Tabla110345345445545647945586877869510811712713622823724627233260269297315316384392394396416418426428458298[[#This Row],[Costo]]*Tabla110345345445545647945586877869510811712713622823724627233260269297315316384392394396416418426428458298[[#This Row],[Cant.]]</f>
        <v>37617</v>
      </c>
      <c r="G62" s="4"/>
      <c r="H62" s="8" t="s">
        <v>372</v>
      </c>
      <c r="I62" s="15"/>
    </row>
    <row r="63" spans="2:9" x14ac:dyDescent="0.25">
      <c r="B63" s="16"/>
      <c r="C63" s="17"/>
      <c r="D63" s="17"/>
      <c r="E63" s="18"/>
      <c r="F63" s="18">
        <f>SUBTOTAL(109,Tabla110345345445545647945586877869510811712713622823724627233260269297315316384392394396416418426428458298[Total costo])</f>
        <v>37617</v>
      </c>
      <c r="G63" s="4"/>
      <c r="H63" s="8" t="s">
        <v>13</v>
      </c>
      <c r="I63" s="15">
        <f>+I61+I62</f>
        <v>37617</v>
      </c>
    </row>
    <row r="64" spans="2:9" x14ac:dyDescent="0.25">
      <c r="G64" s="4"/>
      <c r="H64" s="20" t="s">
        <v>14</v>
      </c>
      <c r="I64" s="21">
        <v>110000</v>
      </c>
    </row>
    <row r="65" spans="2:9" x14ac:dyDescent="0.25">
      <c r="G65" s="4"/>
      <c r="H65" s="8" t="s">
        <v>15</v>
      </c>
      <c r="I65" s="15">
        <f>+I64/1.08*0.08</f>
        <v>8148.1481481481469</v>
      </c>
    </row>
    <row r="66" spans="2:9" x14ac:dyDescent="0.25">
      <c r="G66" s="4"/>
      <c r="H66" s="8" t="s">
        <v>16</v>
      </c>
      <c r="I66" s="15">
        <f>+I64-I65</f>
        <v>101851.85185185185</v>
      </c>
    </row>
    <row r="67" spans="2:9" x14ac:dyDescent="0.25">
      <c r="G67" s="4"/>
      <c r="H67" s="8" t="s">
        <v>17</v>
      </c>
      <c r="I67" s="41">
        <f>+I63/I66</f>
        <v>0.36933054545454547</v>
      </c>
    </row>
    <row r="68" spans="2:9" x14ac:dyDescent="0.25">
      <c r="G68" s="4"/>
      <c r="H68" s="8" t="s">
        <v>18</v>
      </c>
      <c r="I68" s="42">
        <f>+I66-I63</f>
        <v>64234.851851851854</v>
      </c>
    </row>
    <row r="69" spans="2:9" x14ac:dyDescent="0.25">
      <c r="G69" s="4"/>
      <c r="H69" s="8" t="s">
        <v>19</v>
      </c>
      <c r="I69" s="43">
        <f>+I68/I63</f>
        <v>1.7076016655196282</v>
      </c>
    </row>
    <row r="72" spans="2:9" x14ac:dyDescent="0.25">
      <c r="B72" s="1" t="s">
        <v>438</v>
      </c>
      <c r="C72" s="2"/>
      <c r="D72" s="2"/>
      <c r="E72" s="3"/>
      <c r="F72" s="3"/>
      <c r="G72" s="4"/>
      <c r="H72" s="399" t="s">
        <v>0</v>
      </c>
      <c r="I72" s="399"/>
    </row>
    <row r="73" spans="2:9" x14ac:dyDescent="0.25">
      <c r="B73" s="5" t="s">
        <v>1</v>
      </c>
      <c r="C73" s="6" t="s">
        <v>2</v>
      </c>
      <c r="D73" s="6" t="s">
        <v>3</v>
      </c>
      <c r="E73" s="7" t="s">
        <v>4</v>
      </c>
      <c r="F73" s="7" t="s">
        <v>5</v>
      </c>
      <c r="G73" s="4"/>
      <c r="H73" s="8" t="s">
        <v>6</v>
      </c>
      <c r="I73" s="9">
        <f>SUM(Tabla110345345445545647945586877869510811712713622823724627233260269297315316384392394396416418426428458300[Total costo])</f>
        <v>0</v>
      </c>
    </row>
    <row r="74" spans="2:9" x14ac:dyDescent="0.25">
      <c r="B74" s="10" t="s">
        <v>796</v>
      </c>
      <c r="C74" s="11" t="s">
        <v>11</v>
      </c>
      <c r="D74" s="12">
        <v>1</v>
      </c>
      <c r="E74" s="13">
        <f>+VLOOKUP(Tabla110345345445545647945586877869510811712713622823724627233260269297315316384392394396416418426428458300[[#This Row],[Ingrediente]],Tabla34[#All],3,0)</f>
        <v>0</v>
      </c>
      <c r="F74" s="14">
        <f>+Tabla110345345445545647945586877869510811712713622823724627233260269297315316384392394396416418426428458300[[#This Row],[Costo]]*Tabla110345345445545647945586877869510811712713622823724627233260269297315316384392394396416418426428458300[[#This Row],[Cant.]]</f>
        <v>0</v>
      </c>
      <c r="G74" s="4"/>
      <c r="H74" s="8" t="s">
        <v>372</v>
      </c>
      <c r="I74" s="15"/>
    </row>
    <row r="75" spans="2:9" x14ac:dyDescent="0.25">
      <c r="B75" s="16"/>
      <c r="C75" s="17"/>
      <c r="D75" s="17"/>
      <c r="E75" s="18"/>
      <c r="F75" s="18">
        <f>SUBTOTAL(109,Tabla110345345445545647945586877869510811712713622823724627233260269297315316384392394396416418426428458300[Total costo])</f>
        <v>0</v>
      </c>
      <c r="G75" s="4"/>
      <c r="H75" s="8" t="s">
        <v>13</v>
      </c>
      <c r="I75" s="15">
        <f>+I73+I74</f>
        <v>0</v>
      </c>
    </row>
    <row r="76" spans="2:9" x14ac:dyDescent="0.25">
      <c r="G76" s="4"/>
      <c r="H76" s="20" t="s">
        <v>14</v>
      </c>
      <c r="I76" s="21">
        <v>369000</v>
      </c>
    </row>
    <row r="77" spans="2:9" x14ac:dyDescent="0.25">
      <c r="G77" s="4"/>
      <c r="H77" s="8" t="s">
        <v>15</v>
      </c>
      <c r="I77" s="15">
        <f>+I76/1.08*0.08</f>
        <v>27333.333333333332</v>
      </c>
    </row>
    <row r="78" spans="2:9" x14ac:dyDescent="0.25">
      <c r="G78" s="4"/>
      <c r="H78" s="8" t="s">
        <v>16</v>
      </c>
      <c r="I78" s="15">
        <f>+I76-I77</f>
        <v>341666.66666666669</v>
      </c>
    </row>
    <row r="79" spans="2:9" x14ac:dyDescent="0.25">
      <c r="G79" s="4"/>
      <c r="H79" s="8" t="s">
        <v>17</v>
      </c>
      <c r="I79" s="41">
        <f>+I75/I78</f>
        <v>0</v>
      </c>
    </row>
    <row r="80" spans="2:9" x14ac:dyDescent="0.25">
      <c r="G80" s="4"/>
      <c r="H80" s="8" t="s">
        <v>18</v>
      </c>
      <c r="I80" s="42">
        <f>+I78-I75</f>
        <v>341666.66666666669</v>
      </c>
    </row>
    <row r="81" spans="2:9" x14ac:dyDescent="0.25">
      <c r="G81" s="4"/>
      <c r="H81" s="8" t="s">
        <v>19</v>
      </c>
      <c r="I81" s="43" t="e">
        <f>+I80/I75</f>
        <v>#DIV/0!</v>
      </c>
    </row>
    <row r="84" spans="2:9" x14ac:dyDescent="0.25">
      <c r="B84" s="1" t="s">
        <v>306</v>
      </c>
      <c r="C84" s="2"/>
      <c r="D84" s="2"/>
      <c r="E84" s="3"/>
      <c r="F84" s="3"/>
      <c r="G84" s="4"/>
      <c r="H84" s="399" t="s">
        <v>0</v>
      </c>
      <c r="I84" s="399"/>
    </row>
    <row r="85" spans="2:9" x14ac:dyDescent="0.25">
      <c r="B85" s="5" t="s">
        <v>1</v>
      </c>
      <c r="C85" s="6" t="s">
        <v>2</v>
      </c>
      <c r="D85" s="6" t="s">
        <v>3</v>
      </c>
      <c r="E85" s="7" t="s">
        <v>4</v>
      </c>
      <c r="F85" s="7" t="s">
        <v>5</v>
      </c>
      <c r="G85" s="4"/>
      <c r="H85" s="8" t="s">
        <v>6</v>
      </c>
      <c r="I85" s="9">
        <f>SUM(Tabla110345345445545647945586877869510811712713622823724627233260269297315316384392394396416418426428458301[Total costo])</f>
        <v>0</v>
      </c>
    </row>
    <row r="86" spans="2:9" x14ac:dyDescent="0.25">
      <c r="B86" s="10" t="s">
        <v>778</v>
      </c>
      <c r="C86" s="11" t="s">
        <v>11</v>
      </c>
      <c r="D86" s="12">
        <v>1</v>
      </c>
      <c r="E86" s="13">
        <f>+VLOOKUP(Tabla110345345445545647945586877869510811712713622823724627233260269297315316384392394396416418426428458301[[#This Row],[Ingrediente]],Tabla34[#All],3,0)</f>
        <v>0</v>
      </c>
      <c r="F86" s="14">
        <f>+Tabla110345345445545647945586877869510811712713622823724627233260269297315316384392394396416418426428458301[[#This Row],[Costo]]*Tabla110345345445545647945586877869510811712713622823724627233260269297315316384392394396416418426428458301[[#This Row],[Cant.]]</f>
        <v>0</v>
      </c>
      <c r="G86" s="4"/>
      <c r="H86" s="8" t="s">
        <v>372</v>
      </c>
      <c r="I86" s="15"/>
    </row>
    <row r="87" spans="2:9" x14ac:dyDescent="0.25">
      <c r="B87" s="16"/>
      <c r="C87" s="17"/>
      <c r="D87" s="17"/>
      <c r="E87" s="18"/>
      <c r="F87" s="18">
        <f>SUBTOTAL(109,Tabla110345345445545647945586877869510811712713622823724627233260269297315316384392394396416418426428458301[Total costo])</f>
        <v>0</v>
      </c>
      <c r="G87" s="4"/>
      <c r="H87" s="8" t="s">
        <v>13</v>
      </c>
      <c r="I87" s="15">
        <f>+I85+I86</f>
        <v>0</v>
      </c>
    </row>
    <row r="88" spans="2:9" x14ac:dyDescent="0.25">
      <c r="G88" s="4"/>
      <c r="H88" s="20" t="s">
        <v>14</v>
      </c>
      <c r="I88" s="21">
        <v>156000</v>
      </c>
    </row>
    <row r="89" spans="2:9" x14ac:dyDescent="0.25">
      <c r="G89" s="4"/>
      <c r="H89" s="8" t="s">
        <v>15</v>
      </c>
      <c r="I89" s="15">
        <f>+I88/1.08*0.08</f>
        <v>11555.555555555555</v>
      </c>
    </row>
    <row r="90" spans="2:9" x14ac:dyDescent="0.25">
      <c r="G90" s="4"/>
      <c r="H90" s="8" t="s">
        <v>16</v>
      </c>
      <c r="I90" s="15">
        <f>+I88-I89</f>
        <v>144444.44444444444</v>
      </c>
    </row>
    <row r="91" spans="2:9" x14ac:dyDescent="0.25">
      <c r="G91" s="4"/>
      <c r="H91" s="8" t="s">
        <v>17</v>
      </c>
      <c r="I91" s="41">
        <f>+I87/I90</f>
        <v>0</v>
      </c>
    </row>
    <row r="92" spans="2:9" x14ac:dyDescent="0.25">
      <c r="G92" s="4"/>
      <c r="H92" s="8" t="s">
        <v>18</v>
      </c>
      <c r="I92" s="42">
        <f>+I90-I87</f>
        <v>144444.44444444444</v>
      </c>
    </row>
    <row r="93" spans="2:9" x14ac:dyDescent="0.25">
      <c r="G93" s="4"/>
      <c r="H93" s="8" t="s">
        <v>19</v>
      </c>
      <c r="I93" s="43" t="e">
        <f>+I92/I87</f>
        <v>#DIV/0!</v>
      </c>
    </row>
  </sheetData>
  <mergeCells count="7">
    <mergeCell ref="H60:I60"/>
    <mergeCell ref="H72:I72"/>
    <mergeCell ref="H84:I84"/>
    <mergeCell ref="H6:I6"/>
    <mergeCell ref="H22:I22"/>
    <mergeCell ref="H33:I33"/>
    <mergeCell ref="H45:I45"/>
  </mergeCells>
  <conditionalFormatting sqref="I13">
    <cfRule type="cellIs" dxfId="2063" priority="15" operator="lessThan">
      <formula>0.3</formula>
    </cfRule>
    <cfRule type="cellIs" dxfId="2062" priority="16" operator="greaterThan">
      <formula>0.3</formula>
    </cfRule>
  </conditionalFormatting>
  <conditionalFormatting sqref="I29">
    <cfRule type="cellIs" dxfId="2061" priority="11" operator="lessThan">
      <formula>0.3</formula>
    </cfRule>
    <cfRule type="cellIs" dxfId="2060" priority="12" operator="greaterThan">
      <formula>0.3</formula>
    </cfRule>
  </conditionalFormatting>
  <conditionalFormatting sqref="I40">
    <cfRule type="cellIs" dxfId="2059" priority="9" operator="lessThan">
      <formula>0.3</formula>
    </cfRule>
    <cfRule type="cellIs" dxfId="2058" priority="10" operator="greaterThan">
      <formula>0.3</formula>
    </cfRule>
  </conditionalFormatting>
  <conditionalFormatting sqref="I52">
    <cfRule type="cellIs" dxfId="2057" priority="7" operator="lessThan">
      <formula>0.3</formula>
    </cfRule>
    <cfRule type="cellIs" dxfId="2056" priority="8" operator="greaterThan">
      <formula>0.3</formula>
    </cfRule>
  </conditionalFormatting>
  <conditionalFormatting sqref="I67">
    <cfRule type="cellIs" dxfId="2055" priority="5" operator="lessThan">
      <formula>0.3</formula>
    </cfRule>
    <cfRule type="cellIs" dxfId="2054" priority="6" operator="greaterThan">
      <formula>0.3</formula>
    </cfRule>
  </conditionalFormatting>
  <conditionalFormatting sqref="I79">
    <cfRule type="cellIs" dxfId="2053" priority="3" operator="lessThan">
      <formula>0.3</formula>
    </cfRule>
    <cfRule type="cellIs" dxfId="2052" priority="4" operator="greaterThan">
      <formula>0.3</formula>
    </cfRule>
  </conditionalFormatting>
  <conditionalFormatting sqref="I91">
    <cfRule type="cellIs" dxfId="2051" priority="1" operator="lessThan">
      <formula>0.3</formula>
    </cfRule>
    <cfRule type="cellIs" dxfId="2050" priority="2" operator="greaterThan">
      <formula>0.3</formula>
    </cfRule>
  </conditionalFormatting>
  <pageMargins left="0.7" right="0.7" top="0.75" bottom="0.75" header="0.3" footer="0.3"/>
  <drawing r:id="rId1"/>
  <tableParts count="7">
    <tablePart r:id="rId2"/>
    <tablePart r:id="rId3"/>
    <tablePart r:id="rId4"/>
    <tablePart r:id="rId5"/>
    <tablePart r:id="rId6"/>
    <tablePart r:id="rId7"/>
    <tablePart r:id="rId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AF0-6CCF-465A-8061-8B77DB02FC2F}">
  <dimension ref="B10:K43"/>
  <sheetViews>
    <sheetView showGridLines="0" zoomScale="90" zoomScaleNormal="90" workbookViewId="0">
      <selection activeCell="B23" sqref="B23"/>
    </sheetView>
  </sheetViews>
  <sheetFormatPr baseColWidth="10" defaultColWidth="10.88671875" defaultRowHeight="13.2" x14ac:dyDescent="0.25"/>
  <cols>
    <col min="1" max="1" width="4" style="40" customWidth="1"/>
    <col min="2" max="2" width="38.33203125" style="40" bestFit="1" customWidth="1"/>
    <col min="3" max="6" width="7.77734375" style="40" customWidth="1"/>
    <col min="7" max="8" width="9.77734375" style="40" customWidth="1"/>
    <col min="9" max="9" width="3.77734375" style="40" customWidth="1"/>
    <col min="10" max="10" width="26.6640625" style="40" bestFit="1" customWidth="1"/>
    <col min="11" max="16384" width="10.88671875" style="40"/>
  </cols>
  <sheetData>
    <row r="10" spans="2:11" x14ac:dyDescent="0.25">
      <c r="B10" s="1" t="s">
        <v>430</v>
      </c>
      <c r="C10" s="2"/>
      <c r="D10" s="2"/>
      <c r="E10" s="3"/>
      <c r="F10" s="3"/>
      <c r="G10" s="3"/>
      <c r="H10" s="3"/>
      <c r="I10" s="4"/>
      <c r="J10" s="399" t="s">
        <v>0</v>
      </c>
      <c r="K10" s="399"/>
    </row>
    <row r="11" spans="2:11" ht="14.4" x14ac:dyDescent="0.3">
      <c r="B11" t="s">
        <v>857</v>
      </c>
      <c r="C11" t="s">
        <v>895</v>
      </c>
      <c r="D11" t="s">
        <v>892</v>
      </c>
      <c r="E11" t="s">
        <v>893</v>
      </c>
      <c r="F11" t="s">
        <v>894</v>
      </c>
      <c r="G11" t="s">
        <v>901</v>
      </c>
      <c r="H11" t="s">
        <v>902</v>
      </c>
      <c r="I11" s="4"/>
      <c r="J11" s="8" t="s">
        <v>6</v>
      </c>
      <c r="K11" s="9">
        <f>SUM(Tabla110345345445545647945586877869510811712713622823724627233260269297315316384392394396416418426428231[Coste LÃ­nea])</f>
        <v>97685.185184999995</v>
      </c>
    </row>
    <row r="12" spans="2:11" x14ac:dyDescent="0.25">
      <c r="B12" s="10" t="s">
        <v>769</v>
      </c>
      <c r="C12" s="11" t="s">
        <v>847</v>
      </c>
      <c r="D12" s="12">
        <v>1</v>
      </c>
      <c r="E12" s="12">
        <v>0</v>
      </c>
      <c r="F12" s="12">
        <v>1</v>
      </c>
      <c r="G12" s="13">
        <f>+VLOOKUP(Tabla110345345445545647945586877869510811712713622823724627233260269297315316384392394396416418426428231[[#This Row],[ArtÃ­culo]],Tabla34[#All],3,0)</f>
        <v>97685.185184999995</v>
      </c>
      <c r="H12" s="14">
        <f>+Tabla110345345445545647945586877869510811712713622823724627233260269297315316384392394396416418426428231[[#This Row],[Coste Componente]]*Tabla110345345445545647945586877869510811712713622823724627233260269297315316384392394396416418426428231[[#This Row],[Unidades]]</f>
        <v>97685.185184999995</v>
      </c>
      <c r="I12" s="4"/>
      <c r="J12" s="8" t="s">
        <v>372</v>
      </c>
      <c r="K12" s="15"/>
    </row>
    <row r="13" spans="2:11" x14ac:dyDescent="0.25">
      <c r="B13" s="16"/>
      <c r="C13" s="17"/>
      <c r="D13" s="17"/>
      <c r="E13" s="17"/>
      <c r="F13" s="17"/>
      <c r="G13" s="18"/>
      <c r="H13" s="18">
        <f>SUBTOTAL(109,Tabla110345345445545647945586877869510811712713622823724627233260269297315316384392394396416418426428231[Coste LÃ­nea])</f>
        <v>97685.185184999995</v>
      </c>
      <c r="I13" s="4"/>
      <c r="J13" s="8" t="s">
        <v>13</v>
      </c>
      <c r="K13" s="15">
        <f>+K11+K12</f>
        <v>97685.185184999995</v>
      </c>
    </row>
    <row r="14" spans="2:11" x14ac:dyDescent="0.25">
      <c r="I14" s="4"/>
      <c r="J14" s="20" t="s">
        <v>14</v>
      </c>
      <c r="K14" s="21">
        <v>198000</v>
      </c>
    </row>
    <row r="15" spans="2:11" x14ac:dyDescent="0.25">
      <c r="I15" s="4"/>
      <c r="J15" s="8" t="s">
        <v>15</v>
      </c>
      <c r="K15" s="15">
        <f>+K14/1.08*0.08</f>
        <v>14666.666666666666</v>
      </c>
    </row>
    <row r="16" spans="2:11" x14ac:dyDescent="0.25">
      <c r="I16" s="4"/>
      <c r="J16" s="8" t="s">
        <v>16</v>
      </c>
      <c r="K16" s="15">
        <f>+K14-K15</f>
        <v>183333.33333333334</v>
      </c>
    </row>
    <row r="17" spans="2:11" x14ac:dyDescent="0.25">
      <c r="I17" s="4"/>
      <c r="J17" s="8" t="s">
        <v>17</v>
      </c>
      <c r="K17" s="41">
        <f>+K13/K16</f>
        <v>0.53282828282727268</v>
      </c>
    </row>
    <row r="18" spans="2:11" x14ac:dyDescent="0.25">
      <c r="I18" s="4"/>
      <c r="J18" s="8" t="s">
        <v>18</v>
      </c>
      <c r="K18" s="42">
        <f>+K16-K13</f>
        <v>85648.148148333348</v>
      </c>
    </row>
    <row r="19" spans="2:11" x14ac:dyDescent="0.25">
      <c r="I19" s="4"/>
      <c r="J19" s="8" t="s">
        <v>19</v>
      </c>
      <c r="K19" s="43">
        <f>+K18/K13</f>
        <v>0.87677725118839223</v>
      </c>
    </row>
    <row r="22" spans="2:11" x14ac:dyDescent="0.25">
      <c r="B22" s="1" t="s">
        <v>1300</v>
      </c>
      <c r="C22" s="2"/>
      <c r="D22" s="2"/>
      <c r="E22" s="3"/>
      <c r="F22" s="3"/>
      <c r="G22" s="3"/>
      <c r="H22" s="3"/>
      <c r="I22" s="4"/>
      <c r="J22" s="399" t="s">
        <v>0</v>
      </c>
      <c r="K22" s="399"/>
    </row>
    <row r="23" spans="2:11" ht="14.4" x14ac:dyDescent="0.3">
      <c r="B23" t="s">
        <v>857</v>
      </c>
      <c r="C23" t="s">
        <v>895</v>
      </c>
      <c r="D23" t="s">
        <v>892</v>
      </c>
      <c r="E23" t="s">
        <v>893</v>
      </c>
      <c r="F23" t="s">
        <v>894</v>
      </c>
      <c r="G23" t="s">
        <v>901</v>
      </c>
      <c r="H23" t="s">
        <v>902</v>
      </c>
      <c r="I23" s="4"/>
      <c r="J23" s="8" t="s">
        <v>6</v>
      </c>
      <c r="K23" s="9">
        <f>SUM(Tabla110345345445545647945586877869510811712713622823724627233260269297315316384392394396416418426428232[Coste LÃ­nea])</f>
        <v>0</v>
      </c>
    </row>
    <row r="24" spans="2:11" x14ac:dyDescent="0.25">
      <c r="B24" s="10" t="s">
        <v>788</v>
      </c>
      <c r="C24" s="11" t="s">
        <v>847</v>
      </c>
      <c r="D24" s="12">
        <v>1</v>
      </c>
      <c r="E24" s="12">
        <v>0</v>
      </c>
      <c r="F24" s="12">
        <v>1</v>
      </c>
      <c r="G24" s="13">
        <f>+VLOOKUP(Tabla110345345445545647945586877869510811712713622823724627233260269297315316384392394396416418426428232[[#This Row],[ArtÃ­culo]],Tabla34[#All],3,0)</f>
        <v>0</v>
      </c>
      <c r="H24" s="14">
        <f>+Tabla110345345445545647945586877869510811712713622823724627233260269297315316384392394396416418426428232[[#This Row],[Coste Componente]]*Tabla110345345445545647945586877869510811712713622823724627233260269297315316384392394396416418426428232[[#This Row],[Unidades Netas]]</f>
        <v>0</v>
      </c>
      <c r="I24" s="4"/>
      <c r="J24" s="8" t="s">
        <v>372</v>
      </c>
      <c r="K24" s="15"/>
    </row>
    <row r="25" spans="2:11" x14ac:dyDescent="0.25">
      <c r="B25" s="16"/>
      <c r="C25" s="17"/>
      <c r="D25" s="17"/>
      <c r="E25" s="17"/>
      <c r="F25" s="17"/>
      <c r="G25" s="18"/>
      <c r="H25" s="18">
        <f>SUBTOTAL(109,Tabla110345345445545647945586877869510811712713622823724627233260269297315316384392394396416418426428232[Coste LÃ­nea])</f>
        <v>0</v>
      </c>
      <c r="I25" s="4"/>
      <c r="J25" s="8" t="s">
        <v>13</v>
      </c>
      <c r="K25" s="15">
        <f>+K23+K24</f>
        <v>0</v>
      </c>
    </row>
    <row r="26" spans="2:11" x14ac:dyDescent="0.25">
      <c r="I26" s="4"/>
      <c r="J26" s="20" t="s">
        <v>14</v>
      </c>
      <c r="K26" s="21">
        <v>198000</v>
      </c>
    </row>
    <row r="27" spans="2:11" x14ac:dyDescent="0.25">
      <c r="I27" s="4"/>
      <c r="J27" s="8" t="s">
        <v>15</v>
      </c>
      <c r="K27" s="15">
        <f>+K26/1.08*0.08</f>
        <v>14666.666666666666</v>
      </c>
    </row>
    <row r="28" spans="2:11" x14ac:dyDescent="0.25">
      <c r="I28" s="4"/>
      <c r="J28" s="8" t="s">
        <v>16</v>
      </c>
      <c r="K28" s="15">
        <f>+K26-K27</f>
        <v>183333.33333333334</v>
      </c>
    </row>
    <row r="29" spans="2:11" x14ac:dyDescent="0.25">
      <c r="I29" s="4"/>
      <c r="J29" s="8" t="s">
        <v>17</v>
      </c>
      <c r="K29" s="41">
        <f>+K25/K28</f>
        <v>0</v>
      </c>
    </row>
    <row r="30" spans="2:11" x14ac:dyDescent="0.25">
      <c r="I30" s="4"/>
      <c r="J30" s="8" t="s">
        <v>18</v>
      </c>
      <c r="K30" s="42">
        <f>+K28-K25</f>
        <v>183333.33333333334</v>
      </c>
    </row>
    <row r="31" spans="2:11" x14ac:dyDescent="0.25">
      <c r="I31" s="4"/>
      <c r="J31" s="8" t="s">
        <v>19</v>
      </c>
      <c r="K31" s="43" t="e">
        <f>+K30/K25</f>
        <v>#DIV/0!</v>
      </c>
    </row>
    <row r="34" spans="2:11" x14ac:dyDescent="0.25">
      <c r="B34" s="1" t="s">
        <v>1109</v>
      </c>
      <c r="C34" s="2"/>
      <c r="D34" s="2"/>
      <c r="E34" s="3"/>
      <c r="F34" s="3"/>
      <c r="G34" s="3"/>
      <c r="H34" s="3"/>
      <c r="I34" s="4"/>
      <c r="J34" s="399" t="s">
        <v>0</v>
      </c>
      <c r="K34" s="399"/>
    </row>
    <row r="35" spans="2:11" ht="14.4" x14ac:dyDescent="0.3">
      <c r="B35" t="s">
        <v>857</v>
      </c>
      <c r="C35" t="s">
        <v>895</v>
      </c>
      <c r="D35" t="s">
        <v>892</v>
      </c>
      <c r="E35" t="s">
        <v>893</v>
      </c>
      <c r="F35" t="s">
        <v>894</v>
      </c>
      <c r="G35" t="s">
        <v>901</v>
      </c>
      <c r="H35" t="s">
        <v>902</v>
      </c>
      <c r="I35" s="4"/>
      <c r="J35" s="8" t="s">
        <v>6</v>
      </c>
      <c r="K35" s="9">
        <f>SUM(Tabla11034534544554564794558687786951081171271362282372462723326026929731531638439239439641641842642823217[Coste LÃ­nea])</f>
        <v>54495</v>
      </c>
    </row>
    <row r="36" spans="2:11" x14ac:dyDescent="0.25">
      <c r="B36" s="60" t="s">
        <v>928</v>
      </c>
      <c r="C36" s="11" t="s">
        <v>847</v>
      </c>
      <c r="D36" s="12">
        <v>5</v>
      </c>
      <c r="E36" s="12">
        <v>0</v>
      </c>
      <c r="F36" s="12">
        <v>5</v>
      </c>
      <c r="G36" s="13">
        <f>+VLOOKUP(Tabla11034534544554564794558687786951081171271362282372462723326026929731531638439239439641641842642823217[[#This Row],[ArtÃ­culo]],Tabla34[#All],3,0)</f>
        <v>10899</v>
      </c>
      <c r="H36" s="14">
        <f>+Tabla11034534544554564794558687786951081171271362282372462723326026929731531638439239439641641842642823217[[#This Row],[Coste Componente]]*Tabla11034534544554564794558687786951081171271362282372462723326026929731531638439239439641641842642823217[[#This Row],[Unidades Netas]]</f>
        <v>54495</v>
      </c>
      <c r="I36" s="4"/>
      <c r="J36" s="8" t="s">
        <v>372</v>
      </c>
      <c r="K36" s="15"/>
    </row>
    <row r="37" spans="2:11" x14ac:dyDescent="0.25">
      <c r="B37" s="16"/>
      <c r="C37" s="17"/>
      <c r="D37" s="17"/>
      <c r="E37" s="17"/>
      <c r="F37" s="17"/>
      <c r="G37" s="18"/>
      <c r="H37" s="18">
        <f>SUBTOTAL(109,Tabla11034534544554564794558687786951081171271362282372462723326026929731531638439239439641641842642823217[Coste LÃ­nea])</f>
        <v>54495</v>
      </c>
      <c r="I37" s="4"/>
      <c r="J37" s="8" t="s">
        <v>13</v>
      </c>
      <c r="K37" s="15">
        <f>+K35+K36</f>
        <v>54495</v>
      </c>
    </row>
    <row r="38" spans="2:11" x14ac:dyDescent="0.25">
      <c r="I38" s="4"/>
      <c r="J38" s="20" t="s">
        <v>14</v>
      </c>
      <c r="K38" s="21">
        <v>110000</v>
      </c>
    </row>
    <row r="39" spans="2:11" x14ac:dyDescent="0.25">
      <c r="I39" s="4"/>
      <c r="J39" s="8" t="s">
        <v>15</v>
      </c>
      <c r="K39" s="15">
        <f>+K38/1.08*0.08</f>
        <v>8148.1481481481469</v>
      </c>
    </row>
    <row r="40" spans="2:11" x14ac:dyDescent="0.25">
      <c r="I40" s="4"/>
      <c r="J40" s="8" t="s">
        <v>16</v>
      </c>
      <c r="K40" s="15">
        <f>+K38-K39</f>
        <v>101851.85185185185</v>
      </c>
    </row>
    <row r="41" spans="2:11" x14ac:dyDescent="0.25">
      <c r="I41" s="4"/>
      <c r="J41" s="8" t="s">
        <v>17</v>
      </c>
      <c r="K41" s="41">
        <f>+K37/K40</f>
        <v>0.53504181818181817</v>
      </c>
    </row>
    <row r="42" spans="2:11" x14ac:dyDescent="0.25">
      <c r="I42" s="4"/>
      <c r="J42" s="8" t="s">
        <v>18</v>
      </c>
      <c r="K42" s="42">
        <f>+K40-K37</f>
        <v>47356.851851851854</v>
      </c>
    </row>
    <row r="43" spans="2:11" x14ac:dyDescent="0.25">
      <c r="I43" s="4"/>
      <c r="J43" s="8" t="s">
        <v>19</v>
      </c>
      <c r="K43" s="43">
        <f>+K42/K37</f>
        <v>0.86901278744567123</v>
      </c>
    </row>
  </sheetData>
  <mergeCells count="3">
    <mergeCell ref="J22:K22"/>
    <mergeCell ref="J10:K10"/>
    <mergeCell ref="J34:K34"/>
  </mergeCells>
  <phoneticPr fontId="16" type="noConversion"/>
  <conditionalFormatting sqref="K17">
    <cfRule type="cellIs" dxfId="2049" priority="9" operator="lessThan">
      <formula>0.3</formula>
    </cfRule>
    <cfRule type="cellIs" dxfId="2048" priority="10" operator="greaterThan">
      <formula>0.3</formula>
    </cfRule>
  </conditionalFormatting>
  <conditionalFormatting sqref="K29">
    <cfRule type="cellIs" dxfId="2047" priority="7" operator="lessThan">
      <formula>0.3</formula>
    </cfRule>
    <cfRule type="cellIs" dxfId="2046" priority="8" operator="greaterThan">
      <formula>0.3</formula>
    </cfRule>
  </conditionalFormatting>
  <conditionalFormatting sqref="K41">
    <cfRule type="cellIs" dxfId="2045" priority="1" operator="lessThan">
      <formula>0.3</formula>
    </cfRule>
    <cfRule type="cellIs" dxfId="2044" priority="2" operator="greaterThan">
      <formula>0.3</formula>
    </cfRule>
  </conditionalFormatting>
  <pageMargins left="0.7" right="0.7" top="0.75" bottom="0.75" header="0.3" footer="0.3"/>
  <drawing r:id="rId1"/>
  <tableParts count="3">
    <tablePart r:id="rId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751F-52CA-4A81-A6CD-280391137E48}">
  <dimension ref="B6:I102"/>
  <sheetViews>
    <sheetView showGridLines="0" topLeftCell="A22" zoomScale="60" zoomScaleNormal="60" workbookViewId="0">
      <selection activeCell="I96" sqref="I96"/>
    </sheetView>
  </sheetViews>
  <sheetFormatPr baseColWidth="10" defaultColWidth="10.88671875" defaultRowHeight="13.2" x14ac:dyDescent="0.25"/>
  <cols>
    <col min="1" max="1" width="4" style="40" customWidth="1"/>
    <col min="2" max="2" width="52.33203125" style="40" customWidth="1"/>
    <col min="3" max="3" width="8.6640625" style="40" customWidth="1"/>
    <col min="4" max="4" width="8.5546875" style="40" customWidth="1"/>
    <col min="5" max="5" width="9.44140625" style="40" customWidth="1"/>
    <col min="6" max="6" width="10.88671875" style="40" customWidth="1"/>
    <col min="7" max="7" width="3.33203125" style="40" customWidth="1"/>
    <col min="8" max="8" width="26.5546875" style="40" bestFit="1" customWidth="1"/>
    <col min="9" max="9" width="10.88671875" style="40"/>
    <col min="10" max="10" width="2.6640625" style="40" customWidth="1"/>
    <col min="11" max="16384" width="10.88671875" style="40"/>
  </cols>
  <sheetData>
    <row r="6" spans="2:9" x14ac:dyDescent="0.25">
      <c r="B6" s="19" t="s">
        <v>411</v>
      </c>
      <c r="C6" s="2"/>
      <c r="D6" s="2"/>
      <c r="E6" s="3"/>
      <c r="F6" s="3"/>
      <c r="G6" s="4"/>
      <c r="H6" s="399" t="s">
        <v>0</v>
      </c>
      <c r="I6" s="399"/>
    </row>
    <row r="7" spans="2:9" x14ac:dyDescent="0.25">
      <c r="B7" s="5" t="s">
        <v>1</v>
      </c>
      <c r="C7" s="6" t="s">
        <v>2</v>
      </c>
      <c r="D7" s="6" t="s">
        <v>3</v>
      </c>
      <c r="E7" s="7" t="s">
        <v>4</v>
      </c>
      <c r="F7" s="7" t="s">
        <v>5</v>
      </c>
      <c r="G7" s="4"/>
      <c r="H7" s="8" t="s">
        <v>6</v>
      </c>
      <c r="I7" s="9">
        <f>SUM(Tabla110345345445545647945586877869510811712713622823724627233260269297315316384392394396416[Total costo])</f>
        <v>2965.8</v>
      </c>
    </row>
    <row r="8" spans="2:9" x14ac:dyDescent="0.25">
      <c r="B8" s="10" t="s">
        <v>410</v>
      </c>
      <c r="C8" s="11" t="s">
        <v>11</v>
      </c>
      <c r="D8" s="12">
        <v>1</v>
      </c>
      <c r="E8" s="13">
        <f>+VLOOKUP(Tabla110345345445545647945586877869510811712713622823724627233260269297315316384392394396416[[#This Row],[Ingrediente]],Tabla34[#All],3,0)</f>
        <v>2965.8</v>
      </c>
      <c r="F8" s="14">
        <f>+Tabla110345345445545647945586877869510811712713622823724627233260269297315316384392394396416[[#This Row],[Costo]]*Tabla110345345445545647945586877869510811712713622823724627233260269297315316384392394396416[[#This Row],[Cant.]]</f>
        <v>2965.8</v>
      </c>
      <c r="G8" s="4"/>
      <c r="H8" s="8" t="s">
        <v>372</v>
      </c>
      <c r="I8" s="15"/>
    </row>
    <row r="9" spans="2:9" x14ac:dyDescent="0.25">
      <c r="B9" s="16"/>
      <c r="C9" s="17"/>
      <c r="D9" s="17"/>
      <c r="E9" s="18"/>
      <c r="F9" s="18">
        <f>SUBTOTAL(109,Tabla110345345445545647945586877869510811712713622823724627233260269297315316384392394396416[Total costo])</f>
        <v>2965.8</v>
      </c>
      <c r="G9" s="4"/>
      <c r="H9" s="8" t="s">
        <v>13</v>
      </c>
      <c r="I9" s="15">
        <f>+I7+I8</f>
        <v>2965.8</v>
      </c>
    </row>
    <row r="10" spans="2:9" x14ac:dyDescent="0.25">
      <c r="G10" s="4"/>
      <c r="H10" s="20" t="s">
        <v>14</v>
      </c>
      <c r="I10" s="21">
        <v>12000</v>
      </c>
    </row>
    <row r="11" spans="2:9" x14ac:dyDescent="0.25">
      <c r="G11" s="4"/>
      <c r="H11" s="8" t="s">
        <v>15</v>
      </c>
      <c r="I11" s="15">
        <f>+I10/1.08*0.08</f>
        <v>888.8888888888888</v>
      </c>
    </row>
    <row r="12" spans="2:9" x14ac:dyDescent="0.25">
      <c r="G12" s="4"/>
      <c r="H12" s="8" t="s">
        <v>16</v>
      </c>
      <c r="I12" s="15">
        <f>+I10-I11</f>
        <v>11111.111111111111</v>
      </c>
    </row>
    <row r="13" spans="2:9" x14ac:dyDescent="0.25">
      <c r="G13" s="4"/>
      <c r="H13" s="8" t="s">
        <v>17</v>
      </c>
      <c r="I13" s="41">
        <f>+I9/I12</f>
        <v>0.26692199999999999</v>
      </c>
    </row>
    <row r="14" spans="2:9" x14ac:dyDescent="0.25">
      <c r="G14" s="4"/>
      <c r="H14" s="8" t="s">
        <v>18</v>
      </c>
      <c r="I14" s="42">
        <f>+I12-I9</f>
        <v>8145.3111111111111</v>
      </c>
    </row>
    <row r="15" spans="2:9" x14ac:dyDescent="0.25">
      <c r="G15" s="4"/>
      <c r="H15" s="8" t="s">
        <v>19</v>
      </c>
      <c r="I15" s="43">
        <f>+I14/I9</f>
        <v>2.7464128097346787</v>
      </c>
    </row>
    <row r="18" spans="2:9" x14ac:dyDescent="0.25">
      <c r="B18" s="1" t="s">
        <v>412</v>
      </c>
      <c r="C18" s="2"/>
      <c r="D18" s="2"/>
      <c r="E18" s="3"/>
      <c r="F18" s="3"/>
      <c r="G18" s="4"/>
      <c r="H18" s="399" t="s">
        <v>0</v>
      </c>
      <c r="I18" s="399"/>
    </row>
    <row r="19" spans="2:9" x14ac:dyDescent="0.25">
      <c r="B19" s="5" t="s">
        <v>1</v>
      </c>
      <c r="C19" s="6" t="s">
        <v>2</v>
      </c>
      <c r="D19" s="6" t="s">
        <v>3</v>
      </c>
      <c r="E19" s="7" t="s">
        <v>4</v>
      </c>
      <c r="F19" s="7" t="s">
        <v>5</v>
      </c>
      <c r="G19" s="4"/>
      <c r="H19" s="8" t="s">
        <v>6</v>
      </c>
      <c r="I19" s="9">
        <f>SUM(Tabla110345345445545647945586877869510811712713622823724627233260269297315316384392394396416420[Total costo])</f>
        <v>2965.8</v>
      </c>
    </row>
    <row r="20" spans="2:9" x14ac:dyDescent="0.25">
      <c r="B20" s="10" t="s">
        <v>190</v>
      </c>
      <c r="C20" s="11" t="s">
        <v>11</v>
      </c>
      <c r="D20" s="12">
        <v>1</v>
      </c>
      <c r="E20" s="13">
        <f>+VLOOKUP(Tabla110345345445545647945586877869510811712713622823724627233260269297315316384392394396416420[[#This Row],[Ingrediente]],Tabla34[#All],3,0)</f>
        <v>2965.8</v>
      </c>
      <c r="F20" s="14">
        <f>+Tabla110345345445545647945586877869510811712713622823724627233260269297315316384392394396416420[[#This Row],[Costo]]*Tabla110345345445545647945586877869510811712713622823724627233260269297315316384392394396416420[[#This Row],[Cant.]]</f>
        <v>2965.8</v>
      </c>
      <c r="G20" s="4"/>
      <c r="H20" s="8" t="s">
        <v>372</v>
      </c>
      <c r="I20" s="15"/>
    </row>
    <row r="21" spans="2:9" x14ac:dyDescent="0.25">
      <c r="B21" s="16"/>
      <c r="C21" s="17"/>
      <c r="D21" s="17"/>
      <c r="E21" s="18"/>
      <c r="F21" s="18">
        <f>SUBTOTAL(109,Tabla110345345445545647945586877869510811712713622823724627233260269297315316384392394396416420[Total costo])</f>
        <v>2965.8</v>
      </c>
      <c r="G21" s="4"/>
      <c r="H21" s="8" t="s">
        <v>13</v>
      </c>
      <c r="I21" s="15">
        <f>+I19+I20</f>
        <v>2965.8</v>
      </c>
    </row>
    <row r="22" spans="2:9" x14ac:dyDescent="0.25">
      <c r="G22" s="4"/>
      <c r="H22" s="20" t="s">
        <v>14</v>
      </c>
      <c r="I22" s="21">
        <v>12000</v>
      </c>
    </row>
    <row r="23" spans="2:9" x14ac:dyDescent="0.25">
      <c r="G23" s="4"/>
      <c r="H23" s="8" t="s">
        <v>15</v>
      </c>
      <c r="I23" s="15">
        <f>+I22/1.08*0.08</f>
        <v>888.8888888888888</v>
      </c>
    </row>
    <row r="24" spans="2:9" x14ac:dyDescent="0.25">
      <c r="G24" s="4"/>
      <c r="H24" s="8" t="s">
        <v>16</v>
      </c>
      <c r="I24" s="15">
        <f>+I22-I23</f>
        <v>11111.111111111111</v>
      </c>
    </row>
    <row r="25" spans="2:9" x14ac:dyDescent="0.25">
      <c r="G25" s="4"/>
      <c r="H25" s="8" t="s">
        <v>17</v>
      </c>
      <c r="I25" s="41">
        <f>+I21/I24</f>
        <v>0.26692199999999999</v>
      </c>
    </row>
    <row r="26" spans="2:9" x14ac:dyDescent="0.25">
      <c r="G26" s="4"/>
      <c r="H26" s="8" t="s">
        <v>18</v>
      </c>
      <c r="I26" s="42">
        <f>+I24-I21</f>
        <v>8145.3111111111111</v>
      </c>
    </row>
    <row r="27" spans="2:9" x14ac:dyDescent="0.25">
      <c r="G27" s="4"/>
      <c r="H27" s="8" t="s">
        <v>19</v>
      </c>
      <c r="I27" s="43">
        <f>+I26/I21</f>
        <v>2.7464128097346787</v>
      </c>
    </row>
    <row r="30" spans="2:9" x14ac:dyDescent="0.25">
      <c r="B30" s="1" t="s">
        <v>413</v>
      </c>
      <c r="C30" s="2"/>
      <c r="D30" s="2"/>
      <c r="E30" s="3"/>
      <c r="F30" s="3"/>
      <c r="G30" s="4"/>
      <c r="H30" s="399" t="s">
        <v>0</v>
      </c>
      <c r="I30" s="399"/>
    </row>
    <row r="31" spans="2:9" x14ac:dyDescent="0.25">
      <c r="B31" s="5" t="s">
        <v>1</v>
      </c>
      <c r="C31" s="6" t="s">
        <v>2</v>
      </c>
      <c r="D31" s="6" t="s">
        <v>3</v>
      </c>
      <c r="E31" s="7" t="s">
        <v>4</v>
      </c>
      <c r="F31" s="7" t="s">
        <v>5</v>
      </c>
      <c r="G31" s="4"/>
      <c r="H31" s="8" t="s">
        <v>6</v>
      </c>
      <c r="I31" s="9">
        <f>SUM(Tabla110345345445545647945586877869510811712713622823724627233260269297315316384392394396416421[Total costo])</f>
        <v>0</v>
      </c>
    </row>
    <row r="32" spans="2:9" x14ac:dyDescent="0.25">
      <c r="B32" s="10" t="s">
        <v>111</v>
      </c>
      <c r="C32" s="11" t="s">
        <v>11</v>
      </c>
      <c r="D32" s="12">
        <v>1</v>
      </c>
      <c r="E32" s="13">
        <f>+VLOOKUP(Tabla110345345445545647945586877869510811712713622823724627233260269297315316384392394396416421[[#This Row],[Ingrediente]],Tabla34[#All],3,0)</f>
        <v>0</v>
      </c>
      <c r="F32" s="14">
        <f>+Tabla110345345445545647945586877869510811712713622823724627233260269297315316384392394396416421[[#This Row],[Costo]]*Tabla110345345445545647945586877869510811712713622823724627233260269297315316384392394396416421[[#This Row],[Cant.]]</f>
        <v>0</v>
      </c>
      <c r="G32" s="4"/>
      <c r="H32" s="8" t="s">
        <v>372</v>
      </c>
      <c r="I32" s="15"/>
    </row>
    <row r="33" spans="2:9" x14ac:dyDescent="0.25">
      <c r="B33" s="16"/>
      <c r="C33" s="17"/>
      <c r="D33" s="17"/>
      <c r="E33" s="18"/>
      <c r="F33" s="18">
        <f>SUBTOTAL(109,Tabla110345345445545647945586877869510811712713622823724627233260269297315316384392394396416421[Total costo])</f>
        <v>0</v>
      </c>
      <c r="G33" s="4"/>
      <c r="H33" s="8" t="s">
        <v>13</v>
      </c>
      <c r="I33" s="15">
        <f>+I31+I32</f>
        <v>0</v>
      </c>
    </row>
    <row r="34" spans="2:9" x14ac:dyDescent="0.25">
      <c r="G34" s="4"/>
      <c r="H34" s="20" t="s">
        <v>14</v>
      </c>
      <c r="I34" s="21">
        <v>12000</v>
      </c>
    </row>
    <row r="35" spans="2:9" x14ac:dyDescent="0.25">
      <c r="G35" s="4"/>
      <c r="H35" s="8" t="s">
        <v>15</v>
      </c>
      <c r="I35" s="15">
        <f>+I34/1.08*0.08</f>
        <v>888.8888888888888</v>
      </c>
    </row>
    <row r="36" spans="2:9" x14ac:dyDescent="0.25">
      <c r="G36" s="4"/>
      <c r="H36" s="8" t="s">
        <v>16</v>
      </c>
      <c r="I36" s="15">
        <f>+I34-I35</f>
        <v>11111.111111111111</v>
      </c>
    </row>
    <row r="37" spans="2:9" x14ac:dyDescent="0.25">
      <c r="G37" s="4"/>
      <c r="H37" s="8" t="s">
        <v>17</v>
      </c>
      <c r="I37" s="41">
        <f>+I33/I36</f>
        <v>0</v>
      </c>
    </row>
    <row r="38" spans="2:9" x14ac:dyDescent="0.25">
      <c r="G38" s="4"/>
      <c r="H38" s="8" t="s">
        <v>18</v>
      </c>
      <c r="I38" s="42">
        <f>+I36-I33</f>
        <v>11111.111111111111</v>
      </c>
    </row>
    <row r="39" spans="2:9" x14ac:dyDescent="0.25">
      <c r="G39" s="4"/>
      <c r="H39" s="8" t="s">
        <v>19</v>
      </c>
      <c r="I39" s="43" t="e">
        <f>+I38/I33</f>
        <v>#DIV/0!</v>
      </c>
    </row>
    <row r="42" spans="2:9" x14ac:dyDescent="0.25">
      <c r="B42" s="1" t="s">
        <v>414</v>
      </c>
      <c r="C42" s="2"/>
      <c r="D42" s="2"/>
      <c r="E42" s="3"/>
      <c r="F42" s="3"/>
      <c r="G42" s="4"/>
      <c r="H42" s="399" t="s">
        <v>0</v>
      </c>
      <c r="I42" s="399"/>
    </row>
    <row r="43" spans="2:9" x14ac:dyDescent="0.25">
      <c r="B43" s="5" t="s">
        <v>1</v>
      </c>
      <c r="C43" s="6" t="s">
        <v>2</v>
      </c>
      <c r="D43" s="6" t="s">
        <v>3</v>
      </c>
      <c r="E43" s="7" t="s">
        <v>4</v>
      </c>
      <c r="F43" s="7" t="s">
        <v>5</v>
      </c>
      <c r="G43" s="4"/>
      <c r="H43" s="8" t="s">
        <v>6</v>
      </c>
      <c r="I43" s="9">
        <f>SUM(Tabla110345345445545647945586877869510811712713622823724627233260269297315316384392394396416422[Total costo])</f>
        <v>2183.46666667</v>
      </c>
    </row>
    <row r="44" spans="2:9" x14ac:dyDescent="0.25">
      <c r="B44" s="10" t="s">
        <v>112</v>
      </c>
      <c r="C44" s="11" t="s">
        <v>11</v>
      </c>
      <c r="D44" s="12">
        <v>1</v>
      </c>
      <c r="E44" s="13">
        <f>+VLOOKUP(Tabla110345345445545647945586877869510811712713622823724627233260269297315316384392394396416422[[#This Row],[Ingrediente]],Tabla34[#All],3,0)</f>
        <v>2183.46666667</v>
      </c>
      <c r="F44" s="14">
        <f>+Tabla110345345445545647945586877869510811712713622823724627233260269297315316384392394396416422[[#This Row],[Costo]]*Tabla110345345445545647945586877869510811712713622823724627233260269297315316384392394396416422[[#This Row],[Cant.]]</f>
        <v>2183.46666667</v>
      </c>
      <c r="G44" s="4"/>
      <c r="H44" s="8" t="s">
        <v>372</v>
      </c>
      <c r="I44" s="15"/>
    </row>
    <row r="45" spans="2:9" x14ac:dyDescent="0.25">
      <c r="B45" s="16"/>
      <c r="C45" s="17"/>
      <c r="D45" s="17"/>
      <c r="E45" s="18"/>
      <c r="F45" s="18">
        <f>SUBTOTAL(109,Tabla110345345445545647945586877869510811712713622823724627233260269297315316384392394396416422[Total costo])</f>
        <v>2183.46666667</v>
      </c>
      <c r="G45" s="4"/>
      <c r="H45" s="8" t="s">
        <v>13</v>
      </c>
      <c r="I45" s="15">
        <f>+I43+I44</f>
        <v>2183.46666667</v>
      </c>
    </row>
    <row r="46" spans="2:9" x14ac:dyDescent="0.25">
      <c r="G46" s="4"/>
      <c r="H46" s="20" t="s">
        <v>14</v>
      </c>
      <c r="I46" s="21">
        <v>12000</v>
      </c>
    </row>
    <row r="47" spans="2:9" x14ac:dyDescent="0.25">
      <c r="G47" s="4"/>
      <c r="H47" s="8" t="s">
        <v>15</v>
      </c>
      <c r="I47" s="15">
        <f>+I46/1.08*0.08</f>
        <v>888.8888888888888</v>
      </c>
    </row>
    <row r="48" spans="2:9" x14ac:dyDescent="0.25">
      <c r="G48" s="4"/>
      <c r="H48" s="8" t="s">
        <v>16</v>
      </c>
      <c r="I48" s="15">
        <f>+I46-I47</f>
        <v>11111.111111111111</v>
      </c>
    </row>
    <row r="49" spans="2:9" x14ac:dyDescent="0.25">
      <c r="G49" s="4"/>
      <c r="H49" s="8" t="s">
        <v>17</v>
      </c>
      <c r="I49" s="41">
        <f>+I45/I48</f>
        <v>0.1965120000003</v>
      </c>
    </row>
    <row r="50" spans="2:9" x14ac:dyDescent="0.25">
      <c r="G50" s="4"/>
      <c r="H50" s="8" t="s">
        <v>18</v>
      </c>
      <c r="I50" s="42">
        <f>+I48-I45</f>
        <v>8927.6444444411118</v>
      </c>
    </row>
    <row r="51" spans="2:9" x14ac:dyDescent="0.25">
      <c r="G51" s="4"/>
      <c r="H51" s="8" t="s">
        <v>19</v>
      </c>
      <c r="I51" s="43">
        <f>+I50/I45</f>
        <v>4.0887477609432166</v>
      </c>
    </row>
    <row r="53" spans="2:9" x14ac:dyDescent="0.25">
      <c r="B53" s="1" t="s">
        <v>415</v>
      </c>
      <c r="C53" s="2"/>
      <c r="D53" s="2"/>
      <c r="E53" s="3"/>
      <c r="F53" s="3"/>
      <c r="G53" s="4"/>
      <c r="H53" s="399" t="s">
        <v>0</v>
      </c>
      <c r="I53" s="399"/>
    </row>
    <row r="54" spans="2:9" x14ac:dyDescent="0.25">
      <c r="B54" s="5" t="s">
        <v>1</v>
      </c>
      <c r="C54" s="6" t="s">
        <v>2</v>
      </c>
      <c r="D54" s="6" t="s">
        <v>3</v>
      </c>
      <c r="E54" s="7" t="s">
        <v>4</v>
      </c>
      <c r="F54" s="7" t="s">
        <v>5</v>
      </c>
      <c r="G54" s="4"/>
      <c r="H54" s="8" t="s">
        <v>6</v>
      </c>
      <c r="I54" s="9">
        <f>SUM(Tabla110345345445545647945586877869510811712713622823724627233260269297315316384392394396416423[Total costo])</f>
        <v>2335.4</v>
      </c>
    </row>
    <row r="55" spans="2:9" x14ac:dyDescent="0.25">
      <c r="B55" s="10" t="s">
        <v>189</v>
      </c>
      <c r="C55" s="11" t="s">
        <v>11</v>
      </c>
      <c r="D55" s="12">
        <v>1</v>
      </c>
      <c r="E55" s="13">
        <f>+VLOOKUP(Tabla110345345445545647945586877869510811712713622823724627233260269297315316384392394396416423[[#This Row],[Ingrediente]],Tabla34[#All],3,0)</f>
        <v>2335.4</v>
      </c>
      <c r="F55" s="14">
        <f>+Tabla110345345445545647945586877869510811712713622823724627233260269297315316384392394396416423[[#This Row],[Costo]]*Tabla110345345445545647945586877869510811712713622823724627233260269297315316384392394396416423[[#This Row],[Cant.]]</f>
        <v>2335.4</v>
      </c>
      <c r="G55" s="4"/>
      <c r="H55" s="8" t="s">
        <v>372</v>
      </c>
      <c r="I55" s="15"/>
    </row>
    <row r="56" spans="2:9" x14ac:dyDescent="0.25">
      <c r="B56" s="16"/>
      <c r="C56" s="17"/>
      <c r="D56" s="17"/>
      <c r="E56" s="18"/>
      <c r="F56" s="18">
        <f>SUBTOTAL(109,Tabla110345345445545647945586877869510811712713622823724627233260269297315316384392394396416423[Total costo])</f>
        <v>2335.4</v>
      </c>
      <c r="G56" s="4"/>
      <c r="H56" s="8" t="s">
        <v>13</v>
      </c>
      <c r="I56" s="15">
        <f>+I54+I55</f>
        <v>2335.4</v>
      </c>
    </row>
    <row r="57" spans="2:9" x14ac:dyDescent="0.25">
      <c r="G57" s="4"/>
      <c r="H57" s="20" t="s">
        <v>14</v>
      </c>
      <c r="I57" s="21">
        <v>12000</v>
      </c>
    </row>
    <row r="58" spans="2:9" x14ac:dyDescent="0.25">
      <c r="G58" s="4"/>
      <c r="H58" s="8" t="s">
        <v>15</v>
      </c>
      <c r="I58" s="15">
        <f>+I57/1.08*0.08</f>
        <v>888.8888888888888</v>
      </c>
    </row>
    <row r="59" spans="2:9" x14ac:dyDescent="0.25">
      <c r="G59" s="4"/>
      <c r="H59" s="8" t="s">
        <v>16</v>
      </c>
      <c r="I59" s="15">
        <f>+I57-I58</f>
        <v>11111.111111111111</v>
      </c>
    </row>
    <row r="60" spans="2:9" x14ac:dyDescent="0.25">
      <c r="G60" s="4"/>
      <c r="H60" s="8" t="s">
        <v>17</v>
      </c>
      <c r="I60" s="41">
        <f>+I56/I59</f>
        <v>0.21018600000000001</v>
      </c>
    </row>
    <row r="61" spans="2:9" x14ac:dyDescent="0.25">
      <c r="G61" s="4"/>
      <c r="H61" s="8" t="s">
        <v>18</v>
      </c>
      <c r="I61" s="42">
        <f>+I59-I56</f>
        <v>8775.7111111111117</v>
      </c>
    </row>
    <row r="62" spans="2:9" x14ac:dyDescent="0.25">
      <c r="G62" s="4"/>
      <c r="H62" s="8" t="s">
        <v>19</v>
      </c>
      <c r="I62" s="43">
        <f>+I61/I56</f>
        <v>3.7576908071898223</v>
      </c>
    </row>
    <row r="65" spans="2:9" x14ac:dyDescent="0.25">
      <c r="B65" s="1" t="s">
        <v>1093</v>
      </c>
      <c r="C65" s="2"/>
      <c r="D65" s="2"/>
      <c r="E65" s="3"/>
      <c r="F65" s="3"/>
      <c r="G65" s="4"/>
      <c r="H65" s="399" t="s">
        <v>0</v>
      </c>
      <c r="I65" s="399"/>
    </row>
    <row r="66" spans="2:9" x14ac:dyDescent="0.25">
      <c r="B66" s="5" t="s">
        <v>1</v>
      </c>
      <c r="C66" s="6" t="s">
        <v>2</v>
      </c>
      <c r="D66" s="6" t="s">
        <v>3</v>
      </c>
      <c r="E66" s="7" t="s">
        <v>4</v>
      </c>
      <c r="F66" s="7" t="s">
        <v>5</v>
      </c>
      <c r="G66" s="4"/>
      <c r="H66" s="8" t="s">
        <v>6</v>
      </c>
      <c r="I66" s="9">
        <f>SUM(Tabla110345345445545647945586877869510811712713622823724627233260269297315316384392394396416424[Total costo])</f>
        <v>3566.6666666699998</v>
      </c>
    </row>
    <row r="67" spans="2:9" x14ac:dyDescent="0.25">
      <c r="B67" s="10" t="s">
        <v>191</v>
      </c>
      <c r="C67" s="11" t="s">
        <v>11</v>
      </c>
      <c r="D67" s="12">
        <v>1</v>
      </c>
      <c r="E67" s="13">
        <f>+VLOOKUP(Tabla110345345445545647945586877869510811712713622823724627233260269297315316384392394396416424[[#This Row],[Ingrediente]],Tabla34[#All],3,0)</f>
        <v>3566.6666666699998</v>
      </c>
      <c r="F67" s="14">
        <f>+Tabla110345345445545647945586877869510811712713622823724627233260269297315316384392394396416424[[#This Row],[Costo]]*Tabla110345345445545647945586877869510811712713622823724627233260269297315316384392394396416424[[#This Row],[Cant.]]</f>
        <v>3566.6666666699998</v>
      </c>
      <c r="G67" s="4"/>
      <c r="H67" s="8" t="s">
        <v>372</v>
      </c>
      <c r="I67" s="15"/>
    </row>
    <row r="68" spans="2:9" x14ac:dyDescent="0.25">
      <c r="B68" s="16"/>
      <c r="C68" s="17"/>
      <c r="D68" s="17"/>
      <c r="E68" s="18"/>
      <c r="F68" s="18">
        <f>SUBTOTAL(109,Tabla110345345445545647945586877869510811712713622823724627233260269297315316384392394396416424[Total costo])</f>
        <v>3566.6666666699998</v>
      </c>
      <c r="G68" s="4"/>
      <c r="H68" s="8" t="s">
        <v>13</v>
      </c>
      <c r="I68" s="15">
        <f>+I66+I67</f>
        <v>3566.6666666699998</v>
      </c>
    </row>
    <row r="69" spans="2:9" x14ac:dyDescent="0.25">
      <c r="G69" s="4"/>
      <c r="H69" s="20" t="s">
        <v>14</v>
      </c>
      <c r="I69" s="21">
        <v>15000</v>
      </c>
    </row>
    <row r="70" spans="2:9" x14ac:dyDescent="0.25">
      <c r="G70" s="4"/>
      <c r="H70" s="8" t="s">
        <v>15</v>
      </c>
      <c r="I70" s="15">
        <f>+I69/1.08*0.08</f>
        <v>1111.1111111111111</v>
      </c>
    </row>
    <row r="71" spans="2:9" x14ac:dyDescent="0.25">
      <c r="G71" s="4"/>
      <c r="H71" s="8" t="s">
        <v>16</v>
      </c>
      <c r="I71" s="15">
        <f>+I69-I70</f>
        <v>13888.888888888889</v>
      </c>
    </row>
    <row r="72" spans="2:9" x14ac:dyDescent="0.25">
      <c r="G72" s="4"/>
      <c r="H72" s="8" t="s">
        <v>17</v>
      </c>
      <c r="I72" s="41">
        <f>+I68/I71</f>
        <v>0.25680000000024</v>
      </c>
    </row>
    <row r="73" spans="2:9" x14ac:dyDescent="0.25">
      <c r="G73" s="4"/>
      <c r="H73" s="8" t="s">
        <v>18</v>
      </c>
      <c r="I73" s="42">
        <f>+I71-I68</f>
        <v>10322.222222218888</v>
      </c>
    </row>
    <row r="74" spans="2:9" x14ac:dyDescent="0.25">
      <c r="G74" s="4"/>
      <c r="H74" s="8" t="s">
        <v>19</v>
      </c>
      <c r="I74" s="43">
        <f>+I73/I68</f>
        <v>2.8940809968810961</v>
      </c>
    </row>
    <row r="77" spans="2:9" x14ac:dyDescent="0.25">
      <c r="B77" s="1" t="s">
        <v>416</v>
      </c>
      <c r="C77" s="2"/>
      <c r="D77" s="2"/>
      <c r="E77" s="3"/>
      <c r="F77" s="3"/>
      <c r="G77" s="4"/>
      <c r="H77" s="399" t="s">
        <v>0</v>
      </c>
      <c r="I77" s="399"/>
    </row>
    <row r="78" spans="2:9" x14ac:dyDescent="0.25">
      <c r="B78" s="5" t="s">
        <v>1</v>
      </c>
      <c r="C78" s="6" t="s">
        <v>2</v>
      </c>
      <c r="D78" s="6" t="s">
        <v>3</v>
      </c>
      <c r="E78" s="7" t="s">
        <v>4</v>
      </c>
      <c r="F78" s="7" t="s">
        <v>5</v>
      </c>
      <c r="G78" s="4"/>
      <c r="H78" s="8" t="s">
        <v>6</v>
      </c>
      <c r="I78" s="9">
        <f>SUM(Tabla110345345445545647945586877869510811712713622823724627233260269297315316384392394396416425[Total costo])</f>
        <v>3736.1666666699998</v>
      </c>
    </row>
    <row r="79" spans="2:9" x14ac:dyDescent="0.25">
      <c r="B79" s="10" t="s">
        <v>113</v>
      </c>
      <c r="C79" s="11" t="s">
        <v>11</v>
      </c>
      <c r="D79" s="12">
        <v>1</v>
      </c>
      <c r="E79" s="13">
        <f>+VLOOKUP(Tabla110345345445545647945586877869510811712713622823724627233260269297315316384392394396416425[[#This Row],[Ingrediente]],Tabla34[#All],3,0)</f>
        <v>3736.1666666699998</v>
      </c>
      <c r="F79" s="14">
        <f>+Tabla110345345445545647945586877869510811712713622823724627233260269297315316384392394396416425[[#This Row],[Costo]]*Tabla110345345445545647945586877869510811712713622823724627233260269297315316384392394396416425[[#This Row],[Cant.]]</f>
        <v>3736.1666666699998</v>
      </c>
      <c r="G79" s="4"/>
      <c r="H79" s="8" t="s">
        <v>372</v>
      </c>
      <c r="I79" s="15"/>
    </row>
    <row r="80" spans="2:9" x14ac:dyDescent="0.25">
      <c r="B80" s="16"/>
      <c r="C80" s="17"/>
      <c r="D80" s="17"/>
      <c r="E80" s="18"/>
      <c r="F80" s="18">
        <f>SUBTOTAL(109,Tabla110345345445545647945586877869510811712713622823724627233260269297315316384392394396416425[Total costo])</f>
        <v>3736.1666666699998</v>
      </c>
      <c r="G80" s="4"/>
      <c r="H80" s="8" t="s">
        <v>13</v>
      </c>
      <c r="I80" s="15">
        <f>+I78+I79</f>
        <v>3736.1666666699998</v>
      </c>
    </row>
    <row r="81" spans="2:9" x14ac:dyDescent="0.25">
      <c r="G81" s="4"/>
      <c r="H81" s="20" t="s">
        <v>14</v>
      </c>
      <c r="I81" s="21">
        <v>15000</v>
      </c>
    </row>
    <row r="82" spans="2:9" x14ac:dyDescent="0.25">
      <c r="G82" s="4"/>
      <c r="H82" s="8" t="s">
        <v>15</v>
      </c>
      <c r="I82" s="15">
        <f>+I81/1.08*0.08</f>
        <v>1111.1111111111111</v>
      </c>
    </row>
    <row r="83" spans="2:9" x14ac:dyDescent="0.25">
      <c r="G83" s="4"/>
      <c r="H83" s="8" t="s">
        <v>16</v>
      </c>
      <c r="I83" s="15">
        <f>+I81-I82</f>
        <v>13888.888888888889</v>
      </c>
    </row>
    <row r="84" spans="2:9" x14ac:dyDescent="0.25">
      <c r="G84" s="4"/>
      <c r="H84" s="8" t="s">
        <v>17</v>
      </c>
      <c r="I84" s="41">
        <f>+I80/I83</f>
        <v>0.26900400000024</v>
      </c>
    </row>
    <row r="85" spans="2:9" x14ac:dyDescent="0.25">
      <c r="G85" s="4"/>
      <c r="H85" s="8" t="s">
        <v>18</v>
      </c>
      <c r="I85" s="42">
        <f>+I83-I80</f>
        <v>10152.722222218888</v>
      </c>
    </row>
    <row r="86" spans="2:9" x14ac:dyDescent="0.25">
      <c r="G86" s="4"/>
      <c r="H86" s="8" t="s">
        <v>19</v>
      </c>
      <c r="I86" s="43">
        <f>+I85/I80</f>
        <v>2.7174168413819415</v>
      </c>
    </row>
    <row r="92" spans="2:9" x14ac:dyDescent="0.25">
      <c r="B92" s="1" t="s">
        <v>588</v>
      </c>
      <c r="C92" s="2"/>
      <c r="D92" s="2"/>
      <c r="E92" s="3"/>
      <c r="F92" s="3"/>
      <c r="G92" s="4"/>
      <c r="H92" s="399" t="s">
        <v>0</v>
      </c>
      <c r="I92" s="399"/>
    </row>
    <row r="93" spans="2:9" x14ac:dyDescent="0.25">
      <c r="B93" s="5" t="s">
        <v>1</v>
      </c>
      <c r="C93" s="6" t="s">
        <v>2</v>
      </c>
      <c r="D93" s="6" t="s">
        <v>3</v>
      </c>
      <c r="E93" s="7" t="s">
        <v>4</v>
      </c>
      <c r="F93" s="7" t="s">
        <v>5</v>
      </c>
      <c r="G93" s="4"/>
      <c r="H93" s="8" t="s">
        <v>6</v>
      </c>
      <c r="I93" s="9">
        <f>SUM(Tabla110345345445545647945586877869510811712713622823724627233260269297315316384392394396416425489[Total costo])</f>
        <v>6241.2637860199993</v>
      </c>
    </row>
    <row r="94" spans="2:9" x14ac:dyDescent="0.25">
      <c r="B94" s="10" t="s">
        <v>837</v>
      </c>
      <c r="C94" s="11" t="s">
        <v>847</v>
      </c>
      <c r="D94" s="12">
        <v>3</v>
      </c>
      <c r="E94" s="13">
        <f>+VLOOKUP(Tabla110345345445545647945586877869510811712713622823724627233260269297315316384392394396416425489[[#This Row],[Ingrediente]],Tabla34[#All],3,0)</f>
        <v>514.28</v>
      </c>
      <c r="F94" s="14">
        <f>+Tabla110345345445545647945586877869510811712713622823724627233260269297315316384392394396416425489[[#This Row],[Costo]]*Tabla110345345445545647945586877869510811712713622823724627233260269297315316384392394396416425489[[#This Row],[Cant.]]</f>
        <v>1542.84</v>
      </c>
      <c r="G94" s="4"/>
      <c r="H94" s="8" t="s">
        <v>372</v>
      </c>
      <c r="I94" s="15"/>
    </row>
    <row r="95" spans="2:9" x14ac:dyDescent="0.25">
      <c r="B95" s="10" t="s">
        <v>189</v>
      </c>
      <c r="C95" s="11" t="s">
        <v>847</v>
      </c>
      <c r="D95" s="12">
        <v>1</v>
      </c>
      <c r="E95" s="13">
        <f>+VLOOKUP(Tabla110345345445545647945586877869510811712713622823724627233260269297315316384392394396416425489[[#This Row],[Ingrediente]],Tabla34[#All],3,0)</f>
        <v>2335.4</v>
      </c>
      <c r="F95" s="14">
        <f>+Tabla110345345445545647945586877869510811712713622823724627233260269297315316384392394396416425489[[#This Row],[Costo]]*Tabla110345345445545647945586877869510811712713622823724627233260269297315316384392394396416425489[[#This Row],[Cant.]]</f>
        <v>2335.4</v>
      </c>
      <c r="G95" s="4"/>
      <c r="H95" s="8" t="s">
        <v>13</v>
      </c>
      <c r="I95" s="15">
        <f>+I93+I94</f>
        <v>6241.2637860199993</v>
      </c>
    </row>
    <row r="96" spans="2:9" x14ac:dyDescent="0.25">
      <c r="B96" s="10" t="s">
        <v>589</v>
      </c>
      <c r="C96" s="11" t="s">
        <v>67</v>
      </c>
      <c r="D96" s="12">
        <v>60</v>
      </c>
      <c r="E96" s="13">
        <f>+VLOOKUP(Tabla110345345445545647945586877869510811712713622823724627233260269297315316384392394396416425489[[#This Row],[Ingrediente]],Tabla34[#All],3,0)</f>
        <v>24.513999999999999</v>
      </c>
      <c r="F96" s="14">
        <f>+Tabla110345345445545647945586877869510811712713622823724627233260269297315316384392394396416425489[[#This Row],[Costo]]*Tabla110345345445545647945586877869510811712713622823724627233260269297315316384392394396416425489[[#This Row],[Cant.]]</f>
        <v>1470.84</v>
      </c>
      <c r="G96" s="4"/>
      <c r="H96" s="20" t="s">
        <v>14</v>
      </c>
      <c r="I96" s="21">
        <v>24000</v>
      </c>
    </row>
    <row r="97" spans="2:9" x14ac:dyDescent="0.25">
      <c r="B97" s="10" t="s">
        <v>835</v>
      </c>
      <c r="C97" s="11" t="s">
        <v>67</v>
      </c>
      <c r="D97" s="12">
        <v>136.36363</v>
      </c>
      <c r="E97" s="13">
        <f>+VLOOKUP(Tabla110345345445545647945586877869510811712713622823724627233260269297315316384392394396416425489[[#This Row],[Ingrediente]],Tabla34[#All],3,0)</f>
        <v>4.5</v>
      </c>
      <c r="F97" s="14">
        <f>+Tabla110345345445545647945586877869510811712713622823724627233260269297315316384392394396416425489[[#This Row],[Costo]]*Tabla110345345445545647945586877869510811712713622823724627233260269297315316384392394396416425489[[#This Row],[Cant.]]</f>
        <v>613.63633500000003</v>
      </c>
      <c r="G97" s="4"/>
      <c r="H97" s="8" t="s">
        <v>15</v>
      </c>
      <c r="I97" s="15">
        <f>+I96/1.08*0.08</f>
        <v>1777.7777777777776</v>
      </c>
    </row>
    <row r="98" spans="2:9" x14ac:dyDescent="0.25">
      <c r="B98" s="10" t="s">
        <v>840</v>
      </c>
      <c r="C98" s="11" t="s">
        <v>67</v>
      </c>
      <c r="D98" s="12">
        <v>1</v>
      </c>
      <c r="E98" s="13">
        <f>+VLOOKUP(Tabla110345345445545647945586877869510811712713622823724627233260269297315316384392394396416425489[[#This Row],[Ingrediente]],Tabla34[#All],3,0)</f>
        <v>57.218061669999997</v>
      </c>
      <c r="F98" s="14">
        <f>+Tabla110345345445545647945586877869510811712713622823724627233260269297315316384392394396416425489[[#This Row],[Costo]]*Tabla110345345445545647945586877869510811712713622823724627233260269297315316384392394396416425489[[#This Row],[Cant.]]</f>
        <v>57.218061669999997</v>
      </c>
      <c r="G98" s="4"/>
      <c r="H98" s="8" t="s">
        <v>16</v>
      </c>
      <c r="I98" s="15">
        <f>+I96-I97</f>
        <v>22222.222222222223</v>
      </c>
    </row>
    <row r="99" spans="2:9" x14ac:dyDescent="0.25">
      <c r="B99" s="10" t="s">
        <v>89</v>
      </c>
      <c r="C99" s="11" t="s">
        <v>67</v>
      </c>
      <c r="D99" s="12">
        <v>1</v>
      </c>
      <c r="E99" s="13">
        <f>+VLOOKUP(Tabla110345345445545647945586877869510811712713622823724627233260269297315316384392394396416425489[[#This Row],[Ingrediente]],Tabla34[#All],3,0)</f>
        <v>2.4009999999999998</v>
      </c>
      <c r="F99" s="14">
        <f>+Tabla110345345445545647945586877869510811712713622823724627233260269297315316384392394396416425489[[#This Row],[Costo]]*Tabla110345345445545647945586877869510811712713622823724627233260269297315316384392394396416425489[[#This Row],[Cant.]]</f>
        <v>2.4009999999999998</v>
      </c>
      <c r="G99" s="4"/>
      <c r="H99" s="8" t="s">
        <v>17</v>
      </c>
      <c r="I99" s="41">
        <f>+I95/I98</f>
        <v>0.28085687037089996</v>
      </c>
    </row>
    <row r="100" spans="2:9" x14ac:dyDescent="0.25">
      <c r="B100" s="10" t="s">
        <v>634</v>
      </c>
      <c r="C100" s="11" t="s">
        <v>67</v>
      </c>
      <c r="D100" s="12">
        <v>15</v>
      </c>
      <c r="E100" s="13">
        <f>+VLOOKUP(Tabla110345345445545647945586877869510811712713622823724627233260269297315316384392394396416425489[[#This Row],[Ingrediente]],Tabla34[#All],3,0)</f>
        <v>8.9250000000000007</v>
      </c>
      <c r="F100" s="14">
        <f>+Tabla110345345445545647945586877869510811712713622823724627233260269297315316384392394396416425489[[#This Row],[Costo]]*Tabla110345345445545647945586877869510811712713622823724627233260269297315316384392394396416425489[[#This Row],[Cant.]]</f>
        <v>133.875</v>
      </c>
      <c r="G100" s="4"/>
      <c r="H100" s="8" t="s">
        <v>18</v>
      </c>
      <c r="I100" s="42">
        <f>+I98-I95</f>
        <v>15980.958436202223</v>
      </c>
    </row>
    <row r="101" spans="2:9" x14ac:dyDescent="0.25">
      <c r="B101" s="10" t="s">
        <v>590</v>
      </c>
      <c r="C101" s="11" t="s">
        <v>67</v>
      </c>
      <c r="D101" s="12">
        <v>1</v>
      </c>
      <c r="E101" s="13">
        <f>+VLOOKUP(Tabla110345345445545647945586877869510811712713622823724627233260269297315316384392394396416425489[[#This Row],[Ingrediente]],Tabla34[#All],3,0)</f>
        <v>85.053389350000003</v>
      </c>
      <c r="F101" s="14">
        <f>+Tabla110345345445545647945586877869510811712713622823724627233260269297315316384392394396416425489[[#This Row],[Costo]]*Tabla110345345445545647945586877869510811712713622823724627233260269297315316384392394396416425489[[#This Row],[Cant.]]</f>
        <v>85.053389350000003</v>
      </c>
      <c r="G101" s="4"/>
      <c r="H101" s="8" t="s">
        <v>19</v>
      </c>
      <c r="I101" s="43">
        <f>+I100/I95</f>
        <v>2.5605324472903179</v>
      </c>
    </row>
    <row r="102" spans="2:9" x14ac:dyDescent="0.25">
      <c r="B102" s="16"/>
      <c r="C102" s="17"/>
      <c r="D102" s="17"/>
      <c r="E102" s="18"/>
      <c r="F102" s="18">
        <f>SUBTOTAL(109,Tabla110345345445545647945586877869510811712713622823724627233260269297315316384392394396416425489[Total costo])</f>
        <v>6241.2637860199993</v>
      </c>
    </row>
  </sheetData>
  <mergeCells count="8">
    <mergeCell ref="H92:I92"/>
    <mergeCell ref="H65:I65"/>
    <mergeCell ref="H77:I77"/>
    <mergeCell ref="H6:I6"/>
    <mergeCell ref="H18:I18"/>
    <mergeCell ref="H30:I30"/>
    <mergeCell ref="H42:I42"/>
    <mergeCell ref="H53:I53"/>
  </mergeCells>
  <conditionalFormatting sqref="I13">
    <cfRule type="cellIs" dxfId="2043" priority="17" operator="lessThan">
      <formula>0.3</formula>
    </cfRule>
    <cfRule type="cellIs" dxfId="2042" priority="18" operator="greaterThan">
      <formula>0.3</formula>
    </cfRule>
  </conditionalFormatting>
  <conditionalFormatting sqref="I25">
    <cfRule type="cellIs" dxfId="2041" priority="13" operator="lessThan">
      <formula>0.3</formula>
    </cfRule>
    <cfRule type="cellIs" dxfId="2040" priority="14" operator="greaterThan">
      <formula>0.3</formula>
    </cfRule>
  </conditionalFormatting>
  <conditionalFormatting sqref="I37">
    <cfRule type="cellIs" dxfId="2039" priority="11" operator="lessThan">
      <formula>0.3</formula>
    </cfRule>
    <cfRule type="cellIs" dxfId="2038" priority="12" operator="greaterThan">
      <formula>0.3</formula>
    </cfRule>
  </conditionalFormatting>
  <conditionalFormatting sqref="I49">
    <cfRule type="cellIs" dxfId="2037" priority="9" operator="lessThan">
      <formula>0.3</formula>
    </cfRule>
    <cfRule type="cellIs" dxfId="2036" priority="10" operator="greaterThan">
      <formula>0.3</formula>
    </cfRule>
  </conditionalFormatting>
  <conditionalFormatting sqref="I60">
    <cfRule type="cellIs" dxfId="2035" priority="7" operator="lessThan">
      <formula>0.3</formula>
    </cfRule>
    <cfRule type="cellIs" dxfId="2034" priority="8" operator="greaterThan">
      <formula>0.3</formula>
    </cfRule>
  </conditionalFormatting>
  <conditionalFormatting sqref="I72">
    <cfRule type="cellIs" dxfId="2033" priority="5" operator="lessThan">
      <formula>0.3</formula>
    </cfRule>
    <cfRule type="cellIs" dxfId="2032" priority="6" operator="greaterThan">
      <formula>0.3</formula>
    </cfRule>
  </conditionalFormatting>
  <conditionalFormatting sqref="I84">
    <cfRule type="cellIs" dxfId="2031" priority="3" operator="lessThan">
      <formula>0.3</formula>
    </cfRule>
    <cfRule type="cellIs" dxfId="2030" priority="4" operator="greaterThan">
      <formula>0.3</formula>
    </cfRule>
  </conditionalFormatting>
  <conditionalFormatting sqref="I99">
    <cfRule type="cellIs" dxfId="2029" priority="1" operator="lessThan">
      <formula>0.3</formula>
    </cfRule>
    <cfRule type="cellIs" dxfId="2028" priority="2" operator="greaterThan">
      <formula>0.3</formula>
    </cfRule>
  </conditionalFormatting>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284F-0863-488F-8888-ACDC6E9AFF78}">
  <dimension ref="B6:R68"/>
  <sheetViews>
    <sheetView showGridLines="0" topLeftCell="A28" zoomScale="70" zoomScaleNormal="70" workbookViewId="0">
      <selection activeCell="M60" sqref="M60"/>
    </sheetView>
  </sheetViews>
  <sheetFormatPr baseColWidth="10" defaultColWidth="10.88671875" defaultRowHeight="13.2" x14ac:dyDescent="0.25"/>
  <cols>
    <col min="1" max="1" width="4" style="40" customWidth="1"/>
    <col min="2" max="2" width="27.109375" style="40" bestFit="1" customWidth="1"/>
    <col min="3" max="3" width="8.6640625" style="40" customWidth="1"/>
    <col min="4" max="4" width="8.5546875" style="40" customWidth="1"/>
    <col min="5" max="5" width="9.44140625" style="40" customWidth="1"/>
    <col min="6" max="6" width="10.88671875" style="40" customWidth="1"/>
    <col min="7" max="7" width="1.88671875" style="40" customWidth="1"/>
    <col min="8" max="8" width="26.5546875" style="40" bestFit="1" customWidth="1"/>
    <col min="9" max="9" width="10.88671875" style="40"/>
    <col min="10" max="10" width="2.6640625" style="40" customWidth="1"/>
    <col min="11" max="11" width="30.109375" style="40" bestFit="1" customWidth="1"/>
    <col min="12" max="12" width="7.77734375" style="40" customWidth="1"/>
    <col min="13" max="13" width="8.5546875" style="40" customWidth="1"/>
    <col min="14" max="15" width="10.88671875" style="40"/>
    <col min="16" max="16" width="2.21875" style="40" customWidth="1"/>
    <col min="17" max="17" width="27.21875" style="40" bestFit="1" customWidth="1"/>
    <col min="18" max="16384" width="10.88671875" style="40"/>
  </cols>
  <sheetData>
    <row r="6" spans="2:18" x14ac:dyDescent="0.25">
      <c r="B6" s="1" t="s">
        <v>389</v>
      </c>
      <c r="C6" s="2"/>
      <c r="D6" s="2"/>
      <c r="E6" s="3"/>
      <c r="F6" s="3"/>
      <c r="G6" s="4"/>
      <c r="H6" s="399" t="s">
        <v>0</v>
      </c>
      <c r="I6" s="399"/>
      <c r="K6" s="19" t="s">
        <v>390</v>
      </c>
      <c r="L6" s="2"/>
      <c r="M6" s="2"/>
      <c r="N6" s="3"/>
      <c r="O6" s="3"/>
      <c r="P6" s="4"/>
      <c r="Q6" s="399" t="s">
        <v>0</v>
      </c>
      <c r="R6" s="399"/>
    </row>
    <row r="7" spans="2:18" x14ac:dyDescent="0.25">
      <c r="B7" s="5" t="s">
        <v>1</v>
      </c>
      <c r="C7" s="6" t="s">
        <v>2</v>
      </c>
      <c r="D7" s="6" t="s">
        <v>3</v>
      </c>
      <c r="E7" s="7" t="s">
        <v>4</v>
      </c>
      <c r="F7" s="7" t="s">
        <v>5</v>
      </c>
      <c r="G7" s="4"/>
      <c r="H7" s="8" t="s">
        <v>6</v>
      </c>
      <c r="I7" s="9">
        <f>SUM(Tabla110345345445545647945586877869510811712713622823724627233260269297315316384[Total costo])</f>
        <v>90118.333333400005</v>
      </c>
      <c r="K7" s="5" t="s">
        <v>1</v>
      </c>
      <c r="L7" s="6" t="s">
        <v>2</v>
      </c>
      <c r="M7" s="6" t="s">
        <v>3</v>
      </c>
      <c r="N7" s="7" t="s">
        <v>4</v>
      </c>
      <c r="O7" s="7" t="s">
        <v>5</v>
      </c>
      <c r="P7" s="4"/>
      <c r="Q7" s="8" t="s">
        <v>6</v>
      </c>
      <c r="R7" s="9">
        <f>SUM(Tabla110345345445545647945586877869510811712713622823724627233260269297315316347385[Total costo])</f>
        <v>9011.8333333400005</v>
      </c>
    </row>
    <row r="8" spans="2:18" ht="13.8" x14ac:dyDescent="0.25">
      <c r="B8" s="10" t="s">
        <v>655</v>
      </c>
      <c r="C8" s="11" t="s">
        <v>11</v>
      </c>
      <c r="D8" s="12">
        <v>20</v>
      </c>
      <c r="E8" s="13">
        <f>+VLOOKUP(Tabla110345345445545647945586877869510811712713622823724627233260269297315316384[[#This Row],[Ingrediente]],Tabla34[#All],3,0)</f>
        <v>4505.9166666700003</v>
      </c>
      <c r="F8" s="14">
        <f>+Tabla110345345445545647945586877869510811712713622823724627233260269297315316384[[#This Row],[Costo]]*Tabla110345345445545647945586877869510811712713622823724627233260269297315316384[[#This Row],[Cant.]]</f>
        <v>90118.333333400005</v>
      </c>
      <c r="G8" s="4"/>
      <c r="H8" s="8" t="s">
        <v>372</v>
      </c>
      <c r="I8" s="15"/>
      <c r="K8" s="45" t="s">
        <v>655</v>
      </c>
      <c r="L8" s="11" t="s">
        <v>252</v>
      </c>
      <c r="M8" s="12">
        <v>2</v>
      </c>
      <c r="N8" s="13">
        <f>+VLOOKUP(Tabla110345345445545647945586877869510811712713622823724627233260269297315316347385[[#This Row],[Ingrediente]],Tabla34[#All],3,0)</f>
        <v>4505.9166666700003</v>
      </c>
      <c r="O8" s="14">
        <f>+Tabla110345345445545647945586877869510811712713622823724627233260269297315316347385[[#This Row],[Costo]]*Tabla110345345445545647945586877869510811712713622823724627233260269297315316347385[[#This Row],[Cant.]]</f>
        <v>9011.8333333400005</v>
      </c>
      <c r="P8" s="4"/>
      <c r="Q8" s="8" t="s">
        <v>12</v>
      </c>
      <c r="R8" s="15">
        <f>+R7*10%</f>
        <v>901.18333333400005</v>
      </c>
    </row>
    <row r="9" spans="2:18" x14ac:dyDescent="0.25">
      <c r="B9" s="16"/>
      <c r="C9" s="17"/>
      <c r="D9" s="17"/>
      <c r="E9" s="18"/>
      <c r="F9" s="18">
        <f>SUBTOTAL(109,Tabla110345345445545647945586877869510811712713622823724627233260269297315316384[Total costo])</f>
        <v>90118.333333400005</v>
      </c>
      <c r="G9" s="4"/>
      <c r="H9" s="8" t="s">
        <v>13</v>
      </c>
      <c r="I9" s="15">
        <f>+I7+I8</f>
        <v>90118.333333400005</v>
      </c>
      <c r="K9" s="16"/>
      <c r="L9" s="17"/>
      <c r="M9" s="17"/>
      <c r="N9" s="18"/>
      <c r="O9" s="18">
        <f>SUBTOTAL(109,Tabla110345345445545647945586877869510811712713622823724627233260269297315316347385[Total costo])</f>
        <v>9011.8333333400005</v>
      </c>
      <c r="P9" s="4"/>
      <c r="Q9" s="8" t="s">
        <v>13</v>
      </c>
      <c r="R9" s="15">
        <f>+R7+R8</f>
        <v>9913.0166666740006</v>
      </c>
    </row>
    <row r="10" spans="2:18" x14ac:dyDescent="0.25">
      <c r="G10" s="4"/>
      <c r="H10" s="20" t="s">
        <v>14</v>
      </c>
      <c r="I10" s="21">
        <v>310000</v>
      </c>
      <c r="P10" s="4"/>
      <c r="Q10" s="20" t="s">
        <v>14</v>
      </c>
      <c r="R10" s="21">
        <v>32000</v>
      </c>
    </row>
    <row r="11" spans="2:18" x14ac:dyDescent="0.25">
      <c r="G11" s="4"/>
      <c r="H11" s="8" t="s">
        <v>15</v>
      </c>
      <c r="I11" s="15">
        <f>+I10/1.08*0.08</f>
        <v>22962.962962962964</v>
      </c>
      <c r="P11" s="4"/>
      <c r="Q11" s="8" t="s">
        <v>15</v>
      </c>
      <c r="R11" s="15">
        <f>+R10/1.08*0.08</f>
        <v>2370.3703703703704</v>
      </c>
    </row>
    <row r="12" spans="2:18" x14ac:dyDescent="0.25">
      <c r="G12" s="4"/>
      <c r="H12" s="8" t="s">
        <v>16</v>
      </c>
      <c r="I12" s="15">
        <f>+I10-I11</f>
        <v>287037.03703703702</v>
      </c>
      <c r="P12" s="4"/>
      <c r="Q12" s="8" t="s">
        <v>16</v>
      </c>
      <c r="R12" s="15">
        <f>+R10-R11</f>
        <v>29629.629629629628</v>
      </c>
    </row>
    <row r="13" spans="2:18" x14ac:dyDescent="0.25">
      <c r="G13" s="4"/>
      <c r="H13" s="8" t="s">
        <v>17</v>
      </c>
      <c r="I13" s="41">
        <f>+I9/I12</f>
        <v>0.31396064516152261</v>
      </c>
      <c r="P13" s="4"/>
      <c r="Q13" s="8" t="s">
        <v>17</v>
      </c>
      <c r="R13" s="41">
        <f>+R9/R12</f>
        <v>0.33456431250024754</v>
      </c>
    </row>
    <row r="14" spans="2:18" x14ac:dyDescent="0.25">
      <c r="G14" s="4"/>
      <c r="H14" s="8" t="s">
        <v>18</v>
      </c>
      <c r="I14" s="42">
        <f>+I12-I9</f>
        <v>196918.703703637</v>
      </c>
      <c r="P14" s="4"/>
      <c r="Q14" s="8" t="s">
        <v>18</v>
      </c>
      <c r="R14" s="42">
        <f>+R12-R9</f>
        <v>19716.612962955627</v>
      </c>
    </row>
    <row r="15" spans="2:18" x14ac:dyDescent="0.25">
      <c r="G15" s="4"/>
      <c r="H15" s="8" t="s">
        <v>19</v>
      </c>
      <c r="I15" s="43">
        <f>+I14/I9</f>
        <v>2.1851125783154517</v>
      </c>
      <c r="P15" s="4"/>
      <c r="Q15" s="8" t="s">
        <v>19</v>
      </c>
      <c r="R15" s="43">
        <f>+R14/R9</f>
        <v>1.9889619503253506</v>
      </c>
    </row>
    <row r="23" spans="2:9" x14ac:dyDescent="0.25">
      <c r="B23" s="19" t="s">
        <v>599</v>
      </c>
      <c r="C23" s="2"/>
      <c r="D23" s="2"/>
      <c r="E23" s="3"/>
      <c r="F23" s="3"/>
      <c r="G23" s="4"/>
      <c r="H23" s="399" t="s">
        <v>0</v>
      </c>
      <c r="I23" s="399"/>
    </row>
    <row r="24" spans="2:9" x14ac:dyDescent="0.25">
      <c r="B24" s="5" t="s">
        <v>1</v>
      </c>
      <c r="C24" s="6" t="s">
        <v>2</v>
      </c>
      <c r="D24" s="6" t="s">
        <v>3</v>
      </c>
      <c r="E24" s="7" t="s">
        <v>4</v>
      </c>
      <c r="F24" s="7" t="s">
        <v>5</v>
      </c>
      <c r="G24" s="4"/>
      <c r="H24" s="8" t="s">
        <v>6</v>
      </c>
      <c r="I24" s="9">
        <f>SUM(Tabla110345345445545647945586877869510811712713622823724627233260269297315316347385429[Total costo])</f>
        <v>0</v>
      </c>
    </row>
    <row r="25" spans="2:9" x14ac:dyDescent="0.25">
      <c r="B25" s="61" t="s">
        <v>1050</v>
      </c>
      <c r="C25" s="11" t="s">
        <v>252</v>
      </c>
      <c r="D25" s="12">
        <v>2</v>
      </c>
      <c r="E25" s="13">
        <f>+VLOOKUP(Tabla110345345445545647945586877869510811712713622823724627233260269297315316347385429[[#This Row],[Ingrediente]],INSUMOS!A1:C938,3,0)</f>
        <v>0</v>
      </c>
      <c r="F25" s="14">
        <f>+Tabla110345345445545647945586877869510811712713622823724627233260269297315316347385429[[#This Row],[Costo]]*Tabla110345345445545647945586877869510811712713622823724627233260269297315316347385429[[#This Row],[Cant.]]</f>
        <v>0</v>
      </c>
      <c r="G25" s="4"/>
      <c r="H25" s="8" t="s">
        <v>12</v>
      </c>
      <c r="I25" s="15">
        <f>+I24*10%</f>
        <v>0</v>
      </c>
    </row>
    <row r="26" spans="2:9" x14ac:dyDescent="0.25">
      <c r="B26" s="16"/>
      <c r="C26" s="17"/>
      <c r="D26" s="17"/>
      <c r="E26" s="18"/>
      <c r="F26" s="18">
        <f>SUBTOTAL(109,Tabla110345345445545647945586877869510811712713622823724627233260269297315316347385429[Total costo])</f>
        <v>0</v>
      </c>
      <c r="G26" s="4"/>
      <c r="H26" s="8" t="s">
        <v>13</v>
      </c>
      <c r="I26" s="15">
        <f>+I24+I25</f>
        <v>0</v>
      </c>
    </row>
    <row r="27" spans="2:9" x14ac:dyDescent="0.25">
      <c r="G27" s="4"/>
      <c r="H27" s="20" t="s">
        <v>14</v>
      </c>
      <c r="I27" s="21"/>
    </row>
    <row r="28" spans="2:9" x14ac:dyDescent="0.25">
      <c r="G28" s="4"/>
      <c r="H28" s="8" t="s">
        <v>15</v>
      </c>
      <c r="I28" s="15">
        <f>+I27/1.08*0.08</f>
        <v>0</v>
      </c>
    </row>
    <row r="29" spans="2:9" x14ac:dyDescent="0.25">
      <c r="G29" s="4"/>
      <c r="H29" s="8" t="s">
        <v>16</v>
      </c>
      <c r="I29" s="15">
        <f>+I27-I28</f>
        <v>0</v>
      </c>
    </row>
    <row r="30" spans="2:9" x14ac:dyDescent="0.25">
      <c r="G30" s="4"/>
      <c r="H30" s="8" t="s">
        <v>17</v>
      </c>
      <c r="I30" s="41" t="e">
        <f>+I26/I29</f>
        <v>#DIV/0!</v>
      </c>
    </row>
    <row r="31" spans="2:9" x14ac:dyDescent="0.25">
      <c r="G31" s="4"/>
      <c r="H31" s="8" t="s">
        <v>18</v>
      </c>
      <c r="I31" s="42">
        <f>+I29-I26</f>
        <v>0</v>
      </c>
    </row>
    <row r="32" spans="2:9" x14ac:dyDescent="0.25">
      <c r="G32" s="4"/>
      <c r="H32" s="8" t="s">
        <v>19</v>
      </c>
      <c r="I32" s="43" t="e">
        <f>+I31/I26</f>
        <v>#DIV/0!</v>
      </c>
    </row>
    <row r="36" spans="2:9" x14ac:dyDescent="0.25">
      <c r="B36" s="19" t="s">
        <v>598</v>
      </c>
      <c r="C36" s="2"/>
      <c r="D36" s="2"/>
      <c r="E36" s="3"/>
      <c r="F36" s="3"/>
      <c r="G36" s="4"/>
      <c r="H36" s="399" t="s">
        <v>0</v>
      </c>
      <c r="I36" s="399"/>
    </row>
    <row r="37" spans="2:9" x14ac:dyDescent="0.25">
      <c r="B37" s="5" t="s">
        <v>1</v>
      </c>
      <c r="C37" s="6" t="s">
        <v>2</v>
      </c>
      <c r="D37" s="6" t="s">
        <v>3</v>
      </c>
      <c r="E37" s="7" t="s">
        <v>4</v>
      </c>
      <c r="F37" s="7" t="s">
        <v>5</v>
      </c>
      <c r="G37" s="4"/>
      <c r="H37" s="8" t="s">
        <v>6</v>
      </c>
      <c r="I37" s="9">
        <f>SUM(Tabla110345345445545647945586877869510811712713622823724627233260269297315316347385429525[Total costo])</f>
        <v>0</v>
      </c>
    </row>
    <row r="38" spans="2:9" x14ac:dyDescent="0.25">
      <c r="B38" s="60" t="s">
        <v>980</v>
      </c>
      <c r="C38" s="11" t="s">
        <v>252</v>
      </c>
      <c r="D38" s="12">
        <v>2</v>
      </c>
      <c r="E38" s="13">
        <f>+VLOOKUP(Tabla110345345445545647945586877869510811712713622823724627233260269297315316347385429525[[#This Row],[Ingrediente]],INSUMOS!A1:C938,3,0)</f>
        <v>0</v>
      </c>
      <c r="F38" s="14">
        <f>+Tabla110345345445545647945586877869510811712713622823724627233260269297315316347385429525[[#This Row],[Costo]]*Tabla110345345445545647945586877869510811712713622823724627233260269297315316347385429525[[#This Row],[Cant.]]</f>
        <v>0</v>
      </c>
      <c r="G38" s="4"/>
      <c r="H38" s="8" t="s">
        <v>12</v>
      </c>
      <c r="I38" s="15">
        <f>+I37*10%</f>
        <v>0</v>
      </c>
    </row>
    <row r="39" spans="2:9" x14ac:dyDescent="0.25">
      <c r="B39" s="16"/>
      <c r="C39" s="17"/>
      <c r="D39" s="17"/>
      <c r="E39" s="18"/>
      <c r="F39" s="18">
        <f>SUBTOTAL(109,Tabla110345345445545647945586877869510811712713622823724627233260269297315316347385429525[Total costo])</f>
        <v>0</v>
      </c>
      <c r="G39" s="4"/>
      <c r="H39" s="8" t="s">
        <v>13</v>
      </c>
      <c r="I39" s="15">
        <f>+I37+I38</f>
        <v>0</v>
      </c>
    </row>
    <row r="40" spans="2:9" x14ac:dyDescent="0.25">
      <c r="G40" s="4"/>
      <c r="H40" s="20" t="s">
        <v>14</v>
      </c>
      <c r="I40" s="21"/>
    </row>
    <row r="41" spans="2:9" x14ac:dyDescent="0.25">
      <c r="G41" s="4"/>
      <c r="H41" s="8" t="s">
        <v>15</v>
      </c>
      <c r="I41" s="15">
        <f>+I40/1.08*0.08</f>
        <v>0</v>
      </c>
    </row>
    <row r="42" spans="2:9" x14ac:dyDescent="0.25">
      <c r="G42" s="4"/>
      <c r="H42" s="8" t="s">
        <v>16</v>
      </c>
      <c r="I42" s="15">
        <f>+I40-I41</f>
        <v>0</v>
      </c>
    </row>
    <row r="43" spans="2:9" x14ac:dyDescent="0.25">
      <c r="G43" s="4"/>
      <c r="H43" s="8" t="s">
        <v>17</v>
      </c>
      <c r="I43" s="41" t="e">
        <f>+I39/I42</f>
        <v>#DIV/0!</v>
      </c>
    </row>
    <row r="44" spans="2:9" x14ac:dyDescent="0.25">
      <c r="G44" s="4"/>
      <c r="H44" s="8" t="s">
        <v>18</v>
      </c>
      <c r="I44" s="42">
        <f>+I42-I39</f>
        <v>0</v>
      </c>
    </row>
    <row r="45" spans="2:9" x14ac:dyDescent="0.25">
      <c r="G45" s="4"/>
      <c r="H45" s="8" t="s">
        <v>19</v>
      </c>
      <c r="I45" s="43" t="e">
        <f>+I44/I39</f>
        <v>#DIV/0!</v>
      </c>
    </row>
    <row r="47" spans="2:9" x14ac:dyDescent="0.25">
      <c r="B47" s="19" t="s">
        <v>600</v>
      </c>
      <c r="C47" s="2"/>
      <c r="D47" s="2"/>
      <c r="E47" s="3"/>
      <c r="F47" s="3"/>
      <c r="G47" s="4"/>
      <c r="H47" s="399" t="s">
        <v>0</v>
      </c>
      <c r="I47" s="399"/>
    </row>
    <row r="48" spans="2:9" x14ac:dyDescent="0.25">
      <c r="B48" s="5" t="s">
        <v>1</v>
      </c>
      <c r="C48" s="6" t="s">
        <v>2</v>
      </c>
      <c r="D48" s="6" t="s">
        <v>3</v>
      </c>
      <c r="E48" s="7" t="s">
        <v>4</v>
      </c>
      <c r="F48" s="7" t="s">
        <v>5</v>
      </c>
      <c r="G48" s="4"/>
      <c r="H48" s="8" t="s">
        <v>6</v>
      </c>
      <c r="I48" s="9">
        <f>SUM(Tabla110345345445545647945586877869510811712713622823724627233260269297315316347385429526[Total costo])</f>
        <v>0</v>
      </c>
    </row>
    <row r="49" spans="2:9" x14ac:dyDescent="0.25">
      <c r="B49" s="60" t="s">
        <v>993</v>
      </c>
      <c r="C49" s="11" t="s">
        <v>252</v>
      </c>
      <c r="D49" s="12">
        <v>2</v>
      </c>
      <c r="E49" s="13">
        <f>+VLOOKUP(Tabla110345345445545647945586877869510811712713622823724627233260269297315316347385429526[[#This Row],[Ingrediente]],INSUMOS!A1:C938,3,0)</f>
        <v>0</v>
      </c>
      <c r="F49" s="14">
        <f>+Tabla110345345445545647945586877869510811712713622823724627233260269297315316347385429526[[#This Row],[Costo]]*Tabla110345345445545647945586877869510811712713622823724627233260269297315316347385429526[[#This Row],[Cant.]]</f>
        <v>0</v>
      </c>
      <c r="G49" s="4"/>
      <c r="H49" s="8" t="s">
        <v>12</v>
      </c>
      <c r="I49" s="15">
        <f>+I48*10%</f>
        <v>0</v>
      </c>
    </row>
    <row r="50" spans="2:9" x14ac:dyDescent="0.25">
      <c r="B50" s="16"/>
      <c r="C50" s="17"/>
      <c r="D50" s="17"/>
      <c r="E50" s="18"/>
      <c r="F50" s="18">
        <f>SUBTOTAL(109,Tabla110345345445545647945586877869510811712713622823724627233260269297315316347385429526[Total costo])</f>
        <v>0</v>
      </c>
      <c r="G50" s="4"/>
      <c r="H50" s="8" t="s">
        <v>13</v>
      </c>
      <c r="I50" s="15">
        <f>+I48+I49</f>
        <v>0</v>
      </c>
    </row>
    <row r="51" spans="2:9" x14ac:dyDescent="0.25">
      <c r="G51" s="4"/>
      <c r="H51" s="20" t="s">
        <v>14</v>
      </c>
      <c r="I51" s="21"/>
    </row>
    <row r="52" spans="2:9" x14ac:dyDescent="0.25">
      <c r="G52" s="4"/>
      <c r="H52" s="8" t="s">
        <v>15</v>
      </c>
      <c r="I52" s="15">
        <f>+I51/1.08*0.08</f>
        <v>0</v>
      </c>
    </row>
    <row r="53" spans="2:9" x14ac:dyDescent="0.25">
      <c r="G53" s="4"/>
      <c r="H53" s="8" t="s">
        <v>16</v>
      </c>
      <c r="I53" s="15">
        <f>+I51-I52</f>
        <v>0</v>
      </c>
    </row>
    <row r="54" spans="2:9" x14ac:dyDescent="0.25">
      <c r="G54" s="4"/>
      <c r="H54" s="8" t="s">
        <v>17</v>
      </c>
      <c r="I54" s="41" t="e">
        <f>+I50/I53</f>
        <v>#DIV/0!</v>
      </c>
    </row>
    <row r="55" spans="2:9" x14ac:dyDescent="0.25">
      <c r="G55" s="4"/>
      <c r="H55" s="8" t="s">
        <v>18</v>
      </c>
      <c r="I55" s="42">
        <f>+I53-I50</f>
        <v>0</v>
      </c>
    </row>
    <row r="56" spans="2:9" x14ac:dyDescent="0.25">
      <c r="G56" s="4"/>
      <c r="H56" s="8" t="s">
        <v>19</v>
      </c>
      <c r="I56" s="43" t="e">
        <f>+I55/I50</f>
        <v>#DIV/0!</v>
      </c>
    </row>
    <row r="59" spans="2:9" x14ac:dyDescent="0.25">
      <c r="B59" s="19" t="s">
        <v>390</v>
      </c>
      <c r="C59" s="2"/>
      <c r="D59" s="2"/>
      <c r="E59" s="3"/>
      <c r="F59" s="3"/>
      <c r="G59" s="4"/>
      <c r="H59" s="399" t="s">
        <v>0</v>
      </c>
      <c r="I59" s="399"/>
    </row>
    <row r="60" spans="2:9" x14ac:dyDescent="0.25">
      <c r="B60" s="5" t="s">
        <v>1</v>
      </c>
      <c r="C60" s="6" t="s">
        <v>2</v>
      </c>
      <c r="D60" s="6" t="s">
        <v>3</v>
      </c>
      <c r="E60" s="7" t="s">
        <v>4</v>
      </c>
      <c r="F60" s="7" t="s">
        <v>5</v>
      </c>
      <c r="G60" s="4"/>
      <c r="H60" s="8" t="s">
        <v>6</v>
      </c>
      <c r="I60" s="9">
        <f>SUM(Tabla110345345445545647945586877869510811712713622823724627233260269297315316347385226[Total costo])</f>
        <v>9011.8333333400005</v>
      </c>
    </row>
    <row r="61" spans="2:9" ht="13.8" x14ac:dyDescent="0.25">
      <c r="B61" s="45" t="s">
        <v>655</v>
      </c>
      <c r="C61" s="11" t="s">
        <v>252</v>
      </c>
      <c r="D61" s="12">
        <v>2</v>
      </c>
      <c r="E61" s="13">
        <f>+VLOOKUP(Tabla110345345445545647945586877869510811712713622823724627233260269297315316347385226[[#This Row],[Ingrediente]],Tabla34[#All],3,0)</f>
        <v>4505.9166666700003</v>
      </c>
      <c r="F61" s="14">
        <f>+Tabla110345345445545647945586877869510811712713622823724627233260269297315316347385226[[#This Row],[Costo]]*Tabla110345345445545647945586877869510811712713622823724627233260269297315316347385226[[#This Row],[Cant.]]</f>
        <v>9011.8333333400005</v>
      </c>
      <c r="G61" s="4"/>
      <c r="H61" s="8" t="s">
        <v>12</v>
      </c>
      <c r="I61" s="15">
        <f>+I60*10%</f>
        <v>901.18333333400005</v>
      </c>
    </row>
    <row r="62" spans="2:9" x14ac:dyDescent="0.25">
      <c r="B62" s="16"/>
      <c r="C62" s="17"/>
      <c r="D62" s="17"/>
      <c r="E62" s="18"/>
      <c r="F62" s="18">
        <f>SUBTOTAL(109,Tabla110345345445545647945586877869510811712713622823724627233260269297315316347385226[Total costo])</f>
        <v>9011.8333333400005</v>
      </c>
      <c r="G62" s="4"/>
      <c r="H62" s="8" t="s">
        <v>13</v>
      </c>
      <c r="I62" s="15">
        <f>+I60+I61</f>
        <v>9913.0166666740006</v>
      </c>
    </row>
    <row r="63" spans="2:9" x14ac:dyDescent="0.25">
      <c r="G63" s="4"/>
      <c r="H63" s="20" t="s">
        <v>14</v>
      </c>
      <c r="I63" s="21">
        <v>32000</v>
      </c>
    </row>
    <row r="64" spans="2:9" x14ac:dyDescent="0.25">
      <c r="G64" s="4"/>
      <c r="H64" s="8" t="s">
        <v>15</v>
      </c>
      <c r="I64" s="15">
        <f>+I63/1.08*0.08</f>
        <v>2370.3703703703704</v>
      </c>
    </row>
    <row r="65" spans="7:9" x14ac:dyDescent="0.25">
      <c r="G65" s="4"/>
      <c r="H65" s="8" t="s">
        <v>16</v>
      </c>
      <c r="I65" s="15">
        <f>+I63-I64</f>
        <v>29629.629629629628</v>
      </c>
    </row>
    <row r="66" spans="7:9" x14ac:dyDescent="0.25">
      <c r="G66" s="4"/>
      <c r="H66" s="8" t="s">
        <v>17</v>
      </c>
      <c r="I66" s="41">
        <f>+I62/I65</f>
        <v>0.33456431250024754</v>
      </c>
    </row>
    <row r="67" spans="7:9" x14ac:dyDescent="0.25">
      <c r="G67" s="4"/>
      <c r="H67" s="8" t="s">
        <v>18</v>
      </c>
      <c r="I67" s="42">
        <f>+I65-I62</f>
        <v>19716.612962955627</v>
      </c>
    </row>
    <row r="68" spans="7:9" x14ac:dyDescent="0.25">
      <c r="G68" s="4"/>
      <c r="H68" s="8" t="s">
        <v>19</v>
      </c>
      <c r="I68" s="43">
        <f>+I67/I62</f>
        <v>1.9889619503253506</v>
      </c>
    </row>
  </sheetData>
  <mergeCells count="6">
    <mergeCell ref="H59:I59"/>
    <mergeCell ref="H6:I6"/>
    <mergeCell ref="Q6:R6"/>
    <mergeCell ref="H23:I23"/>
    <mergeCell ref="H36:I36"/>
    <mergeCell ref="H47:I47"/>
  </mergeCells>
  <conditionalFormatting sqref="I13">
    <cfRule type="cellIs" dxfId="2027" priority="23" operator="lessThan">
      <formula>0.3</formula>
    </cfRule>
    <cfRule type="cellIs" dxfId="2026" priority="24" operator="greaterThan">
      <formula>0.3</formula>
    </cfRule>
  </conditionalFormatting>
  <conditionalFormatting sqref="I30">
    <cfRule type="cellIs" dxfId="2025" priority="7" operator="lessThan">
      <formula>0.3</formula>
    </cfRule>
    <cfRule type="cellIs" dxfId="2024" priority="8" operator="greaterThan">
      <formula>0.3</formula>
    </cfRule>
  </conditionalFormatting>
  <conditionalFormatting sqref="I43">
    <cfRule type="cellIs" dxfId="2023" priority="5" operator="lessThan">
      <formula>0.3</formula>
    </cfRule>
    <cfRule type="cellIs" dxfId="2022" priority="6" operator="greaterThan">
      <formula>0.3</formula>
    </cfRule>
  </conditionalFormatting>
  <conditionalFormatting sqref="I54">
    <cfRule type="cellIs" dxfId="2021" priority="3" operator="lessThan">
      <formula>0.3</formula>
    </cfRule>
    <cfRule type="cellIs" dxfId="2020" priority="4" operator="greaterThan">
      <formula>0.3</formula>
    </cfRule>
  </conditionalFormatting>
  <conditionalFormatting sqref="I66">
    <cfRule type="cellIs" dxfId="2019" priority="1" operator="lessThan">
      <formula>0.3</formula>
    </cfRule>
    <cfRule type="cellIs" dxfId="2018" priority="2" operator="greaterThan">
      <formula>0.3</formula>
    </cfRule>
  </conditionalFormatting>
  <conditionalFormatting sqref="R13">
    <cfRule type="cellIs" dxfId="2017" priority="21" operator="lessThan">
      <formula>0.3</formula>
    </cfRule>
    <cfRule type="cellIs" dxfId="2016" priority="22" operator="greaterThan">
      <formula>0.3</formula>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7E80-A1CF-44AE-A23F-398082068827}">
  <dimension ref="B6:K46"/>
  <sheetViews>
    <sheetView showGridLines="0" workbookViewId="0"/>
  </sheetViews>
  <sheetFormatPr baseColWidth="10" defaultRowHeight="14.4" x14ac:dyDescent="0.3"/>
  <cols>
    <col min="1" max="1" width="4" customWidth="1"/>
    <col min="2" max="2" width="32" customWidth="1"/>
    <col min="3" max="6" width="7.77734375" customWidth="1"/>
    <col min="7" max="8" width="10.77734375" customWidth="1"/>
    <col min="9" max="9" width="3.77734375" customWidth="1"/>
    <col min="10" max="10" width="27.21875" bestFit="1" customWidth="1"/>
  </cols>
  <sheetData>
    <row r="6" spans="2:11" x14ac:dyDescent="0.3">
      <c r="B6" s="1" t="s">
        <v>871</v>
      </c>
      <c r="C6" s="2"/>
      <c r="D6" s="2"/>
      <c r="E6" s="3"/>
      <c r="F6" s="3"/>
      <c r="G6" s="3"/>
      <c r="H6" s="3"/>
      <c r="I6" s="4"/>
      <c r="J6" s="399" t="s">
        <v>0</v>
      </c>
      <c r="K6" s="399"/>
    </row>
    <row r="7" spans="2:11" x14ac:dyDescent="0.3">
      <c r="B7" s="5" t="s">
        <v>1</v>
      </c>
      <c r="C7" s="6" t="s">
        <v>2</v>
      </c>
      <c r="D7" s="6" t="s">
        <v>3</v>
      </c>
      <c r="E7" s="6" t="s">
        <v>920</v>
      </c>
      <c r="F7" s="6" t="s">
        <v>319</v>
      </c>
      <c r="G7" s="7" t="s">
        <v>4</v>
      </c>
      <c r="H7" s="7" t="s">
        <v>5</v>
      </c>
      <c r="I7" s="4"/>
      <c r="J7" s="8" t="s">
        <v>6</v>
      </c>
      <c r="K7" s="9">
        <f>+Tabla1103453454455456479455868778695108117[[#Totals],[Total costo]]</f>
        <v>7109.3144529799993</v>
      </c>
    </row>
    <row r="8" spans="2:11" x14ac:dyDescent="0.3">
      <c r="B8" s="10" t="s">
        <v>57</v>
      </c>
      <c r="C8" s="11" t="s">
        <v>67</v>
      </c>
      <c r="D8" s="12">
        <v>20</v>
      </c>
      <c r="E8" s="12">
        <v>0</v>
      </c>
      <c r="F8" s="12">
        <v>20</v>
      </c>
      <c r="G8" s="13">
        <f>+VLOOKUP(Tabla1103453454455456479455868778695108117[[#This Row],[Ingrediente]],Tabla34[#All],3,0)</f>
        <v>18.782608700000001</v>
      </c>
      <c r="H8" s="14">
        <f>+Tabla1103453454455456479455868778695108117[[#This Row],[Costo]]*Tabla1103453454455456479455868778695108117[[#This Row],[Columna2]]</f>
        <v>375.652174</v>
      </c>
      <c r="I8" s="4"/>
      <c r="J8" s="8" t="s">
        <v>12</v>
      </c>
      <c r="K8" s="15">
        <f>+K7*10%</f>
        <v>710.93144529799997</v>
      </c>
    </row>
    <row r="9" spans="2:11" x14ac:dyDescent="0.3">
      <c r="B9" s="10" t="s">
        <v>214</v>
      </c>
      <c r="C9" s="11" t="s">
        <v>67</v>
      </c>
      <c r="D9" s="12">
        <v>20</v>
      </c>
      <c r="E9" s="12">
        <v>0</v>
      </c>
      <c r="F9" s="12">
        <v>20</v>
      </c>
      <c r="G9" s="13">
        <f>+VLOOKUP(Tabla1103453454455456479455868778695108117[[#This Row],[Ingrediente]],Tabla34[#All],3,0)</f>
        <v>13.02</v>
      </c>
      <c r="H9" s="14">
        <f>+Tabla1103453454455456479455868778695108117[[#This Row],[Costo]]*Tabla1103453454455456479455868778695108117[[#This Row],[Columna2]]</f>
        <v>260.39999999999998</v>
      </c>
      <c r="I9" s="4"/>
      <c r="J9" s="8" t="s">
        <v>13</v>
      </c>
      <c r="K9" s="15">
        <f>+K7+K8</f>
        <v>7820.245898277999</v>
      </c>
    </row>
    <row r="10" spans="2:11" x14ac:dyDescent="0.3">
      <c r="B10" s="10" t="s">
        <v>312</v>
      </c>
      <c r="C10" s="11" t="s">
        <v>67</v>
      </c>
      <c r="D10" s="12">
        <v>10</v>
      </c>
      <c r="E10" s="12">
        <v>0</v>
      </c>
      <c r="F10" s="12">
        <v>10</v>
      </c>
      <c r="G10" s="13">
        <f>+VLOOKUP(Tabla1103453454455456479455868778695108117[[#This Row],[Ingrediente]],Tabla34[#All],3,0)</f>
        <v>4.2671999999999999</v>
      </c>
      <c r="H10" s="14">
        <f>+Tabla1103453454455456479455868778695108117[[#This Row],[Costo]]*Tabla1103453454455456479455868778695108117[[#This Row],[Columna2]]</f>
        <v>42.671999999999997</v>
      </c>
      <c r="I10" s="4"/>
      <c r="J10" s="20" t="s">
        <v>14</v>
      </c>
      <c r="K10" s="21">
        <v>34000</v>
      </c>
    </row>
    <row r="11" spans="2:11" x14ac:dyDescent="0.3">
      <c r="B11" s="24" t="s">
        <v>90</v>
      </c>
      <c r="C11" s="11" t="s">
        <v>67</v>
      </c>
      <c r="D11" s="12">
        <v>1</v>
      </c>
      <c r="E11" s="12">
        <v>0</v>
      </c>
      <c r="F11" s="12">
        <v>1</v>
      </c>
      <c r="G11" s="13">
        <f>+VLOOKUP(Tabla1103453454455456479455868778695108117[[#This Row],[Ingrediente]],Tabla34[#All],3,0)</f>
        <v>18.828045979999999</v>
      </c>
      <c r="H11" s="14">
        <f>+Tabla1103453454455456479455868778695108117[[#This Row],[Costo]]*Tabla1103453454455456479455868778695108117[[#This Row],[Columna2]]</f>
        <v>18.828045979999999</v>
      </c>
      <c r="I11" s="4"/>
      <c r="J11" s="8" t="s">
        <v>15</v>
      </c>
      <c r="K11" s="15">
        <f>+K10/1.08*0.08</f>
        <v>2518.5185185185182</v>
      </c>
    </row>
    <row r="12" spans="2:11" x14ac:dyDescent="0.3">
      <c r="B12" s="24" t="s">
        <v>89</v>
      </c>
      <c r="C12" s="11" t="s">
        <v>67</v>
      </c>
      <c r="D12" s="12">
        <v>1</v>
      </c>
      <c r="E12" s="12">
        <v>0</v>
      </c>
      <c r="F12" s="12">
        <v>1</v>
      </c>
      <c r="G12" s="13">
        <f>+VLOOKUP(Tabla1103453454455456479455868778695108117[[#This Row],[Ingrediente]],Tabla34[#All],3,0)</f>
        <v>2.4009999999999998</v>
      </c>
      <c r="H12" s="14">
        <f>+Tabla1103453454455456479455868778695108117[[#This Row],[Costo]]*Tabla1103453454455456479455868778695108117[[#This Row],[Columna2]]</f>
        <v>2.4009999999999998</v>
      </c>
      <c r="I12" s="4"/>
      <c r="J12" s="8" t="s">
        <v>16</v>
      </c>
      <c r="K12" s="15">
        <f>+K10-K11</f>
        <v>31481.481481481482</v>
      </c>
    </row>
    <row r="13" spans="2:11" x14ac:dyDescent="0.3">
      <c r="B13" s="10" t="s">
        <v>666</v>
      </c>
      <c r="C13" s="11" t="s">
        <v>847</v>
      </c>
      <c r="D13" s="12">
        <v>1</v>
      </c>
      <c r="E13" s="12">
        <v>0</v>
      </c>
      <c r="F13" s="12">
        <v>1</v>
      </c>
      <c r="G13" s="13">
        <f>+VLOOKUP(Tabla1103453454455456479455868778695108117[[#This Row],[Ingrediente]],Tabla34[#All],3,0)</f>
        <v>3250</v>
      </c>
      <c r="H13" s="14">
        <f>+Tabla1103453454455456479455868778695108117[[#This Row],[Costo]]*Tabla1103453454455456479455868778695108117[[#This Row],[Columna2]]</f>
        <v>3250</v>
      </c>
      <c r="I13" s="4"/>
      <c r="J13" s="8" t="s">
        <v>17</v>
      </c>
      <c r="K13" s="22">
        <f>+K9/K12</f>
        <v>0.24840781088647762</v>
      </c>
    </row>
    <row r="14" spans="2:11" x14ac:dyDescent="0.3">
      <c r="B14" s="24" t="s">
        <v>639</v>
      </c>
      <c r="C14" s="11" t="s">
        <v>67</v>
      </c>
      <c r="D14" s="12">
        <v>150</v>
      </c>
      <c r="E14" s="12">
        <v>0</v>
      </c>
      <c r="F14" s="12">
        <v>150</v>
      </c>
      <c r="G14" s="13">
        <f>+VLOOKUP(Tabla1103453454455456479455868778695108117[[#This Row],[Ingrediente]],Tabla34[#All],3,0)</f>
        <v>21.062408219999998</v>
      </c>
      <c r="H14" s="14">
        <f>+Tabla1103453454455456479455868778695108117[[#This Row],[Costo]]*Tabla1103453454455456479455868778695108117[[#This Row],[Columna2]]</f>
        <v>3159.3612329999996</v>
      </c>
      <c r="I14" s="4"/>
      <c r="J14" s="8" t="s">
        <v>18</v>
      </c>
      <c r="K14" s="23">
        <f>+K12-K9</f>
        <v>23661.235583203481</v>
      </c>
    </row>
    <row r="15" spans="2:11" x14ac:dyDescent="0.3">
      <c r="B15" s="16"/>
      <c r="C15" s="17"/>
      <c r="D15" s="17"/>
      <c r="E15" s="17"/>
      <c r="F15" s="17"/>
      <c r="G15" s="18"/>
      <c r="H15" s="18">
        <f>SUBTOTAL(109,Tabla1103453454455456479455868778695108117[Total costo])</f>
        <v>7109.3144529799993</v>
      </c>
      <c r="I15" s="4"/>
      <c r="J15" s="8" t="s">
        <v>19</v>
      </c>
      <c r="K15" s="25">
        <f>+K14/K9</f>
        <v>3.0256383099684414</v>
      </c>
    </row>
    <row r="16" spans="2:11" x14ac:dyDescent="0.3">
      <c r="G16" s="4"/>
      <c r="H16" s="4"/>
      <c r="I16" s="31"/>
    </row>
    <row r="17" spans="2:11" x14ac:dyDescent="0.3">
      <c r="B17" s="1" t="s">
        <v>877</v>
      </c>
      <c r="C17" s="2"/>
      <c r="D17" s="2"/>
      <c r="E17" s="3"/>
      <c r="F17" s="3"/>
      <c r="G17" s="3"/>
      <c r="H17" s="3"/>
      <c r="I17" s="4"/>
      <c r="J17" s="399" t="s">
        <v>0</v>
      </c>
      <c r="K17" s="399"/>
    </row>
    <row r="18" spans="2:11" x14ac:dyDescent="0.3">
      <c r="B18" s="5" t="s">
        <v>1</v>
      </c>
      <c r="C18" s="6" t="s">
        <v>2</v>
      </c>
      <c r="D18" s="6" t="s">
        <v>3</v>
      </c>
      <c r="E18" s="6" t="s">
        <v>920</v>
      </c>
      <c r="F18" s="6" t="s">
        <v>319</v>
      </c>
      <c r="G18" s="7" t="s">
        <v>4</v>
      </c>
      <c r="H18" s="7" t="s">
        <v>5</v>
      </c>
      <c r="I18" s="4"/>
      <c r="J18" s="8" t="s">
        <v>6</v>
      </c>
      <c r="K18" s="9">
        <f>+Tabla110345345445545647936465969788796109118[[#Totals],[Total costo]]</f>
        <v>8022.9072331999996</v>
      </c>
    </row>
    <row r="19" spans="2:11" x14ac:dyDescent="0.3">
      <c r="B19" s="10" t="s">
        <v>620</v>
      </c>
      <c r="C19" s="11" t="s">
        <v>67</v>
      </c>
      <c r="D19" s="12">
        <v>100.00000350000001</v>
      </c>
      <c r="E19" s="12">
        <v>10</v>
      </c>
      <c r="F19" s="12">
        <v>111.111115</v>
      </c>
      <c r="G19" s="13">
        <f>+VLOOKUP(Tabla110345345445545647936465969788796109118[[#This Row],[Ingrediente]],Tabla34[#All],3,0)</f>
        <v>39</v>
      </c>
      <c r="H19" s="14">
        <f>+Tabla110345345445545647936465969788796109118[[#This Row],[Costo]]*Tabla110345345445545647936465969788796109118[[#This Row],[Cant.]]</f>
        <v>3900.0001365000003</v>
      </c>
      <c r="I19" s="4"/>
      <c r="J19" s="8" t="s">
        <v>12</v>
      </c>
      <c r="K19" s="15">
        <f>+K18*10%</f>
        <v>802.29072331999998</v>
      </c>
    </row>
    <row r="20" spans="2:11" x14ac:dyDescent="0.3">
      <c r="B20" s="10" t="s">
        <v>57</v>
      </c>
      <c r="C20" s="11" t="s">
        <v>67</v>
      </c>
      <c r="D20" s="12">
        <v>20</v>
      </c>
      <c r="E20" s="12">
        <v>0</v>
      </c>
      <c r="F20" s="12">
        <v>20</v>
      </c>
      <c r="G20" s="13">
        <f>+VLOOKUP(Tabla110345345445545647936465969788796109118[[#This Row],[Ingrediente]],Tabla34[#All],3,0)</f>
        <v>18.782608700000001</v>
      </c>
      <c r="H20" s="14">
        <f>+Tabla110345345445545647936465969788796109118[[#This Row],[Costo]]*Tabla110345345445545647936465969788796109118[[#This Row],[Cant.]]</f>
        <v>375.652174</v>
      </c>
      <c r="I20" s="4"/>
      <c r="J20" s="8" t="s">
        <v>13</v>
      </c>
      <c r="K20" s="15">
        <f>+K18+K19</f>
        <v>8825.1979565199999</v>
      </c>
    </row>
    <row r="21" spans="2:11" x14ac:dyDescent="0.3">
      <c r="B21" s="10" t="s">
        <v>214</v>
      </c>
      <c r="C21" s="11" t="s">
        <v>67</v>
      </c>
      <c r="D21" s="12">
        <v>20</v>
      </c>
      <c r="E21" s="12">
        <v>0</v>
      </c>
      <c r="F21" s="12">
        <v>20</v>
      </c>
      <c r="G21" s="13">
        <f>+VLOOKUP(Tabla110345345445545647936465969788796109118[[#This Row],[Ingrediente]],Tabla34[#All],3,0)</f>
        <v>13.02</v>
      </c>
      <c r="H21" s="14">
        <f>+Tabla110345345445545647936465969788796109118[[#This Row],[Costo]]*Tabla110345345445545647936465969788796109118[[#This Row],[Cant.]]</f>
        <v>260.39999999999998</v>
      </c>
      <c r="I21" s="4"/>
      <c r="J21" s="20" t="s">
        <v>14</v>
      </c>
      <c r="K21" s="21">
        <v>34000</v>
      </c>
    </row>
    <row r="22" spans="2:11" x14ac:dyDescent="0.3">
      <c r="B22" s="10" t="s">
        <v>312</v>
      </c>
      <c r="C22" s="11" t="s">
        <v>67</v>
      </c>
      <c r="D22" s="12">
        <v>10</v>
      </c>
      <c r="E22" s="12">
        <v>0</v>
      </c>
      <c r="F22" s="12">
        <v>10</v>
      </c>
      <c r="G22" s="13">
        <f>+VLOOKUP(Tabla110345345445545647936465969788796109118[[#This Row],[Ingrediente]],Tabla34[#All],3,0)</f>
        <v>4.2671999999999999</v>
      </c>
      <c r="H22" s="14">
        <f>+Tabla110345345445545647936465969788796109118[[#This Row],[Costo]]*Tabla110345345445545647936465969788796109118[[#This Row],[Cant.]]</f>
        <v>42.671999999999997</v>
      </c>
      <c r="I22" s="27"/>
      <c r="J22" s="8" t="s">
        <v>15</v>
      </c>
      <c r="K22" s="15">
        <f>+K21/1.08*0.08</f>
        <v>2518.5185185185182</v>
      </c>
    </row>
    <row r="23" spans="2:11" x14ac:dyDescent="0.3">
      <c r="B23" s="24" t="s">
        <v>90</v>
      </c>
      <c r="C23" s="11" t="s">
        <v>67</v>
      </c>
      <c r="D23" s="12">
        <v>15</v>
      </c>
      <c r="E23" s="12">
        <v>0</v>
      </c>
      <c r="F23" s="12">
        <v>15</v>
      </c>
      <c r="G23" s="13">
        <f>+VLOOKUP(Tabla110345345445545647936465969788796109118[[#This Row],[Ingrediente]],Tabla34[#All],3,0)</f>
        <v>18.828045979999999</v>
      </c>
      <c r="H23" s="14">
        <f>+Tabla110345345445545647936465969788796109118[[#This Row],[Costo]]*Tabla110345345445545647936465969788796109118[[#This Row],[Cant.]]</f>
        <v>282.42068969999997</v>
      </c>
      <c r="J23" s="8" t="s">
        <v>16</v>
      </c>
      <c r="K23" s="15">
        <f>+K21-K22</f>
        <v>31481.481481481482</v>
      </c>
    </row>
    <row r="24" spans="2:11" x14ac:dyDescent="0.3">
      <c r="B24" s="10" t="s">
        <v>89</v>
      </c>
      <c r="C24" s="11" t="s">
        <v>67</v>
      </c>
      <c r="D24" s="12">
        <v>1</v>
      </c>
      <c r="E24" s="12">
        <v>0</v>
      </c>
      <c r="F24" s="12">
        <v>1</v>
      </c>
      <c r="G24" s="13">
        <f>+VLOOKUP(Tabla110345345445545647936465969788796109118[[#This Row],[Ingrediente]],Tabla34[#All],3,0)</f>
        <v>2.4009999999999998</v>
      </c>
      <c r="H24" s="14">
        <f>+Tabla110345345445545647936465969788796109118[[#This Row],[Costo]]*Tabla110345345445545647936465969788796109118[[#This Row],[Cant.]]</f>
        <v>2.4009999999999998</v>
      </c>
      <c r="J24" s="8" t="s">
        <v>17</v>
      </c>
      <c r="K24" s="22">
        <f>+K20/K23</f>
        <v>0.28032981744239999</v>
      </c>
    </row>
    <row r="25" spans="2:11" x14ac:dyDescent="0.3">
      <c r="B25" s="24" t="s">
        <v>639</v>
      </c>
      <c r="C25" s="11" t="s">
        <v>67</v>
      </c>
      <c r="D25" s="12">
        <v>150</v>
      </c>
      <c r="E25" s="12">
        <v>0</v>
      </c>
      <c r="F25" s="12">
        <v>150</v>
      </c>
      <c r="G25" s="13">
        <f>+VLOOKUP(Tabla110345345445545647936465969788796109118[[#This Row],[Ingrediente]],Tabla34[#All],3,0)</f>
        <v>21.062408219999998</v>
      </c>
      <c r="H25" s="14">
        <f>+Tabla110345345445545647936465969788796109118[[#This Row],[Costo]]*Tabla110345345445545647936465969788796109118[[#This Row],[Cant.]]</f>
        <v>3159.3612329999996</v>
      </c>
      <c r="I25" s="4"/>
      <c r="J25" s="8" t="s">
        <v>18</v>
      </c>
      <c r="K25" s="23">
        <f>+K23-K20</f>
        <v>22656.28352496148</v>
      </c>
    </row>
    <row r="26" spans="2:11" x14ac:dyDescent="0.3">
      <c r="B26" s="16"/>
      <c r="C26" s="17"/>
      <c r="D26" s="17"/>
      <c r="E26" s="17"/>
      <c r="F26" s="17"/>
      <c r="G26" s="18"/>
      <c r="H26" s="18">
        <f>SUBTOTAL(109,Tabla110345345445545647936465969788796109118[Total costo])</f>
        <v>8022.9072331999996</v>
      </c>
      <c r="I26" s="4"/>
      <c r="J26" s="8" t="s">
        <v>19</v>
      </c>
      <c r="K26" s="25">
        <f>+K25/K20</f>
        <v>2.5672266658022287</v>
      </c>
    </row>
    <row r="27" spans="2:11" x14ac:dyDescent="0.3">
      <c r="G27" s="4"/>
      <c r="H27" s="27"/>
      <c r="I27" s="27"/>
    </row>
    <row r="28" spans="2:11" x14ac:dyDescent="0.3">
      <c r="G28" s="4"/>
    </row>
    <row r="29" spans="2:11" x14ac:dyDescent="0.3">
      <c r="B29" s="1" t="s">
        <v>876</v>
      </c>
      <c r="C29" s="2"/>
      <c r="D29" s="2"/>
      <c r="E29" s="3"/>
      <c r="F29" s="3"/>
      <c r="G29" s="3"/>
      <c r="H29" s="3"/>
      <c r="I29" s="4"/>
      <c r="J29" s="399" t="s">
        <v>0</v>
      </c>
      <c r="K29" s="399"/>
    </row>
    <row r="30" spans="2:11" x14ac:dyDescent="0.3">
      <c r="B30" s="5" t="s">
        <v>1</v>
      </c>
      <c r="C30" s="6" t="s">
        <v>2</v>
      </c>
      <c r="D30" s="6" t="s">
        <v>3</v>
      </c>
      <c r="E30" s="6" t="s">
        <v>920</v>
      </c>
      <c r="F30" s="6" t="s">
        <v>319</v>
      </c>
      <c r="G30" s="7" t="s">
        <v>4</v>
      </c>
      <c r="H30" s="7" t="s">
        <v>5</v>
      </c>
      <c r="I30" s="4"/>
      <c r="J30" s="8" t="s">
        <v>6</v>
      </c>
      <c r="K30" s="9">
        <f>SUM(Tabla11034534544554564793637476070798897110119[Total costo])</f>
        <v>8768.8948244349995</v>
      </c>
    </row>
    <row r="31" spans="2:11" x14ac:dyDescent="0.3">
      <c r="B31" s="10" t="s">
        <v>90</v>
      </c>
      <c r="C31" s="11" t="s">
        <v>67</v>
      </c>
      <c r="D31" s="12">
        <v>1</v>
      </c>
      <c r="E31" s="12">
        <v>0</v>
      </c>
      <c r="F31" s="12">
        <v>1</v>
      </c>
      <c r="G31" s="13">
        <f>+VLOOKUP(Tabla11034534544554564793637476070798897110119[[#This Row],[Ingrediente]],Tabla34[#All],3,0)</f>
        <v>18.828045979999999</v>
      </c>
      <c r="H31" s="14">
        <f>+Tabla11034534544554564793637476070798897110119[[#This Row],[Costo]]*Tabla11034534544554564793637476070798897110119[[#This Row],[Columna2]]</f>
        <v>18.828045979999999</v>
      </c>
      <c r="I31" s="4"/>
      <c r="J31" s="8" t="s">
        <v>12</v>
      </c>
      <c r="K31" s="15">
        <f>+K30*10%</f>
        <v>876.88948244350001</v>
      </c>
    </row>
    <row r="32" spans="2:11" x14ac:dyDescent="0.3">
      <c r="B32" s="10" t="s">
        <v>634</v>
      </c>
      <c r="C32" s="11" t="s">
        <v>67</v>
      </c>
      <c r="D32" s="12">
        <v>2</v>
      </c>
      <c r="E32" s="12">
        <v>0</v>
      </c>
      <c r="F32" s="12">
        <v>2</v>
      </c>
      <c r="G32" s="13">
        <f>+VLOOKUP(Tabla11034534544554564793637476070798897110119[[#This Row],[Ingrediente]],Tabla34[#All],3,0)</f>
        <v>8.9250000000000007</v>
      </c>
      <c r="H32" s="14">
        <f>+Tabla11034534544554564793637476070798897110119[[#This Row],[Costo]]*Tabla11034534544554564793637476070798897110119[[#This Row],[Columna2]]</f>
        <v>17.850000000000001</v>
      </c>
      <c r="I32" s="4"/>
      <c r="J32" s="8" t="s">
        <v>13</v>
      </c>
      <c r="K32" s="15">
        <f>+K30+K31</f>
        <v>9645.7843068784987</v>
      </c>
    </row>
    <row r="33" spans="2:11" x14ac:dyDescent="0.3">
      <c r="B33" s="10" t="s">
        <v>89</v>
      </c>
      <c r="C33" s="11" t="s">
        <v>67</v>
      </c>
      <c r="D33" s="12">
        <v>1</v>
      </c>
      <c r="E33" s="12">
        <v>0</v>
      </c>
      <c r="F33" s="12">
        <v>1</v>
      </c>
      <c r="G33" s="13">
        <f>+VLOOKUP(Tabla11034534544554564793637476070798897110119[[#This Row],[Ingrediente]],Tabla34[#All],3,0)</f>
        <v>2.4009999999999998</v>
      </c>
      <c r="H33" s="14">
        <f>+Tabla11034534544554564793637476070798897110119[[#This Row],[Costo]]*Tabla11034534544554564793637476070798897110119[[#This Row],[Columna2]]</f>
        <v>2.4009999999999998</v>
      </c>
      <c r="I33" s="4"/>
      <c r="J33" s="20" t="s">
        <v>14</v>
      </c>
      <c r="K33" s="21">
        <v>34000</v>
      </c>
    </row>
    <row r="34" spans="2:11" x14ac:dyDescent="0.3">
      <c r="B34" s="10" t="s">
        <v>917</v>
      </c>
      <c r="C34" s="11" t="s">
        <v>847</v>
      </c>
      <c r="D34" s="12">
        <v>0.5</v>
      </c>
      <c r="E34" s="12">
        <v>0</v>
      </c>
      <c r="F34" s="12">
        <v>0.5</v>
      </c>
      <c r="G34" s="13">
        <f>+VLOOKUP(Tabla11034534544554564793637476070798897110119[[#This Row],[Ingrediente]],Tabla34[#All],3,0)</f>
        <v>11140.90909091</v>
      </c>
      <c r="H34" s="14">
        <f>+Tabla11034534544554564793637476070798897110119[[#This Row],[Costo]]*Tabla11034534544554564793637476070798897110119[[#This Row],[Columna2]]</f>
        <v>5570.4545454549998</v>
      </c>
      <c r="I34" s="4"/>
      <c r="J34" s="8" t="s">
        <v>15</v>
      </c>
      <c r="K34" s="15">
        <f>+K33/1.08*0.08</f>
        <v>2518.5185185185182</v>
      </c>
    </row>
    <row r="35" spans="2:11" x14ac:dyDescent="0.3">
      <c r="B35" s="24" t="s">
        <v>639</v>
      </c>
      <c r="C35" s="11" t="s">
        <v>67</v>
      </c>
      <c r="D35" s="12">
        <v>150</v>
      </c>
      <c r="E35" s="12">
        <v>0</v>
      </c>
      <c r="F35" s="12">
        <v>150</v>
      </c>
      <c r="G35" s="13">
        <f>+VLOOKUP(Tabla11034534544554564793637476070798897110119[[#This Row],[Ingrediente]],Tabla34[#All],3,0)</f>
        <v>21.062408219999998</v>
      </c>
      <c r="H35" s="14">
        <f>+Tabla11034534544554564793637476070798897110119[[#This Row],[Costo]]*Tabla11034534544554564793637476070798897110119[[#This Row],[Columna2]]</f>
        <v>3159.3612329999996</v>
      </c>
      <c r="I35" s="27"/>
      <c r="J35" s="8" t="s">
        <v>16</v>
      </c>
      <c r="K35" s="15">
        <f>+K33-K34</f>
        <v>31481.481481481482</v>
      </c>
    </row>
    <row r="36" spans="2:11" x14ac:dyDescent="0.3">
      <c r="B36" s="16"/>
      <c r="C36" s="17"/>
      <c r="D36" s="17"/>
      <c r="E36" s="17"/>
      <c r="F36" s="17"/>
      <c r="G36" s="18"/>
      <c r="H36" s="18">
        <f>SUBTOTAL(109,Tabla11034534544554564793637476070798897110119[Total costo])</f>
        <v>8768.8948244349995</v>
      </c>
      <c r="J36" s="8" t="s">
        <v>17</v>
      </c>
      <c r="K36" s="22">
        <f>+K32/K35</f>
        <v>0.30639550151261113</v>
      </c>
    </row>
    <row r="37" spans="2:11" x14ac:dyDescent="0.3">
      <c r="J37" s="8" t="s">
        <v>18</v>
      </c>
      <c r="K37" s="23">
        <f>+K35-K32</f>
        <v>21835.697174602981</v>
      </c>
    </row>
    <row r="38" spans="2:11" x14ac:dyDescent="0.3">
      <c r="I38" s="4"/>
      <c r="J38" s="8" t="s">
        <v>19</v>
      </c>
      <c r="K38" s="25">
        <f>+K37/K32</f>
        <v>2.2637554894350833</v>
      </c>
    </row>
    <row r="39" spans="2:11" x14ac:dyDescent="0.3">
      <c r="I39" s="4"/>
      <c r="J39" s="4"/>
      <c r="K39" s="31"/>
    </row>
    <row r="40" spans="2:11" x14ac:dyDescent="0.3">
      <c r="G40" s="4"/>
    </row>
    <row r="41" spans="2:11" x14ac:dyDescent="0.3">
      <c r="G41" s="4"/>
    </row>
    <row r="42" spans="2:11" x14ac:dyDescent="0.3">
      <c r="G42" s="4"/>
    </row>
    <row r="43" spans="2:11" x14ac:dyDescent="0.3">
      <c r="G43" s="4"/>
    </row>
    <row r="44" spans="2:11" x14ac:dyDescent="0.3">
      <c r="G44" s="4"/>
    </row>
    <row r="45" spans="2:11" x14ac:dyDescent="0.3">
      <c r="G45" s="4"/>
    </row>
    <row r="46" spans="2:11" x14ac:dyDescent="0.3">
      <c r="G46" s="27"/>
    </row>
  </sheetData>
  <mergeCells count="3">
    <mergeCell ref="J6:K6"/>
    <mergeCell ref="J17:K17"/>
    <mergeCell ref="J29:K29"/>
  </mergeCells>
  <phoneticPr fontId="16" type="noConversion"/>
  <conditionalFormatting sqref="K13">
    <cfRule type="cellIs" dxfId="2015" priority="17" operator="lessThan">
      <formula>0.3</formula>
    </cfRule>
    <cfRule type="cellIs" dxfId="2014" priority="18" operator="greaterThan">
      <formula>0.3</formula>
    </cfRule>
  </conditionalFormatting>
  <conditionalFormatting sqref="K24">
    <cfRule type="cellIs" dxfId="2013" priority="15" operator="lessThan">
      <formula>0.3</formula>
    </cfRule>
    <cfRule type="cellIs" dxfId="2012" priority="16" operator="greaterThan">
      <formula>0.3</formula>
    </cfRule>
  </conditionalFormatting>
  <conditionalFormatting sqref="K36">
    <cfRule type="cellIs" dxfId="2011" priority="13" operator="lessThan">
      <formula>0.3</formula>
    </cfRule>
    <cfRule type="cellIs" dxfId="2010" priority="14" operator="greaterThan">
      <formula>0.3</formula>
    </cfRule>
  </conditionalFormatting>
  <pageMargins left="0.7" right="0.7" top="0.75" bottom="0.75" header="0.3" footer="0.3"/>
  <drawing r:id="rId1"/>
  <tableParts count="3">
    <tablePart r:id="rId2"/>
    <tablePart r:id="rId3"/>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B8CB-C96A-4668-A501-F821AAE4A725}">
  <dimension ref="B6:I123"/>
  <sheetViews>
    <sheetView showGridLines="0" topLeftCell="A16" zoomScale="80" zoomScaleNormal="80" workbookViewId="0">
      <selection activeCell="M31" sqref="M31"/>
    </sheetView>
  </sheetViews>
  <sheetFormatPr baseColWidth="10" defaultRowHeight="14.4" x14ac:dyDescent="0.3"/>
  <cols>
    <col min="1" max="1" width="4" customWidth="1"/>
    <col min="2" max="2" width="32" customWidth="1"/>
    <col min="6" max="6" width="10.88671875" customWidth="1"/>
    <col min="7" max="7" width="3.33203125" customWidth="1"/>
    <col min="8" max="8" width="27.109375" customWidth="1"/>
  </cols>
  <sheetData>
    <row r="6" spans="2:9" x14ac:dyDescent="0.3">
      <c r="B6" s="1" t="s">
        <v>266</v>
      </c>
      <c r="C6" s="2"/>
      <c r="D6" s="2"/>
      <c r="E6" s="3"/>
      <c r="F6" s="3"/>
      <c r="G6" s="4"/>
      <c r="H6" s="399" t="s">
        <v>0</v>
      </c>
      <c r="I6" s="399"/>
    </row>
    <row r="7" spans="2:9" x14ac:dyDescent="0.3">
      <c r="B7" s="5" t="s">
        <v>1</v>
      </c>
      <c r="C7" s="6" t="s">
        <v>2</v>
      </c>
      <c r="D7" s="6" t="s">
        <v>3</v>
      </c>
      <c r="E7" s="7" t="s">
        <v>4</v>
      </c>
      <c r="F7" s="7" t="s">
        <v>5</v>
      </c>
      <c r="G7" s="4"/>
      <c r="H7" s="8" t="s">
        <v>6</v>
      </c>
      <c r="I7" s="9">
        <f>SUM(Tabla110345345445545647945586877869510811712713622823724627233260269[Total costo])</f>
        <v>55000</v>
      </c>
    </row>
    <row r="8" spans="2:9" x14ac:dyDescent="0.3">
      <c r="B8" t="s">
        <v>224</v>
      </c>
      <c r="C8" s="11" t="s">
        <v>11</v>
      </c>
      <c r="D8" s="12">
        <v>1</v>
      </c>
      <c r="E8" s="13">
        <f>+VLOOKUP(Tabla110345345445545647945586877869510811712713622823724627233260269[[#This Row],[Ingrediente]],Tabla34[#All],3,0)</f>
        <v>55000</v>
      </c>
      <c r="F8" s="14">
        <f>+Tabla110345345445545647945586877869510811712713622823724627233260269[[#This Row],[Costo]]*Tabla110345345445545647945586877869510811712713622823724627233260269[[#This Row],[Cant.]]</f>
        <v>55000</v>
      </c>
      <c r="G8" s="4"/>
      <c r="H8" s="8" t="s">
        <v>12</v>
      </c>
      <c r="I8" s="15"/>
    </row>
    <row r="9" spans="2:9" x14ac:dyDescent="0.3">
      <c r="B9" s="16"/>
      <c r="C9" s="17"/>
      <c r="D9" s="17"/>
      <c r="E9" s="18"/>
      <c r="F9" s="18">
        <f>SUBTOTAL(109,Tabla110345345445545647945586877869510811712713622823724627233260269[Total costo])</f>
        <v>55000</v>
      </c>
      <c r="G9" s="4"/>
      <c r="H9" s="8" t="s">
        <v>13</v>
      </c>
      <c r="I9" s="15">
        <f>+I7+I8</f>
        <v>55000</v>
      </c>
    </row>
    <row r="10" spans="2:9" x14ac:dyDescent="0.3">
      <c r="G10" s="4"/>
      <c r="H10" s="20" t="s">
        <v>14</v>
      </c>
      <c r="I10" s="21">
        <v>170000</v>
      </c>
    </row>
    <row r="11" spans="2:9" x14ac:dyDescent="0.3">
      <c r="G11" s="4"/>
      <c r="H11" s="8" t="s">
        <v>15</v>
      </c>
      <c r="I11" s="15">
        <f>+I10/1.08*0.08</f>
        <v>12592.592592592591</v>
      </c>
    </row>
    <row r="12" spans="2:9" x14ac:dyDescent="0.3">
      <c r="G12" s="4"/>
      <c r="H12" s="8" t="s">
        <v>16</v>
      </c>
      <c r="I12" s="15">
        <f>+I10-I11</f>
        <v>157407.40740740742</v>
      </c>
    </row>
    <row r="13" spans="2:9" x14ac:dyDescent="0.3">
      <c r="G13" s="4"/>
      <c r="H13" s="8" t="s">
        <v>17</v>
      </c>
      <c r="I13" s="22">
        <f>+I9/I12</f>
        <v>0.34941176470588231</v>
      </c>
    </row>
    <row r="14" spans="2:9" x14ac:dyDescent="0.3">
      <c r="G14" s="4"/>
      <c r="H14" s="8" t="s">
        <v>18</v>
      </c>
      <c r="I14" s="23">
        <f>+I12-I9</f>
        <v>102407.40740740742</v>
      </c>
    </row>
    <row r="15" spans="2:9" x14ac:dyDescent="0.3">
      <c r="G15" s="4"/>
      <c r="H15" s="8" t="s">
        <v>19</v>
      </c>
      <c r="I15" s="25">
        <f>+I14/I9</f>
        <v>1.861952861952862</v>
      </c>
    </row>
    <row r="16" spans="2:9" x14ac:dyDescent="0.3">
      <c r="G16" s="4"/>
      <c r="H16" s="4"/>
      <c r="I16" s="31"/>
    </row>
    <row r="17" spans="2:9" x14ac:dyDescent="0.3">
      <c r="G17" s="4"/>
      <c r="H17" s="4"/>
      <c r="I17" s="31"/>
    </row>
    <row r="18" spans="2:9" x14ac:dyDescent="0.3">
      <c r="B18" s="19" t="s">
        <v>267</v>
      </c>
      <c r="C18" s="2"/>
      <c r="D18" s="2"/>
      <c r="E18" s="3"/>
      <c r="F18" s="3"/>
      <c r="G18" s="4"/>
      <c r="H18" s="399" t="s">
        <v>0</v>
      </c>
      <c r="I18" s="399"/>
    </row>
    <row r="19" spans="2:9" x14ac:dyDescent="0.3">
      <c r="B19" s="5" t="s">
        <v>1</v>
      </c>
      <c r="C19" s="6" t="s">
        <v>2</v>
      </c>
      <c r="D19" s="6" t="s">
        <v>3</v>
      </c>
      <c r="E19" s="7" t="s">
        <v>4</v>
      </c>
      <c r="F19" s="7" t="s">
        <v>5</v>
      </c>
      <c r="G19" s="4"/>
      <c r="H19" s="8" t="s">
        <v>6</v>
      </c>
      <c r="I19" s="9">
        <f>SUM(Tabla110345345445545647945586877869510811712713622823724627233260269306[Total costo])</f>
        <v>57372</v>
      </c>
    </row>
    <row r="20" spans="2:9" x14ac:dyDescent="0.3">
      <c r="B20" s="10" t="s">
        <v>234</v>
      </c>
      <c r="C20" s="11" t="s">
        <v>11</v>
      </c>
      <c r="D20" s="12">
        <v>1</v>
      </c>
      <c r="E20" s="13">
        <f>+VLOOKUP(Tabla110345345445545647945586877869510811712713622823724627233260269306[[#This Row],[Ingrediente]],Tabla34[#All],3,0)</f>
        <v>57372</v>
      </c>
      <c r="F20" s="14">
        <f>+Tabla110345345445545647945586877869510811712713622823724627233260269306[[#This Row],[Costo]]*Tabla110345345445545647945586877869510811712713622823724627233260269306[[#This Row],[Cant.]]</f>
        <v>57372</v>
      </c>
      <c r="G20" s="4"/>
      <c r="H20" s="8" t="s">
        <v>12</v>
      </c>
      <c r="I20" s="15"/>
    </row>
    <row r="21" spans="2:9" x14ac:dyDescent="0.3">
      <c r="B21" s="16"/>
      <c r="C21" s="17"/>
      <c r="D21" s="17"/>
      <c r="E21" s="18"/>
      <c r="F21" s="18">
        <f>SUBTOTAL(109,Tabla110345345445545647945586877869510811712713622823724627233260269306[Total costo])</f>
        <v>57372</v>
      </c>
      <c r="G21" s="4"/>
      <c r="H21" s="8" t="s">
        <v>13</v>
      </c>
      <c r="I21" s="15">
        <f>+I19+I20</f>
        <v>57372</v>
      </c>
    </row>
    <row r="22" spans="2:9" x14ac:dyDescent="0.3">
      <c r="G22" s="4"/>
      <c r="H22" s="20" t="s">
        <v>14</v>
      </c>
      <c r="I22" s="21">
        <v>121000</v>
      </c>
    </row>
    <row r="23" spans="2:9" x14ac:dyDescent="0.3">
      <c r="G23" s="4"/>
      <c r="H23" s="8" t="s">
        <v>15</v>
      </c>
      <c r="I23" s="15">
        <f>+I22/1.08*0.08</f>
        <v>8962.9629629629635</v>
      </c>
    </row>
    <row r="24" spans="2:9" x14ac:dyDescent="0.3">
      <c r="G24" s="4"/>
      <c r="H24" s="8" t="s">
        <v>16</v>
      </c>
      <c r="I24" s="15">
        <f>+I22-I23</f>
        <v>112037.03703703704</v>
      </c>
    </row>
    <row r="25" spans="2:9" x14ac:dyDescent="0.3">
      <c r="G25" s="4"/>
      <c r="H25" s="8" t="s">
        <v>17</v>
      </c>
      <c r="I25" s="22">
        <f>+I21/I24</f>
        <v>0.51208066115702477</v>
      </c>
    </row>
    <row r="26" spans="2:9" x14ac:dyDescent="0.3">
      <c r="G26" s="4"/>
      <c r="H26" s="8" t="s">
        <v>18</v>
      </c>
      <c r="I26" s="23">
        <f>+I24-I21</f>
        <v>54665.037037037036</v>
      </c>
    </row>
    <row r="27" spans="2:9" x14ac:dyDescent="0.3">
      <c r="G27" s="4"/>
      <c r="H27" s="8" t="s">
        <v>19</v>
      </c>
      <c r="I27" s="25">
        <f>+I26/I21</f>
        <v>0.95281735057235295</v>
      </c>
    </row>
    <row r="30" spans="2:9" x14ac:dyDescent="0.3">
      <c r="B30" s="19" t="s">
        <v>268</v>
      </c>
      <c r="C30" s="2"/>
      <c r="D30" s="2"/>
      <c r="E30" s="3"/>
      <c r="F30" s="3"/>
      <c r="G30" s="4"/>
      <c r="H30" s="399" t="s">
        <v>0</v>
      </c>
      <c r="I30" s="399"/>
    </row>
    <row r="31" spans="2:9" x14ac:dyDescent="0.3">
      <c r="B31" s="5" t="s">
        <v>1</v>
      </c>
      <c r="C31" s="6" t="s">
        <v>2</v>
      </c>
      <c r="D31" s="6" t="s">
        <v>3</v>
      </c>
      <c r="E31" s="7" t="s">
        <v>4</v>
      </c>
      <c r="F31" s="7" t="s">
        <v>5</v>
      </c>
      <c r="G31" s="4"/>
      <c r="H31" s="8" t="s">
        <v>6</v>
      </c>
      <c r="I31" s="9">
        <f>SUM(Tabla110345345445545647945586877869510811712713622823724627233260269306307[Total costo])</f>
        <v>49268.9</v>
      </c>
    </row>
    <row r="32" spans="2:9" x14ac:dyDescent="0.3">
      <c r="B32" s="57" t="s">
        <v>703</v>
      </c>
      <c r="C32" s="11" t="s">
        <v>11</v>
      </c>
      <c r="D32" s="12">
        <v>1</v>
      </c>
      <c r="E32" s="13">
        <f>+VLOOKUP(Tabla110345345445545647945586877869510811712713622823724627233260269306307[[#This Row],[Ingrediente]],Tabla34[#All],3,0)</f>
        <v>49268.9</v>
      </c>
      <c r="F32" s="14">
        <f>+Tabla110345345445545647945586877869510811712713622823724627233260269306307[[#This Row],[Costo]]*Tabla110345345445545647945586877869510811712713622823724627233260269306307[[#This Row],[Cant.]]</f>
        <v>49268.9</v>
      </c>
      <c r="G32" s="4"/>
      <c r="H32" s="8" t="s">
        <v>12</v>
      </c>
      <c r="I32" s="15"/>
    </row>
    <row r="33" spans="2:9" x14ac:dyDescent="0.3">
      <c r="B33" s="16"/>
      <c r="C33" s="17"/>
      <c r="D33" s="17"/>
      <c r="E33" s="18"/>
      <c r="F33" s="18">
        <f>SUBTOTAL(109,Tabla110345345445545647945586877869510811712713622823724627233260269306307[Total costo])</f>
        <v>49268.9</v>
      </c>
      <c r="G33" s="4"/>
      <c r="H33" s="8" t="s">
        <v>13</v>
      </c>
      <c r="I33" s="15">
        <f>+I31+I32</f>
        <v>49268.9</v>
      </c>
    </row>
    <row r="34" spans="2:9" x14ac:dyDescent="0.3">
      <c r="G34" s="4"/>
      <c r="H34" s="20" t="s">
        <v>14</v>
      </c>
      <c r="I34" s="21">
        <v>140000</v>
      </c>
    </row>
    <row r="35" spans="2:9" x14ac:dyDescent="0.3">
      <c r="G35" s="4"/>
      <c r="H35" s="8" t="s">
        <v>15</v>
      </c>
      <c r="I35" s="15">
        <f>+I34/1.08*0.08</f>
        <v>10370.37037037037</v>
      </c>
    </row>
    <row r="36" spans="2:9" x14ac:dyDescent="0.3">
      <c r="G36" s="4"/>
      <c r="H36" s="8" t="s">
        <v>16</v>
      </c>
      <c r="I36" s="15">
        <f>+I34-I35</f>
        <v>129629.62962962964</v>
      </c>
    </row>
    <row r="37" spans="2:9" x14ac:dyDescent="0.3">
      <c r="G37" s="4"/>
      <c r="H37" s="8" t="s">
        <v>17</v>
      </c>
      <c r="I37" s="22">
        <f>+I33/I36</f>
        <v>0.38007437142857142</v>
      </c>
    </row>
    <row r="38" spans="2:9" x14ac:dyDescent="0.3">
      <c r="G38" s="4"/>
      <c r="H38" s="8" t="s">
        <v>18</v>
      </c>
      <c r="I38" s="23">
        <f>+I36-I33</f>
        <v>80360.729629629641</v>
      </c>
    </row>
    <row r="39" spans="2:9" x14ac:dyDescent="0.3">
      <c r="G39" s="4"/>
      <c r="H39" s="8" t="s">
        <v>19</v>
      </c>
      <c r="I39" s="25">
        <f>+I38/I33</f>
        <v>1.631064010554927</v>
      </c>
    </row>
    <row r="41" spans="2:9" x14ac:dyDescent="0.3">
      <c r="B41" s="1" t="s">
        <v>269</v>
      </c>
      <c r="C41" s="2"/>
      <c r="D41" s="2"/>
      <c r="E41" s="3"/>
      <c r="F41" s="3"/>
      <c r="G41" s="4"/>
      <c r="H41" s="399" t="s">
        <v>0</v>
      </c>
      <c r="I41" s="399"/>
    </row>
    <row r="42" spans="2:9" x14ac:dyDescent="0.3">
      <c r="B42" s="5" t="s">
        <v>1</v>
      </c>
      <c r="C42" s="6" t="s">
        <v>2</v>
      </c>
      <c r="D42" s="6" t="s">
        <v>3</v>
      </c>
      <c r="E42" s="7" t="s">
        <v>4</v>
      </c>
      <c r="F42" s="7" t="s">
        <v>5</v>
      </c>
      <c r="G42" s="4"/>
      <c r="H42" s="8" t="s">
        <v>6</v>
      </c>
      <c r="I42" s="9">
        <f>SUM(Tabla110345345445545647945586877869510811712713622823724627233260269306308[Total costo])</f>
        <v>54495</v>
      </c>
    </row>
    <row r="43" spans="2:9" x14ac:dyDescent="0.3">
      <c r="B43" s="10" t="s">
        <v>236</v>
      </c>
      <c r="C43" s="11" t="s">
        <v>565</v>
      </c>
      <c r="D43" s="12">
        <v>5</v>
      </c>
      <c r="E43" s="13">
        <f>+VLOOKUP(Tabla110345345445545647945586877869510811712713622823724627233260269306308[[#This Row],[Ingrediente]],Tabla34[#All],3,0)</f>
        <v>10899</v>
      </c>
      <c r="F43" s="14">
        <f>+Tabla110345345445545647945586877869510811712713622823724627233260269306308[[#This Row],[Costo]]*Tabla110345345445545647945586877869510811712713622823724627233260269306308[[#This Row],[Cant.]]</f>
        <v>54495</v>
      </c>
      <c r="G43" s="4"/>
      <c r="H43" s="8" t="s">
        <v>12</v>
      </c>
      <c r="I43" s="15"/>
    </row>
    <row r="44" spans="2:9" x14ac:dyDescent="0.3">
      <c r="B44" s="16"/>
      <c r="C44" s="17"/>
      <c r="D44" s="17"/>
      <c r="E44" s="18"/>
      <c r="F44" s="18">
        <f>SUBTOTAL(109,Tabla110345345445545647945586877869510811712713622823724627233260269306308[Total costo])</f>
        <v>54495</v>
      </c>
      <c r="G44" s="4"/>
      <c r="H44" s="8" t="s">
        <v>13</v>
      </c>
      <c r="I44" s="15">
        <f>+I42+I43</f>
        <v>54495</v>
      </c>
    </row>
    <row r="45" spans="2:9" x14ac:dyDescent="0.3">
      <c r="G45" s="4"/>
      <c r="H45" s="20" t="s">
        <v>14</v>
      </c>
      <c r="I45" s="21">
        <v>110000</v>
      </c>
    </row>
    <row r="46" spans="2:9" x14ac:dyDescent="0.3">
      <c r="G46" s="4"/>
      <c r="H46" s="8" t="s">
        <v>15</v>
      </c>
      <c r="I46" s="15">
        <f>+I45/1.08*0.08</f>
        <v>8148.1481481481469</v>
      </c>
    </row>
    <row r="47" spans="2:9" x14ac:dyDescent="0.3">
      <c r="G47" s="4"/>
      <c r="H47" s="8" t="s">
        <v>16</v>
      </c>
      <c r="I47" s="15">
        <f>+I45-I46</f>
        <v>101851.85185185185</v>
      </c>
    </row>
    <row r="48" spans="2:9" x14ac:dyDescent="0.3">
      <c r="G48" s="4"/>
      <c r="H48" s="8" t="s">
        <v>17</v>
      </c>
      <c r="I48" s="22">
        <f>+I44/I47</f>
        <v>0.53504181818181817</v>
      </c>
    </row>
    <row r="49" spans="2:9" x14ac:dyDescent="0.3">
      <c r="G49" s="4"/>
      <c r="H49" s="8" t="s">
        <v>18</v>
      </c>
      <c r="I49" s="23">
        <f>+I47-I44</f>
        <v>47356.851851851854</v>
      </c>
    </row>
    <row r="50" spans="2:9" x14ac:dyDescent="0.3">
      <c r="G50" s="4"/>
      <c r="H50" s="8" t="s">
        <v>19</v>
      </c>
      <c r="I50" s="25">
        <f>+I49/I44</f>
        <v>0.86901278744567123</v>
      </c>
    </row>
    <row r="52" spans="2:9" x14ac:dyDescent="0.3">
      <c r="B52" s="1" t="s">
        <v>564</v>
      </c>
      <c r="C52" s="2"/>
      <c r="D52" s="2"/>
      <c r="E52" s="3"/>
      <c r="F52" s="3"/>
      <c r="G52" s="4"/>
      <c r="H52" s="399" t="s">
        <v>0</v>
      </c>
      <c r="I52" s="399"/>
    </row>
    <row r="53" spans="2:9" x14ac:dyDescent="0.3">
      <c r="B53" s="5" t="s">
        <v>1</v>
      </c>
      <c r="C53" s="6" t="s">
        <v>2</v>
      </c>
      <c r="D53" s="6" t="s">
        <v>3</v>
      </c>
      <c r="E53" s="7" t="s">
        <v>4</v>
      </c>
      <c r="F53" s="7" t="s">
        <v>5</v>
      </c>
      <c r="G53" s="4"/>
      <c r="H53" s="8" t="s">
        <v>6</v>
      </c>
      <c r="I53" s="9">
        <f>SUM(Tabla110345345445545647945586877869510811712713622823724627233260269306308372[Total costo])</f>
        <v>10899</v>
      </c>
    </row>
    <row r="54" spans="2:9" x14ac:dyDescent="0.3">
      <c r="B54" s="10" t="s">
        <v>236</v>
      </c>
      <c r="C54" s="11" t="s">
        <v>565</v>
      </c>
      <c r="D54" s="12">
        <v>1</v>
      </c>
      <c r="E54" s="13">
        <f>+VLOOKUP(Tabla110345345445545647945586877869510811712713622823724627233260269306308372[[#This Row],[Ingrediente]],Tabla34[#All],3,0)</f>
        <v>10899</v>
      </c>
      <c r="F54" s="14">
        <f>+Tabla110345345445545647945586877869510811712713622823724627233260269306308372[[#This Row],[Costo]]*Tabla110345345445545647945586877869510811712713622823724627233260269306308372[[#This Row],[Cant.]]</f>
        <v>10899</v>
      </c>
      <c r="G54" s="4"/>
      <c r="H54" s="8" t="s">
        <v>533</v>
      </c>
      <c r="I54" s="15">
        <f>+I53*5%</f>
        <v>544.95000000000005</v>
      </c>
    </row>
    <row r="55" spans="2:9" x14ac:dyDescent="0.3">
      <c r="B55" s="16"/>
      <c r="C55" s="17"/>
      <c r="D55" s="17"/>
      <c r="E55" s="18"/>
      <c r="F55" s="18">
        <f>SUBTOTAL(109,Tabla110345345445545647945586877869510811712713622823724627233260269306308372[Total costo])</f>
        <v>10899</v>
      </c>
      <c r="G55" s="4"/>
      <c r="H55" s="8" t="s">
        <v>13</v>
      </c>
      <c r="I55" s="15">
        <f>+I53+I54</f>
        <v>11443.95</v>
      </c>
    </row>
    <row r="56" spans="2:9" x14ac:dyDescent="0.3">
      <c r="G56" s="4"/>
      <c r="H56" s="20" t="s">
        <v>14</v>
      </c>
      <c r="I56" s="21">
        <v>32000</v>
      </c>
    </row>
    <row r="57" spans="2:9" x14ac:dyDescent="0.3">
      <c r="G57" s="4"/>
      <c r="H57" s="8" t="s">
        <v>15</v>
      </c>
      <c r="I57" s="15">
        <f>+I56/1.08*0.08</f>
        <v>2370.3703703703704</v>
      </c>
    </row>
    <row r="58" spans="2:9" x14ac:dyDescent="0.3">
      <c r="G58" s="4"/>
      <c r="H58" s="8" t="s">
        <v>16</v>
      </c>
      <c r="I58" s="15">
        <f>+I56-I57</f>
        <v>29629.629629629628</v>
      </c>
    </row>
    <row r="59" spans="2:9" x14ac:dyDescent="0.3">
      <c r="G59" s="4"/>
      <c r="H59" s="8" t="s">
        <v>17</v>
      </c>
      <c r="I59" s="22">
        <f>+I55/I58</f>
        <v>0.38623331250000004</v>
      </c>
    </row>
    <row r="60" spans="2:9" x14ac:dyDescent="0.3">
      <c r="G60" s="4"/>
      <c r="H60" s="8" t="s">
        <v>18</v>
      </c>
      <c r="I60" s="23">
        <f>+I58-I55</f>
        <v>18185.679629629627</v>
      </c>
    </row>
    <row r="61" spans="2:9" x14ac:dyDescent="0.3">
      <c r="G61" s="4"/>
      <c r="H61" s="8" t="s">
        <v>19</v>
      </c>
      <c r="I61" s="25">
        <f>+I60/I55</f>
        <v>1.5891086233013623</v>
      </c>
    </row>
    <row r="66" spans="2:9" x14ac:dyDescent="0.3">
      <c r="B66" s="19" t="s">
        <v>270</v>
      </c>
      <c r="C66" s="2"/>
      <c r="D66" s="2"/>
      <c r="E66" s="3"/>
      <c r="F66" s="3"/>
      <c r="G66" s="4"/>
      <c r="H66" s="399" t="s">
        <v>0</v>
      </c>
      <c r="I66" s="399"/>
    </row>
    <row r="67" spans="2:9" x14ac:dyDescent="0.3">
      <c r="B67" s="5" t="s">
        <v>1</v>
      </c>
      <c r="C67" s="6" t="s">
        <v>2</v>
      </c>
      <c r="D67" s="6" t="s">
        <v>3</v>
      </c>
      <c r="E67" s="7" t="s">
        <v>4</v>
      </c>
      <c r="F67" s="7" t="s">
        <v>5</v>
      </c>
      <c r="G67" s="4"/>
      <c r="H67" s="8" t="s">
        <v>6</v>
      </c>
      <c r="I67" s="9">
        <f>SUM(Tabla110345345445545647945586877869510811712713622823724627233260269306309[Total costo])</f>
        <v>0</v>
      </c>
    </row>
    <row r="68" spans="2:9" x14ac:dyDescent="0.3">
      <c r="B68" s="10" t="s">
        <v>235</v>
      </c>
      <c r="C68" s="11" t="s">
        <v>11</v>
      </c>
      <c r="D68" s="12">
        <v>1</v>
      </c>
      <c r="E68" s="13">
        <f>+VLOOKUP(Tabla110345345445545647945586877869510811712713622823724627233260269306309[[#This Row],[Ingrediente]],Tabla34[#All],3,0)</f>
        <v>0</v>
      </c>
      <c r="F68" s="14">
        <f>+Tabla110345345445545647945586877869510811712713622823724627233260269306309[[#This Row],[Costo]]*Tabla110345345445545647945586877869510811712713622823724627233260269306309[[#This Row],[Cant.]]</f>
        <v>0</v>
      </c>
      <c r="G68" s="4"/>
      <c r="H68" s="8" t="s">
        <v>12</v>
      </c>
      <c r="I68" s="15"/>
    </row>
    <row r="69" spans="2:9" x14ac:dyDescent="0.3">
      <c r="B69" s="16"/>
      <c r="C69" s="17"/>
      <c r="D69" s="17"/>
      <c r="E69" s="18"/>
      <c r="F69" s="18">
        <f>SUBTOTAL(109,Tabla110345345445545647945586877869510811712713622823724627233260269306309[Total costo])</f>
        <v>0</v>
      </c>
      <c r="G69" s="4"/>
      <c r="H69" s="8" t="s">
        <v>13</v>
      </c>
      <c r="I69" s="15">
        <f>+I67+I68</f>
        <v>0</v>
      </c>
    </row>
    <row r="70" spans="2:9" x14ac:dyDescent="0.3">
      <c r="G70" s="4"/>
      <c r="H70" s="20" t="s">
        <v>14</v>
      </c>
      <c r="I70" s="21">
        <v>205000</v>
      </c>
    </row>
    <row r="71" spans="2:9" x14ac:dyDescent="0.3">
      <c r="G71" s="4"/>
      <c r="H71" s="8" t="s">
        <v>15</v>
      </c>
      <c r="I71" s="15">
        <f>+I70/1.08*0.08</f>
        <v>15185.185185185184</v>
      </c>
    </row>
    <row r="72" spans="2:9" x14ac:dyDescent="0.3">
      <c r="G72" s="4"/>
      <c r="H72" s="8" t="s">
        <v>16</v>
      </c>
      <c r="I72" s="15">
        <f>+I70-I71</f>
        <v>189814.8148148148</v>
      </c>
    </row>
    <row r="73" spans="2:9" x14ac:dyDescent="0.3">
      <c r="G73" s="4"/>
      <c r="H73" s="8" t="s">
        <v>17</v>
      </c>
      <c r="I73" s="22">
        <f>+I69/I72</f>
        <v>0</v>
      </c>
    </row>
    <row r="74" spans="2:9" x14ac:dyDescent="0.3">
      <c r="G74" s="4"/>
      <c r="H74" s="8" t="s">
        <v>18</v>
      </c>
      <c r="I74" s="23">
        <f>+I72-I69</f>
        <v>189814.8148148148</v>
      </c>
    </row>
    <row r="75" spans="2:9" x14ac:dyDescent="0.3">
      <c r="G75" s="4"/>
      <c r="H75" s="8" t="s">
        <v>19</v>
      </c>
      <c r="I75" s="25" t="e">
        <f>+I74/I69</f>
        <v>#DIV/0!</v>
      </c>
    </row>
    <row r="79" spans="2:9" x14ac:dyDescent="0.3">
      <c r="B79" s="19" t="s">
        <v>271</v>
      </c>
      <c r="C79" s="2"/>
      <c r="D79" s="2"/>
      <c r="E79" s="3"/>
      <c r="F79" s="3"/>
      <c r="G79" s="4"/>
      <c r="H79" s="399" t="s">
        <v>0</v>
      </c>
      <c r="I79" s="399"/>
    </row>
    <row r="80" spans="2:9" x14ac:dyDescent="0.3">
      <c r="B80" s="5" t="s">
        <v>1</v>
      </c>
      <c r="C80" s="6" t="s">
        <v>2</v>
      </c>
      <c r="D80" s="6" t="s">
        <v>3</v>
      </c>
      <c r="E80" s="7" t="s">
        <v>4</v>
      </c>
      <c r="F80" s="7" t="s">
        <v>5</v>
      </c>
      <c r="G80" s="4"/>
      <c r="H80" s="8" t="s">
        <v>6</v>
      </c>
      <c r="I80" s="9">
        <f>SUM(Tabla110345345445545647945586877869510811712713622823724627233260269306311[Total costo])</f>
        <v>0</v>
      </c>
    </row>
    <row r="81" spans="2:9" x14ac:dyDescent="0.3">
      <c r="B81" s="10" t="s">
        <v>271</v>
      </c>
      <c r="C81" s="11" t="s">
        <v>11</v>
      </c>
      <c r="D81" s="12">
        <v>1</v>
      </c>
      <c r="E81" s="13">
        <f>+VLOOKUP(Tabla110345345445545647945586877869510811712713622823724627233260269306311[[#This Row],[Ingrediente]],Tabla34[#All],3,0)</f>
        <v>0</v>
      </c>
      <c r="F81" s="14">
        <f>+Tabla110345345445545647945586877869510811712713622823724627233260269306311[[#This Row],[Costo]]*Tabla110345345445545647945586877869510811712713622823724627233260269306311[[#This Row],[Cant.]]</f>
        <v>0</v>
      </c>
      <c r="G81" s="4"/>
      <c r="H81" s="8" t="s">
        <v>12</v>
      </c>
      <c r="I81" s="15"/>
    </row>
    <row r="82" spans="2:9" x14ac:dyDescent="0.3">
      <c r="B82" s="16"/>
      <c r="C82" s="17"/>
      <c r="D82" s="17"/>
      <c r="E82" s="18"/>
      <c r="F82" s="18">
        <f>SUBTOTAL(109,Tabla110345345445545647945586877869510811712713622823724627233260269306311[Total costo])</f>
        <v>0</v>
      </c>
      <c r="G82" s="4"/>
      <c r="H82" s="8" t="s">
        <v>13</v>
      </c>
      <c r="I82" s="15">
        <f>+I80+I81</f>
        <v>0</v>
      </c>
    </row>
    <row r="83" spans="2:9" x14ac:dyDescent="0.3">
      <c r="G83" s="4"/>
      <c r="H83" s="20" t="s">
        <v>14</v>
      </c>
      <c r="I83" s="21">
        <v>100000</v>
      </c>
    </row>
    <row r="84" spans="2:9" x14ac:dyDescent="0.3">
      <c r="G84" s="4"/>
      <c r="H84" s="8" t="s">
        <v>15</v>
      </c>
      <c r="I84" s="15">
        <f>+I83/1.08*0.08</f>
        <v>7407.4074074074069</v>
      </c>
    </row>
    <row r="85" spans="2:9" x14ac:dyDescent="0.3">
      <c r="G85" s="4"/>
      <c r="H85" s="8" t="s">
        <v>16</v>
      </c>
      <c r="I85" s="15">
        <f>+I83-I84</f>
        <v>92592.592592592599</v>
      </c>
    </row>
    <row r="86" spans="2:9" x14ac:dyDescent="0.3">
      <c r="G86" s="4"/>
      <c r="H86" s="8" t="s">
        <v>17</v>
      </c>
      <c r="I86" s="22">
        <f>+I82/I85</f>
        <v>0</v>
      </c>
    </row>
    <row r="87" spans="2:9" x14ac:dyDescent="0.3">
      <c r="G87" s="4"/>
      <c r="H87" s="8" t="s">
        <v>18</v>
      </c>
      <c r="I87" s="23">
        <f>+I85-I82</f>
        <v>92592.592592592599</v>
      </c>
    </row>
    <row r="88" spans="2:9" x14ac:dyDescent="0.3">
      <c r="G88" s="4"/>
      <c r="H88" s="8" t="s">
        <v>19</v>
      </c>
      <c r="I88" s="25" t="e">
        <f>+I87/I82</f>
        <v>#DIV/0!</v>
      </c>
    </row>
    <row r="91" spans="2:9" x14ac:dyDescent="0.3">
      <c r="B91" s="1" t="s">
        <v>266</v>
      </c>
      <c r="C91" s="2"/>
      <c r="D91" s="2"/>
      <c r="E91" s="3"/>
      <c r="F91" s="3"/>
      <c r="G91" s="4"/>
      <c r="H91" s="399" t="s">
        <v>0</v>
      </c>
      <c r="I91" s="399"/>
    </row>
    <row r="92" spans="2:9" x14ac:dyDescent="0.3">
      <c r="B92" s="5" t="s">
        <v>1</v>
      </c>
      <c r="C92" s="6" t="s">
        <v>2</v>
      </c>
      <c r="D92" s="6" t="s">
        <v>3</v>
      </c>
      <c r="E92" s="7" t="s">
        <v>4</v>
      </c>
      <c r="F92" s="7" t="s">
        <v>5</v>
      </c>
      <c r="G92" s="4"/>
      <c r="H92" s="8" t="s">
        <v>6</v>
      </c>
      <c r="I92" s="9">
        <f>SUM(Tabla110345345445545647945586877869510811712713622823724627233260269306312[Total costo])</f>
        <v>90057</v>
      </c>
    </row>
    <row r="93" spans="2:9" x14ac:dyDescent="0.3">
      <c r="B93" s="10" t="s">
        <v>225</v>
      </c>
      <c r="C93" s="11" t="s">
        <v>11</v>
      </c>
      <c r="D93" s="12">
        <v>1</v>
      </c>
      <c r="E93" s="13">
        <f>+VLOOKUP(Tabla110345345445545647945586877869510811712713622823724627233260269306312[[#This Row],[Ingrediente]],Tabla34[#All],3,0)</f>
        <v>90057</v>
      </c>
      <c r="F93" s="14">
        <f>+Tabla110345345445545647945586877869510811712713622823724627233260269306312[[#This Row],[Costo]]*Tabla110345345445545647945586877869510811712713622823724627233260269306312[[#This Row],[Cant.]]</f>
        <v>90057</v>
      </c>
      <c r="G93" s="4"/>
      <c r="H93" s="8" t="s">
        <v>12</v>
      </c>
      <c r="I93" s="15"/>
    </row>
    <row r="94" spans="2:9" x14ac:dyDescent="0.3">
      <c r="B94" s="16"/>
      <c r="C94" s="17"/>
      <c r="D94" s="17"/>
      <c r="E94" s="18"/>
      <c r="F94" s="18">
        <f>SUBTOTAL(109,Tabla110345345445545647945586877869510811712713622823724627233260269306312[Total costo])</f>
        <v>90057</v>
      </c>
      <c r="G94" s="4"/>
      <c r="H94" s="8" t="s">
        <v>13</v>
      </c>
      <c r="I94" s="15">
        <f>+I92+I93</f>
        <v>90057</v>
      </c>
    </row>
    <row r="95" spans="2:9" x14ac:dyDescent="0.3">
      <c r="G95" s="4"/>
      <c r="H95" s="20" t="s">
        <v>14</v>
      </c>
      <c r="I95" s="21">
        <v>145000</v>
      </c>
    </row>
    <row r="96" spans="2:9" x14ac:dyDescent="0.3">
      <c r="G96" s="4"/>
      <c r="H96" s="8" t="s">
        <v>15</v>
      </c>
      <c r="I96" s="15">
        <f>+I95/1.08*0.08</f>
        <v>10740.740740740739</v>
      </c>
    </row>
    <row r="97" spans="2:9" x14ac:dyDescent="0.3">
      <c r="G97" s="4"/>
      <c r="H97" s="8" t="s">
        <v>16</v>
      </c>
      <c r="I97" s="15">
        <f>+I95-I96</f>
        <v>134259.25925925927</v>
      </c>
    </row>
    <row r="98" spans="2:9" x14ac:dyDescent="0.3">
      <c r="G98" s="4"/>
      <c r="H98" s="8" t="s">
        <v>17</v>
      </c>
      <c r="I98" s="22">
        <f>+I94/I97</f>
        <v>0.67076937931034475</v>
      </c>
    </row>
    <row r="99" spans="2:9" x14ac:dyDescent="0.3">
      <c r="G99" s="4"/>
      <c r="H99" s="8" t="s">
        <v>18</v>
      </c>
      <c r="I99" s="23">
        <f>+I97-I94</f>
        <v>44202.25925925927</v>
      </c>
    </row>
    <row r="100" spans="2:9" x14ac:dyDescent="0.3">
      <c r="G100" s="4"/>
      <c r="H100" s="8" t="s">
        <v>19</v>
      </c>
      <c r="I100" s="25">
        <f>+I99/I94</f>
        <v>0.49082535793174625</v>
      </c>
    </row>
    <row r="103" spans="2:9" x14ac:dyDescent="0.3">
      <c r="B103" s="1" t="s">
        <v>272</v>
      </c>
      <c r="C103" s="2"/>
      <c r="D103" s="2"/>
      <c r="E103" s="3"/>
      <c r="F103" s="3"/>
      <c r="G103" s="4"/>
      <c r="H103" s="399" t="s">
        <v>0</v>
      </c>
      <c r="I103" s="399"/>
    </row>
    <row r="104" spans="2:9" x14ac:dyDescent="0.3">
      <c r="B104" s="5" t="s">
        <v>1</v>
      </c>
      <c r="C104" s="6" t="s">
        <v>2</v>
      </c>
      <c r="D104" s="6" t="s">
        <v>3</v>
      </c>
      <c r="E104" s="7" t="s">
        <v>4</v>
      </c>
      <c r="F104" s="7" t="s">
        <v>5</v>
      </c>
      <c r="G104" s="4"/>
      <c r="H104" s="8" t="s">
        <v>6</v>
      </c>
      <c r="I104" s="9">
        <f>SUM(Tabla110345345445545647945586877869510811712713622823724627233260269306313[Total costo])</f>
        <v>176000</v>
      </c>
    </row>
    <row r="105" spans="2:9" x14ac:dyDescent="0.3">
      <c r="B105" s="10" t="s">
        <v>623</v>
      </c>
      <c r="C105" s="11" t="s">
        <v>11</v>
      </c>
      <c r="D105" s="12">
        <v>1</v>
      </c>
      <c r="E105" s="13">
        <f>+VLOOKUP(Tabla110345345445545647945586877869510811712713622823724627233260269306313[[#This Row],[Ingrediente]],Tabla34[#All],3,0)</f>
        <v>176000</v>
      </c>
      <c r="F105" s="14">
        <f>+Tabla110345345445545647945586877869510811712713622823724627233260269306313[[#This Row],[Costo]]*Tabla110345345445545647945586877869510811712713622823724627233260269306313[[#This Row],[Cant.]]</f>
        <v>176000</v>
      </c>
      <c r="G105" s="4"/>
      <c r="H105" s="8" t="s">
        <v>12</v>
      </c>
      <c r="I105" s="15"/>
    </row>
    <row r="106" spans="2:9" x14ac:dyDescent="0.3">
      <c r="B106" s="16"/>
      <c r="C106" s="17"/>
      <c r="D106" s="17"/>
      <c r="E106" s="18"/>
      <c r="F106" s="18">
        <f>SUBTOTAL(109,Tabla110345345445545647945586877869510811712713622823724627233260269306313[Total costo])</f>
        <v>176000</v>
      </c>
      <c r="G106" s="4"/>
      <c r="H106" s="8" t="s">
        <v>13</v>
      </c>
      <c r="I106" s="15">
        <f>+I104+I105</f>
        <v>176000</v>
      </c>
    </row>
    <row r="107" spans="2:9" x14ac:dyDescent="0.3">
      <c r="G107" s="4"/>
      <c r="H107" s="20" t="s">
        <v>14</v>
      </c>
      <c r="I107" s="21">
        <v>320000</v>
      </c>
    </row>
    <row r="108" spans="2:9" x14ac:dyDescent="0.3">
      <c r="G108" s="4"/>
      <c r="H108" s="8" t="s">
        <v>15</v>
      </c>
      <c r="I108" s="15">
        <f>+I107/1.08*0.08</f>
        <v>23703.703703703704</v>
      </c>
    </row>
    <row r="109" spans="2:9" x14ac:dyDescent="0.3">
      <c r="G109" s="4"/>
      <c r="H109" s="8" t="s">
        <v>16</v>
      </c>
      <c r="I109" s="15">
        <f>+I107-I108</f>
        <v>296296.29629629629</v>
      </c>
    </row>
    <row r="110" spans="2:9" x14ac:dyDescent="0.3">
      <c r="G110" s="4"/>
      <c r="H110" s="8" t="s">
        <v>17</v>
      </c>
      <c r="I110" s="22">
        <f>+I106/I109</f>
        <v>0.59399999999999997</v>
      </c>
    </row>
    <row r="111" spans="2:9" x14ac:dyDescent="0.3">
      <c r="G111" s="4"/>
      <c r="H111" s="8" t="s">
        <v>18</v>
      </c>
      <c r="I111" s="23">
        <f>+I109-I106</f>
        <v>120296.29629629629</v>
      </c>
    </row>
    <row r="112" spans="2:9" x14ac:dyDescent="0.3">
      <c r="G112" s="4"/>
      <c r="H112" s="8" t="s">
        <v>19</v>
      </c>
      <c r="I112" s="25">
        <f>+I111/I106</f>
        <v>0.6835016835016835</v>
      </c>
    </row>
    <row r="114" spans="2:9" x14ac:dyDescent="0.3">
      <c r="B114" s="1" t="s">
        <v>273</v>
      </c>
      <c r="C114" s="2"/>
      <c r="D114" s="2"/>
      <c r="E114" s="3"/>
      <c r="F114" s="3"/>
      <c r="G114" s="4"/>
      <c r="H114" s="399" t="s">
        <v>0</v>
      </c>
      <c r="I114" s="399"/>
    </row>
    <row r="115" spans="2:9" x14ac:dyDescent="0.3">
      <c r="B115" s="5" t="s">
        <v>1</v>
      </c>
      <c r="C115" s="6" t="s">
        <v>2</v>
      </c>
      <c r="D115" s="6" t="s">
        <v>3</v>
      </c>
      <c r="E115" s="7" t="s">
        <v>4</v>
      </c>
      <c r="F115" s="7" t="s">
        <v>5</v>
      </c>
      <c r="G115" s="4"/>
      <c r="H115" s="8" t="s">
        <v>6</v>
      </c>
      <c r="I115" s="9" t="e">
        <f>SUM(Tabla110345345445545647945586877869510811712713622823724627233260269306314[Total costo])</f>
        <v>#N/A</v>
      </c>
    </row>
    <row r="116" spans="2:9" x14ac:dyDescent="0.3">
      <c r="B116" s="10" t="s">
        <v>852</v>
      </c>
      <c r="C116" s="11" t="s">
        <v>11</v>
      </c>
      <c r="D116" s="12">
        <v>1</v>
      </c>
      <c r="E116" s="13" t="e">
        <f>+VLOOKUP(Tabla110345345445545647945586877869510811712713622823724627233260269306314[[#This Row],[Ingrediente]],Tabla34[#All],3,0)</f>
        <v>#N/A</v>
      </c>
      <c r="F116" s="14" t="e">
        <f>+Tabla110345345445545647945586877869510811712713622823724627233260269306314[[#This Row],[Costo]]*Tabla110345345445545647945586877869510811712713622823724627233260269306314[[#This Row],[Cant.]]</f>
        <v>#N/A</v>
      </c>
      <c r="G116" s="4"/>
      <c r="H116" s="8" t="s">
        <v>12</v>
      </c>
      <c r="I116" s="15"/>
    </row>
    <row r="117" spans="2:9" x14ac:dyDescent="0.3">
      <c r="B117" s="16"/>
      <c r="C117" s="17"/>
      <c r="D117" s="17"/>
      <c r="E117" s="18"/>
      <c r="F117" s="18" t="e">
        <f>SUBTOTAL(109,Tabla110345345445545647945586877869510811712713622823724627233260269306314[Total costo])</f>
        <v>#N/A</v>
      </c>
      <c r="G117" s="4"/>
      <c r="H117" s="8" t="s">
        <v>13</v>
      </c>
      <c r="I117" s="15" t="e">
        <f>+I115+I116</f>
        <v>#N/A</v>
      </c>
    </row>
    <row r="118" spans="2:9" x14ac:dyDescent="0.3">
      <c r="G118" s="4"/>
      <c r="H118" s="20" t="s">
        <v>14</v>
      </c>
      <c r="I118" s="21">
        <v>220000</v>
      </c>
    </row>
    <row r="119" spans="2:9" x14ac:dyDescent="0.3">
      <c r="G119" s="4"/>
      <c r="H119" s="8" t="s">
        <v>15</v>
      </c>
      <c r="I119" s="15">
        <f>+I118/1.08*0.08</f>
        <v>16296.296296296294</v>
      </c>
    </row>
    <row r="120" spans="2:9" x14ac:dyDescent="0.3">
      <c r="G120" s="4"/>
      <c r="H120" s="8" t="s">
        <v>16</v>
      </c>
      <c r="I120" s="15">
        <f>+I118-I119</f>
        <v>203703.70370370371</v>
      </c>
    </row>
    <row r="121" spans="2:9" x14ac:dyDescent="0.3">
      <c r="G121" s="4"/>
      <c r="H121" s="8" t="s">
        <v>17</v>
      </c>
      <c r="I121" s="22" t="e">
        <f>+I117/I120</f>
        <v>#N/A</v>
      </c>
    </row>
    <row r="122" spans="2:9" x14ac:dyDescent="0.3">
      <c r="G122" s="4"/>
      <c r="H122" s="8" t="s">
        <v>18</v>
      </c>
      <c r="I122" s="23" t="e">
        <f>+I120-I117</f>
        <v>#N/A</v>
      </c>
    </row>
    <row r="123" spans="2:9" x14ac:dyDescent="0.3">
      <c r="G123" s="4"/>
      <c r="H123" s="8" t="s">
        <v>19</v>
      </c>
      <c r="I123" s="25" t="e">
        <f>+I122/I117</f>
        <v>#N/A</v>
      </c>
    </row>
  </sheetData>
  <mergeCells count="10">
    <mergeCell ref="H6:I6"/>
    <mergeCell ref="H103:I103"/>
    <mergeCell ref="H114:I114"/>
    <mergeCell ref="H18:I18"/>
    <mergeCell ref="H30:I30"/>
    <mergeCell ref="H41:I41"/>
    <mergeCell ref="H66:I66"/>
    <mergeCell ref="H79:I79"/>
    <mergeCell ref="H91:I91"/>
    <mergeCell ref="H52:I52"/>
  </mergeCells>
  <conditionalFormatting sqref="I13">
    <cfRule type="cellIs" dxfId="2009" priority="37" operator="lessThan">
      <formula>0.3</formula>
    </cfRule>
    <cfRule type="cellIs" dxfId="2008" priority="38" operator="greaterThan">
      <formula>0.3</formula>
    </cfRule>
  </conditionalFormatting>
  <conditionalFormatting sqref="I25">
    <cfRule type="cellIs" dxfId="2007" priority="19" operator="lessThan">
      <formula>0.3</formula>
    </cfRule>
    <cfRule type="cellIs" dxfId="2006" priority="20" operator="greaterThan">
      <formula>0.3</formula>
    </cfRule>
  </conditionalFormatting>
  <conditionalFormatting sqref="I37">
    <cfRule type="cellIs" dxfId="2005" priority="17" operator="lessThan">
      <formula>0.3</formula>
    </cfRule>
    <cfRule type="cellIs" dxfId="2004" priority="18" operator="greaterThan">
      <formula>0.3</formula>
    </cfRule>
  </conditionalFormatting>
  <conditionalFormatting sqref="I48">
    <cfRule type="cellIs" dxfId="2003" priority="15" operator="lessThan">
      <formula>0.3</formula>
    </cfRule>
    <cfRule type="cellIs" dxfId="2002" priority="16" operator="greaterThan">
      <formula>0.3</formula>
    </cfRule>
  </conditionalFormatting>
  <conditionalFormatting sqref="I59">
    <cfRule type="cellIs" dxfId="2001" priority="1" operator="lessThan">
      <formula>0.3</formula>
    </cfRule>
    <cfRule type="cellIs" dxfId="2000" priority="2" operator="greaterThan">
      <formula>0.3</formula>
    </cfRule>
  </conditionalFormatting>
  <conditionalFormatting sqref="I73">
    <cfRule type="cellIs" dxfId="1999" priority="13" operator="lessThan">
      <formula>0.3</formula>
    </cfRule>
    <cfRule type="cellIs" dxfId="1998" priority="14" operator="greaterThan">
      <formula>0.3</formula>
    </cfRule>
  </conditionalFormatting>
  <conditionalFormatting sqref="I86">
    <cfRule type="cellIs" dxfId="1997" priority="9" operator="lessThan">
      <formula>0.3</formula>
    </cfRule>
    <cfRule type="cellIs" dxfId="1996" priority="10" operator="greaterThan">
      <formula>0.3</formula>
    </cfRule>
  </conditionalFormatting>
  <conditionalFormatting sqref="I98">
    <cfRule type="cellIs" dxfId="1995" priority="7" operator="lessThan">
      <formula>0.3</formula>
    </cfRule>
    <cfRule type="cellIs" dxfId="1994" priority="8" operator="greaterThan">
      <formula>0.3</formula>
    </cfRule>
  </conditionalFormatting>
  <conditionalFormatting sqref="I110">
    <cfRule type="cellIs" dxfId="1993" priority="5" operator="lessThan">
      <formula>0.3</formula>
    </cfRule>
    <cfRule type="cellIs" dxfId="1992" priority="6" operator="greaterThan">
      <formula>0.3</formula>
    </cfRule>
  </conditionalFormatting>
  <conditionalFormatting sqref="I121">
    <cfRule type="cellIs" dxfId="1991" priority="3" operator="lessThan">
      <formula>0.3</formula>
    </cfRule>
    <cfRule type="cellIs" dxfId="1990" priority="4" operator="greaterThan">
      <formula>0.3</formula>
    </cfRule>
  </conditionalFormatting>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F44F-45E9-4A98-84C5-067F632528DE}">
  <dimension ref="B7:I184"/>
  <sheetViews>
    <sheetView showGridLines="0" zoomScale="90" zoomScaleNormal="90" workbookViewId="0"/>
  </sheetViews>
  <sheetFormatPr baseColWidth="10" defaultColWidth="10.88671875" defaultRowHeight="13.2" x14ac:dyDescent="0.25"/>
  <cols>
    <col min="1" max="1" width="4" style="40" customWidth="1"/>
    <col min="2" max="2" width="55.109375" style="40" customWidth="1"/>
    <col min="3" max="3" width="8.6640625" style="40" customWidth="1"/>
    <col min="4" max="4" width="8.5546875" style="40" customWidth="1"/>
    <col min="5" max="5" width="12.44140625" style="40" bestFit="1" customWidth="1"/>
    <col min="6" max="6" width="10.88671875" style="40" customWidth="1"/>
    <col min="7" max="7" width="3.33203125" style="40" customWidth="1"/>
    <col min="8" max="8" width="26.5546875" style="40" bestFit="1" customWidth="1"/>
    <col min="9" max="9" width="11.77734375" style="40" bestFit="1" customWidth="1"/>
    <col min="10" max="10" width="2.6640625" style="40" customWidth="1"/>
    <col min="11" max="16384" width="10.88671875" style="40"/>
  </cols>
  <sheetData>
    <row r="7" spans="2:9" x14ac:dyDescent="0.25">
      <c r="B7" s="19" t="s">
        <v>418</v>
      </c>
      <c r="C7" s="2"/>
      <c r="D7" s="2"/>
      <c r="E7" s="3"/>
      <c r="F7" s="3"/>
      <c r="G7" s="4"/>
      <c r="H7" s="399" t="s">
        <v>0</v>
      </c>
      <c r="I7" s="399"/>
    </row>
    <row r="8" spans="2:9" x14ac:dyDescent="0.25">
      <c r="B8" s="5" t="s">
        <v>1</v>
      </c>
      <c r="C8" s="6" t="s">
        <v>2</v>
      </c>
      <c r="D8" s="6" t="s">
        <v>3</v>
      </c>
      <c r="E8" s="7" t="s">
        <v>4</v>
      </c>
      <c r="F8" s="7" t="s">
        <v>5</v>
      </c>
      <c r="G8" s="4"/>
      <c r="H8" s="8" t="s">
        <v>6</v>
      </c>
      <c r="I8" s="9">
        <f>SUM(Tabla110345345445545647945586877869510811712713622823724627233260269297315316384392394396416418426437[Total costo])</f>
        <v>108000</v>
      </c>
    </row>
    <row r="9" spans="2:9" x14ac:dyDescent="0.25">
      <c r="B9" s="10" t="s">
        <v>791</v>
      </c>
      <c r="C9" s="11" t="s">
        <v>11</v>
      </c>
      <c r="D9" s="12">
        <v>1</v>
      </c>
      <c r="E9" s="13">
        <f>+VLOOKUP(Tabla110345345445545647945586877869510811712713622823724627233260269297315316384392394396416418426437[[#This Row],[Ingrediente]],Tabla34[#All],3,0)</f>
        <v>108000</v>
      </c>
      <c r="F9" s="14">
        <f>+Tabla110345345445545647945586877869510811712713622823724627233260269297315316384392394396416418426437[[#This Row],[Costo]]*Tabla110345345445545647945586877869510811712713622823724627233260269297315316384392394396416418426437[[#This Row],[Cant.]]</f>
        <v>108000</v>
      </c>
      <c r="G9" s="4"/>
      <c r="H9" s="8" t="s">
        <v>372</v>
      </c>
      <c r="I9" s="15"/>
    </row>
    <row r="10" spans="2:9" x14ac:dyDescent="0.25">
      <c r="B10" s="16"/>
      <c r="C10" s="17"/>
      <c r="D10" s="17"/>
      <c r="E10" s="18"/>
      <c r="F10" s="18">
        <f>SUBTOTAL(109,Tabla110345345445545647945586877869510811712713622823724627233260269297315316384392394396416418426437[Total costo])</f>
        <v>108000</v>
      </c>
      <c r="G10" s="4"/>
      <c r="H10" s="8" t="s">
        <v>13</v>
      </c>
      <c r="I10" s="15">
        <f>+I8+I9</f>
        <v>108000</v>
      </c>
    </row>
    <row r="11" spans="2:9" x14ac:dyDescent="0.25">
      <c r="G11" s="4"/>
      <c r="H11" s="20" t="s">
        <v>14</v>
      </c>
      <c r="I11" s="21">
        <v>210000</v>
      </c>
    </row>
    <row r="12" spans="2:9" x14ac:dyDescent="0.25">
      <c r="G12" s="4"/>
      <c r="H12" s="8" t="s">
        <v>15</v>
      </c>
      <c r="I12" s="15">
        <f>+I11/1.08*0.08</f>
        <v>15555.555555555555</v>
      </c>
    </row>
    <row r="13" spans="2:9" x14ac:dyDescent="0.25">
      <c r="G13" s="4"/>
      <c r="H13" s="8" t="s">
        <v>16</v>
      </c>
      <c r="I13" s="15">
        <f>+I11-I12</f>
        <v>194444.44444444444</v>
      </c>
    </row>
    <row r="14" spans="2:9" x14ac:dyDescent="0.25">
      <c r="G14" s="4"/>
      <c r="H14" s="8" t="s">
        <v>17</v>
      </c>
      <c r="I14" s="41">
        <f>+I10/I13</f>
        <v>0.55542857142857149</v>
      </c>
    </row>
    <row r="15" spans="2:9" x14ac:dyDescent="0.25">
      <c r="G15" s="4"/>
      <c r="H15" s="8" t="s">
        <v>18</v>
      </c>
      <c r="I15" s="42">
        <f>+I13-I10</f>
        <v>86444.444444444438</v>
      </c>
    </row>
    <row r="16" spans="2:9" x14ac:dyDescent="0.25">
      <c r="G16" s="4"/>
      <c r="H16" s="8" t="s">
        <v>19</v>
      </c>
      <c r="I16" s="43">
        <f>+I15/I10</f>
        <v>0.80041152263374482</v>
      </c>
    </row>
    <row r="19" spans="2:9" x14ac:dyDescent="0.25">
      <c r="B19" s="19" t="s">
        <v>419</v>
      </c>
      <c r="C19" s="2"/>
      <c r="D19" s="2"/>
      <c r="E19" s="3"/>
      <c r="F19" s="3"/>
      <c r="G19" s="4"/>
      <c r="H19" s="399" t="s">
        <v>0</v>
      </c>
      <c r="I19" s="399"/>
    </row>
    <row r="20" spans="2:9" x14ac:dyDescent="0.25">
      <c r="B20" s="5" t="s">
        <v>1</v>
      </c>
      <c r="C20" s="6" t="s">
        <v>2</v>
      </c>
      <c r="D20" s="6" t="s">
        <v>3</v>
      </c>
      <c r="E20" s="7" t="s">
        <v>4</v>
      </c>
      <c r="F20" s="7" t="s">
        <v>5</v>
      </c>
      <c r="G20" s="4"/>
      <c r="H20" s="8" t="s">
        <v>6</v>
      </c>
      <c r="I20" s="9">
        <f>SUM(Tabla110345345445545647945586877869510811712713622823724627233260269297315316384392394396416418426441[Total costo])</f>
        <v>54495</v>
      </c>
    </row>
    <row r="21" spans="2:9" x14ac:dyDescent="0.25">
      <c r="B21" s="10" t="s">
        <v>649</v>
      </c>
      <c r="C21" s="11" t="s">
        <v>11</v>
      </c>
      <c r="D21" s="12">
        <v>5</v>
      </c>
      <c r="E21" s="13">
        <f>+VLOOKUP(Tabla110345345445545647945586877869510811712713622823724627233260269297315316384392394396416418426441[[#This Row],[Ingrediente]],Tabla34[#All],3,0)</f>
        <v>10899</v>
      </c>
      <c r="F21" s="14">
        <f>+Tabla110345345445545647945586877869510811712713622823724627233260269297315316384392394396416418426441[[#This Row],[Costo]]*Tabla110345345445545647945586877869510811712713622823724627233260269297315316384392394396416418426441[[#This Row],[Cant.]]</f>
        <v>54495</v>
      </c>
      <c r="G21" s="4"/>
      <c r="H21" s="8" t="s">
        <v>372</v>
      </c>
      <c r="I21" s="15"/>
    </row>
    <row r="22" spans="2:9" x14ac:dyDescent="0.25">
      <c r="B22" s="16"/>
      <c r="C22" s="17"/>
      <c r="D22" s="17"/>
      <c r="E22" s="18"/>
      <c r="F22" s="18">
        <f>SUBTOTAL(109,Tabla110345345445545647945586877869510811712713622823724627233260269297315316384392394396416418426441[Total costo])</f>
        <v>54495</v>
      </c>
      <c r="G22" s="4"/>
      <c r="H22" s="8" t="s">
        <v>13</v>
      </c>
      <c r="I22" s="15">
        <f>+I20+I21</f>
        <v>54495</v>
      </c>
    </row>
    <row r="23" spans="2:9" x14ac:dyDescent="0.25">
      <c r="G23" s="4"/>
      <c r="H23" s="20" t="s">
        <v>14</v>
      </c>
      <c r="I23" s="21">
        <v>110000</v>
      </c>
    </row>
    <row r="24" spans="2:9" x14ac:dyDescent="0.25">
      <c r="G24" s="4"/>
      <c r="H24" s="8" t="s">
        <v>15</v>
      </c>
      <c r="I24" s="15">
        <f>+I23/1.08*0.08</f>
        <v>8148.1481481481469</v>
      </c>
    </row>
    <row r="25" spans="2:9" x14ac:dyDescent="0.25">
      <c r="G25" s="4"/>
      <c r="H25" s="8" t="s">
        <v>16</v>
      </c>
      <c r="I25" s="15">
        <f>+I23-I24</f>
        <v>101851.85185185185</v>
      </c>
    </row>
    <row r="26" spans="2:9" x14ac:dyDescent="0.25">
      <c r="G26" s="4"/>
      <c r="H26" s="8" t="s">
        <v>17</v>
      </c>
      <c r="I26" s="41">
        <f>+I22/I25</f>
        <v>0.53504181818181817</v>
      </c>
    </row>
    <row r="27" spans="2:9" x14ac:dyDescent="0.25">
      <c r="G27" s="4"/>
      <c r="H27" s="8" t="s">
        <v>18</v>
      </c>
      <c r="I27" s="42">
        <f>+I25-I22</f>
        <v>47356.851851851854</v>
      </c>
    </row>
    <row r="28" spans="2:9" x14ac:dyDescent="0.25">
      <c r="G28" s="4"/>
      <c r="H28" s="8" t="s">
        <v>19</v>
      </c>
      <c r="I28" s="43">
        <f>+I27/I22</f>
        <v>0.86901278744567123</v>
      </c>
    </row>
    <row r="30" spans="2:9" x14ac:dyDescent="0.25">
      <c r="B30" s="19" t="s">
        <v>429</v>
      </c>
      <c r="C30" s="2"/>
      <c r="D30" s="2"/>
      <c r="E30" s="3"/>
      <c r="F30" s="3"/>
      <c r="G30" s="4"/>
      <c r="H30" s="399" t="s">
        <v>0</v>
      </c>
      <c r="I30" s="399"/>
    </row>
    <row r="31" spans="2:9" x14ac:dyDescent="0.25">
      <c r="B31" s="5" t="s">
        <v>1</v>
      </c>
      <c r="C31" s="6" t="s">
        <v>2</v>
      </c>
      <c r="D31" s="6" t="s">
        <v>3</v>
      </c>
      <c r="E31" s="7" t="s">
        <v>4</v>
      </c>
      <c r="F31" s="7" t="s">
        <v>5</v>
      </c>
      <c r="G31" s="4"/>
      <c r="H31" s="8" t="s">
        <v>6</v>
      </c>
      <c r="I31" s="9">
        <f>SUM(Tabla110345345445545647945586877869510811712713622823724627233260269297315316384392394396416418426441135[Total costo])</f>
        <v>54495</v>
      </c>
    </row>
    <row r="32" spans="2:9" x14ac:dyDescent="0.25">
      <c r="B32" s="10" t="s">
        <v>237</v>
      </c>
      <c r="C32" s="11" t="s">
        <v>565</v>
      </c>
      <c r="D32" s="12">
        <v>5</v>
      </c>
      <c r="E32" s="13">
        <f>+VLOOKUP(Tabla110345345445545647945586877869510811712713622823724627233260269297315316384392394396416418426441135[[#This Row],[Ingrediente]],Tabla34[#All],3,0)</f>
        <v>10899</v>
      </c>
      <c r="F32" s="14">
        <f>+Tabla110345345445545647945586877869510811712713622823724627233260269297315316384392394396416418426441135[[#This Row],[Costo]]*Tabla110345345445545647945586877869510811712713622823724627233260269297315316384392394396416418426441135[[#This Row],[Cant.]]</f>
        <v>54495</v>
      </c>
      <c r="G32" s="4"/>
      <c r="H32" s="8" t="s">
        <v>372</v>
      </c>
      <c r="I32" s="15"/>
    </row>
    <row r="33" spans="2:9" x14ac:dyDescent="0.25">
      <c r="B33" s="16"/>
      <c r="C33" s="17"/>
      <c r="D33" s="17"/>
      <c r="E33" s="18"/>
      <c r="F33" s="18">
        <f>SUBTOTAL(109,Tabla110345345445545647945586877869510811712713622823724627233260269297315316384392394396416418426441135[Total costo])</f>
        <v>54495</v>
      </c>
      <c r="G33" s="4"/>
      <c r="H33" s="8" t="s">
        <v>13</v>
      </c>
      <c r="I33" s="15">
        <f>+I31+I32</f>
        <v>54495</v>
      </c>
    </row>
    <row r="34" spans="2:9" x14ac:dyDescent="0.25">
      <c r="G34" s="4"/>
      <c r="H34" s="20" t="s">
        <v>14</v>
      </c>
      <c r="I34" s="21">
        <v>110000</v>
      </c>
    </row>
    <row r="35" spans="2:9" x14ac:dyDescent="0.25">
      <c r="G35" s="4"/>
      <c r="H35" s="8" t="s">
        <v>15</v>
      </c>
      <c r="I35" s="15">
        <f>+I34/1.08*0.08</f>
        <v>8148.1481481481469</v>
      </c>
    </row>
    <row r="36" spans="2:9" x14ac:dyDescent="0.25">
      <c r="G36" s="4"/>
      <c r="H36" s="8" t="s">
        <v>16</v>
      </c>
      <c r="I36" s="15">
        <f>+I34-I35</f>
        <v>101851.85185185185</v>
      </c>
    </row>
    <row r="37" spans="2:9" x14ac:dyDescent="0.25">
      <c r="G37" s="4"/>
      <c r="H37" s="8" t="s">
        <v>17</v>
      </c>
      <c r="I37" s="41">
        <f>+I33/I36</f>
        <v>0.53504181818181817</v>
      </c>
    </row>
    <row r="38" spans="2:9" x14ac:dyDescent="0.25">
      <c r="G38" s="4"/>
      <c r="H38" s="8" t="s">
        <v>18</v>
      </c>
      <c r="I38" s="42">
        <f>+I36-I33</f>
        <v>47356.851851851854</v>
      </c>
    </row>
    <row r="39" spans="2:9" x14ac:dyDescent="0.25">
      <c r="G39" s="4"/>
      <c r="H39" s="8" t="s">
        <v>19</v>
      </c>
      <c r="I39" s="43">
        <f>+I38/I33</f>
        <v>0.86901278744567123</v>
      </c>
    </row>
    <row r="41" spans="2:9" x14ac:dyDescent="0.25">
      <c r="B41" s="19" t="s">
        <v>420</v>
      </c>
      <c r="C41" s="2"/>
      <c r="D41" s="2"/>
      <c r="E41" s="3"/>
      <c r="F41" s="3"/>
      <c r="G41" s="4"/>
      <c r="H41" s="399" t="s">
        <v>0</v>
      </c>
      <c r="I41" s="399"/>
    </row>
    <row r="42" spans="2:9" x14ac:dyDescent="0.25">
      <c r="B42" s="5" t="s">
        <v>1</v>
      </c>
      <c r="C42" s="6" t="s">
        <v>2</v>
      </c>
      <c r="D42" s="6" t="s">
        <v>3</v>
      </c>
      <c r="E42" s="7" t="s">
        <v>4</v>
      </c>
      <c r="F42" s="7" t="s">
        <v>5</v>
      </c>
      <c r="G42" s="4"/>
      <c r="H42" s="8" t="s">
        <v>6</v>
      </c>
      <c r="I42" s="9">
        <f>SUM(Tabla110345345445545647945586877869510811712713622823724627233260269297315316384392394396416418426442[Total costo])</f>
        <v>0</v>
      </c>
    </row>
    <row r="43" spans="2:9" x14ac:dyDescent="0.25">
      <c r="B43" s="10" t="s">
        <v>235</v>
      </c>
      <c r="C43" s="11" t="s">
        <v>11</v>
      </c>
      <c r="D43" s="12">
        <v>1</v>
      </c>
      <c r="E43" s="13">
        <f>+VLOOKUP(Tabla110345345445545647945586877869510811712713622823724627233260269297315316384392394396416418426442[[#This Row],[Ingrediente]],Tabla34[#All],3,0)</f>
        <v>0</v>
      </c>
      <c r="F43" s="14">
        <f>+Tabla110345345445545647945586877869510811712713622823724627233260269297315316384392394396416418426442[[#This Row],[Costo]]*Tabla110345345445545647945586877869510811712713622823724627233260269297315316384392394396416418426442[[#This Row],[Cant.]]</f>
        <v>0</v>
      </c>
      <c r="G43" s="4"/>
      <c r="H43" s="8" t="s">
        <v>372</v>
      </c>
      <c r="I43" s="15"/>
    </row>
    <row r="44" spans="2:9" x14ac:dyDescent="0.25">
      <c r="B44" s="16"/>
      <c r="C44" s="17"/>
      <c r="D44" s="17"/>
      <c r="E44" s="18"/>
      <c r="F44" s="18">
        <f>SUBTOTAL(109,Tabla110345345445545647945586877869510811712713622823724627233260269297315316384392394396416418426442[Total costo])</f>
        <v>0</v>
      </c>
      <c r="G44" s="4"/>
      <c r="H44" s="8" t="s">
        <v>13</v>
      </c>
      <c r="I44" s="15">
        <f>+I42+I43</f>
        <v>0</v>
      </c>
    </row>
    <row r="45" spans="2:9" x14ac:dyDescent="0.25">
      <c r="G45" s="4"/>
      <c r="H45" s="20" t="s">
        <v>14</v>
      </c>
      <c r="I45" s="21">
        <v>205000</v>
      </c>
    </row>
    <row r="46" spans="2:9" x14ac:dyDescent="0.25">
      <c r="G46" s="4"/>
      <c r="H46" s="8" t="s">
        <v>15</v>
      </c>
      <c r="I46" s="15">
        <f>+I45/1.08*0.08</f>
        <v>15185.185185185184</v>
      </c>
    </row>
    <row r="47" spans="2:9" x14ac:dyDescent="0.25">
      <c r="G47" s="4"/>
      <c r="H47" s="8" t="s">
        <v>16</v>
      </c>
      <c r="I47" s="15">
        <f>+I45-I46</f>
        <v>189814.8148148148</v>
      </c>
    </row>
    <row r="48" spans="2:9" x14ac:dyDescent="0.25">
      <c r="G48" s="4"/>
      <c r="H48" s="8" t="s">
        <v>17</v>
      </c>
      <c r="I48" s="41">
        <f>+I44/I47</f>
        <v>0</v>
      </c>
    </row>
    <row r="49" spans="2:9" x14ac:dyDescent="0.25">
      <c r="G49" s="4"/>
      <c r="H49" s="8" t="s">
        <v>18</v>
      </c>
      <c r="I49" s="42">
        <f>+I47-I44</f>
        <v>189814.8148148148</v>
      </c>
    </row>
    <row r="50" spans="2:9" x14ac:dyDescent="0.25">
      <c r="G50" s="4"/>
      <c r="H50" s="8" t="s">
        <v>19</v>
      </c>
      <c r="I50" s="43" t="e">
        <f>+I49/I44</f>
        <v>#DIV/0!</v>
      </c>
    </row>
    <row r="52" spans="2:9" x14ac:dyDescent="0.25">
      <c r="B52" s="19" t="s">
        <v>421</v>
      </c>
      <c r="C52" s="2"/>
      <c r="D52" s="2"/>
      <c r="E52" s="3"/>
      <c r="F52" s="3"/>
      <c r="G52" s="4"/>
      <c r="H52" s="399" t="s">
        <v>0</v>
      </c>
      <c r="I52" s="399"/>
    </row>
    <row r="53" spans="2:9" x14ac:dyDescent="0.25">
      <c r="B53" s="5" t="s">
        <v>1</v>
      </c>
      <c r="C53" s="6" t="s">
        <v>2</v>
      </c>
      <c r="D53" s="6" t="s">
        <v>3</v>
      </c>
      <c r="E53" s="7" t="s">
        <v>4</v>
      </c>
      <c r="F53" s="7" t="s">
        <v>5</v>
      </c>
      <c r="G53" s="4"/>
      <c r="H53" s="8" t="s">
        <v>6</v>
      </c>
      <c r="I53" s="9">
        <f>SUM(Tabla110345345445545647945586877869510811712713622823724627233260269297315316384392394396416418426443[Total costo])</f>
        <v>0</v>
      </c>
    </row>
    <row r="54" spans="2:9" x14ac:dyDescent="0.25">
      <c r="B54" s="10" t="s">
        <v>421</v>
      </c>
      <c r="C54" s="11" t="s">
        <v>11</v>
      </c>
      <c r="D54" s="12">
        <v>1</v>
      </c>
      <c r="E54" s="13">
        <f>+VLOOKUP(Tabla110345345445545647945586877869510811712713622823724627233260269297315316384392394396416418426443[[#This Row],[Ingrediente]],Tabla34[#All],3,0)</f>
        <v>0</v>
      </c>
      <c r="F54" s="14">
        <f>+Tabla110345345445545647945586877869510811712713622823724627233260269297315316384392394396416418426443[[#This Row],[Costo]]*Tabla110345345445545647945586877869510811712713622823724627233260269297315316384392394396416418426443[[#This Row],[Cant.]]</f>
        <v>0</v>
      </c>
      <c r="G54" s="4"/>
      <c r="H54" s="8" t="s">
        <v>372</v>
      </c>
      <c r="I54" s="15"/>
    </row>
    <row r="55" spans="2:9" x14ac:dyDescent="0.25">
      <c r="B55" s="16"/>
      <c r="C55" s="17"/>
      <c r="D55" s="17"/>
      <c r="E55" s="18"/>
      <c r="F55" s="18">
        <f>SUBTOTAL(109,Tabla110345345445545647945586877869510811712713622823724627233260269297315316384392394396416418426443[Total costo])</f>
        <v>0</v>
      </c>
      <c r="G55" s="4"/>
      <c r="H55" s="8" t="s">
        <v>13</v>
      </c>
      <c r="I55" s="15">
        <f>+I53+I54</f>
        <v>0</v>
      </c>
    </row>
    <row r="56" spans="2:9" x14ac:dyDescent="0.25">
      <c r="G56" s="4"/>
      <c r="H56" s="20" t="s">
        <v>14</v>
      </c>
      <c r="I56" s="21">
        <v>263000</v>
      </c>
    </row>
    <row r="57" spans="2:9" x14ac:dyDescent="0.25">
      <c r="G57" s="4"/>
      <c r="H57" s="8" t="s">
        <v>15</v>
      </c>
      <c r="I57" s="15">
        <f>+I56/1.08*0.08</f>
        <v>19481.481481481482</v>
      </c>
    </row>
    <row r="58" spans="2:9" x14ac:dyDescent="0.25">
      <c r="G58" s="4"/>
      <c r="H58" s="8" t="s">
        <v>16</v>
      </c>
      <c r="I58" s="15">
        <f>+I56-I57</f>
        <v>243518.51851851851</v>
      </c>
    </row>
    <row r="59" spans="2:9" x14ac:dyDescent="0.25">
      <c r="G59" s="4"/>
      <c r="H59" s="8" t="s">
        <v>17</v>
      </c>
      <c r="I59" s="41">
        <f>+I55/I58</f>
        <v>0</v>
      </c>
    </row>
    <row r="60" spans="2:9" x14ac:dyDescent="0.25">
      <c r="G60" s="4"/>
      <c r="H60" s="8" t="s">
        <v>18</v>
      </c>
      <c r="I60" s="42">
        <f>+I58-I55</f>
        <v>243518.51851851851</v>
      </c>
    </row>
    <row r="61" spans="2:9" x14ac:dyDescent="0.25">
      <c r="G61" s="4"/>
      <c r="H61" s="8" t="s">
        <v>19</v>
      </c>
      <c r="I61" s="43" t="e">
        <f>+I60/I55</f>
        <v>#DIV/0!</v>
      </c>
    </row>
    <row r="65" spans="2:9" x14ac:dyDescent="0.25">
      <c r="B65" s="19" t="s">
        <v>422</v>
      </c>
      <c r="C65" s="2"/>
      <c r="D65" s="2"/>
      <c r="E65" s="3"/>
      <c r="F65" s="3"/>
      <c r="G65" s="4"/>
      <c r="H65" s="399" t="s">
        <v>0</v>
      </c>
      <c r="I65" s="399"/>
    </row>
    <row r="66" spans="2:9" x14ac:dyDescent="0.25">
      <c r="B66" s="5" t="s">
        <v>1</v>
      </c>
      <c r="C66" s="6" t="s">
        <v>2</v>
      </c>
      <c r="D66" s="6" t="s">
        <v>3</v>
      </c>
      <c r="E66" s="7" t="s">
        <v>4</v>
      </c>
      <c r="F66" s="7" t="s">
        <v>5</v>
      </c>
      <c r="G66" s="4"/>
      <c r="H66" s="8" t="s">
        <v>6</v>
      </c>
      <c r="I66" s="9">
        <f>SUM(Tabla110345345445545647945586877869510811712713622823724627233260269297315316384392394396416418426445[Total costo])</f>
        <v>80870</v>
      </c>
    </row>
    <row r="67" spans="2:9" x14ac:dyDescent="0.25">
      <c r="B67" s="10" t="s">
        <v>217</v>
      </c>
      <c r="C67" s="11" t="s">
        <v>11</v>
      </c>
      <c r="D67" s="12">
        <v>1</v>
      </c>
      <c r="E67" s="13">
        <f>+VLOOKUP(Tabla110345345445545647945586877869510811712713622823724627233260269297315316384392394396416418426445[[#This Row],[Ingrediente]],Tabla34[#All],3,0)</f>
        <v>80870</v>
      </c>
      <c r="F67" s="14">
        <f>+Tabla110345345445545647945586877869510811712713622823724627233260269297315316384392394396416418426445[[#This Row],[Costo]]*Tabla110345345445545647945586877869510811712713622823724627233260269297315316384392394396416418426445[[#This Row],[Cant.]]</f>
        <v>80870</v>
      </c>
      <c r="G67" s="4"/>
      <c r="H67" s="8" t="s">
        <v>372</v>
      </c>
      <c r="I67" s="15"/>
    </row>
    <row r="68" spans="2:9" x14ac:dyDescent="0.25">
      <c r="B68" s="16"/>
      <c r="C68" s="17"/>
      <c r="D68" s="17"/>
      <c r="E68" s="18"/>
      <c r="F68" s="18">
        <f>SUBTOTAL(109,Tabla110345345445545647945586877869510811712713622823724627233260269297315316384392394396416418426445[Total costo])</f>
        <v>80870</v>
      </c>
      <c r="G68" s="4"/>
      <c r="H68" s="8" t="s">
        <v>13</v>
      </c>
      <c r="I68" s="15">
        <f>+I66+I67</f>
        <v>80870</v>
      </c>
    </row>
    <row r="69" spans="2:9" x14ac:dyDescent="0.25">
      <c r="G69" s="4"/>
      <c r="H69" s="20" t="s">
        <v>14</v>
      </c>
      <c r="I69" s="21">
        <v>175000</v>
      </c>
    </row>
    <row r="70" spans="2:9" x14ac:dyDescent="0.25">
      <c r="G70" s="4"/>
      <c r="H70" s="8" t="s">
        <v>15</v>
      </c>
      <c r="I70" s="15">
        <f>+I69/1.08*0.08</f>
        <v>12962.962962962962</v>
      </c>
    </row>
    <row r="71" spans="2:9" x14ac:dyDescent="0.25">
      <c r="G71" s="4"/>
      <c r="H71" s="8" t="s">
        <v>16</v>
      </c>
      <c r="I71" s="15">
        <f>+I69-I70</f>
        <v>162037.03703703705</v>
      </c>
    </row>
    <row r="72" spans="2:9" x14ac:dyDescent="0.25">
      <c r="G72" s="4"/>
      <c r="H72" s="8" t="s">
        <v>17</v>
      </c>
      <c r="I72" s="41">
        <f>+I68/I71</f>
        <v>0.49908342857142851</v>
      </c>
    </row>
    <row r="73" spans="2:9" x14ac:dyDescent="0.25">
      <c r="G73" s="4"/>
      <c r="H73" s="8" t="s">
        <v>18</v>
      </c>
      <c r="I73" s="42">
        <f>+I71-I68</f>
        <v>81167.037037037051</v>
      </c>
    </row>
    <row r="74" spans="2:9" x14ac:dyDescent="0.25">
      <c r="G74" s="4"/>
      <c r="H74" s="8" t="s">
        <v>19</v>
      </c>
      <c r="I74" s="43">
        <f>+I73/I68</f>
        <v>1.0036730188826146</v>
      </c>
    </row>
    <row r="77" spans="2:9" x14ac:dyDescent="0.25">
      <c r="B77" s="1" t="s">
        <v>272</v>
      </c>
      <c r="C77" s="2"/>
      <c r="D77" s="2"/>
      <c r="E77" s="3"/>
      <c r="F77" s="3"/>
      <c r="G77" s="4"/>
      <c r="H77" s="399" t="s">
        <v>0</v>
      </c>
      <c r="I77" s="399"/>
    </row>
    <row r="78" spans="2:9" x14ac:dyDescent="0.25">
      <c r="B78" s="5" t="s">
        <v>1</v>
      </c>
      <c r="C78" s="6" t="s">
        <v>2</v>
      </c>
      <c r="D78" s="6" t="s">
        <v>3</v>
      </c>
      <c r="E78" s="7" t="s">
        <v>4</v>
      </c>
      <c r="F78" s="7" t="s">
        <v>5</v>
      </c>
      <c r="G78" s="4"/>
      <c r="H78" s="8" t="s">
        <v>6</v>
      </c>
      <c r="I78" s="9">
        <f>SUM(Tabla110345345445545647945586877869510811712713622823724627233260269297315316384392394396416418426447[Total costo])</f>
        <v>176000</v>
      </c>
    </row>
    <row r="79" spans="2:9" x14ac:dyDescent="0.25">
      <c r="B79" s="10" t="s">
        <v>623</v>
      </c>
      <c r="C79" s="11" t="s">
        <v>11</v>
      </c>
      <c r="D79" s="12">
        <v>1</v>
      </c>
      <c r="E79" s="13">
        <f>+VLOOKUP(Tabla110345345445545647945586877869510811712713622823724627233260269297315316384392394396416418426447[[#This Row],[Ingrediente]],Tabla34[#All],3,0)</f>
        <v>176000</v>
      </c>
      <c r="F79" s="14">
        <f>+Tabla110345345445545647945586877869510811712713622823724627233260269297315316384392394396416418426447[[#This Row],[Costo]]*Tabla110345345445545647945586877869510811712713622823724627233260269297315316384392394396416418426447[[#This Row],[Cant.]]</f>
        <v>176000</v>
      </c>
      <c r="G79" s="4"/>
      <c r="H79" s="8" t="s">
        <v>372</v>
      </c>
      <c r="I79" s="15"/>
    </row>
    <row r="80" spans="2:9" x14ac:dyDescent="0.25">
      <c r="B80" s="16"/>
      <c r="C80" s="17"/>
      <c r="D80" s="17"/>
      <c r="E80" s="18"/>
      <c r="F80" s="18">
        <f>SUBTOTAL(109,Tabla110345345445545647945586877869510811712713622823724627233260269297315316384392394396416418426447[Total costo])</f>
        <v>176000</v>
      </c>
      <c r="G80" s="4"/>
      <c r="H80" s="8" t="s">
        <v>13</v>
      </c>
      <c r="I80" s="15">
        <f>+I78+I79</f>
        <v>176000</v>
      </c>
    </row>
    <row r="81" spans="2:9" x14ac:dyDescent="0.25">
      <c r="G81" s="4"/>
      <c r="H81" s="20" t="s">
        <v>14</v>
      </c>
      <c r="I81" s="21">
        <v>320000</v>
      </c>
    </row>
    <row r="82" spans="2:9" x14ac:dyDescent="0.25">
      <c r="G82" s="4"/>
      <c r="H82" s="8" t="s">
        <v>15</v>
      </c>
      <c r="I82" s="15">
        <f>+I81/1.08*0.08</f>
        <v>23703.703703703704</v>
      </c>
    </row>
    <row r="83" spans="2:9" x14ac:dyDescent="0.25">
      <c r="G83" s="4"/>
      <c r="H83" s="8" t="s">
        <v>16</v>
      </c>
      <c r="I83" s="15">
        <f>+I81-I82</f>
        <v>296296.29629629629</v>
      </c>
    </row>
    <row r="84" spans="2:9" x14ac:dyDescent="0.25">
      <c r="G84" s="4"/>
      <c r="H84" s="8" t="s">
        <v>17</v>
      </c>
      <c r="I84" s="41">
        <f>+I80/I83</f>
        <v>0.59399999999999997</v>
      </c>
    </row>
    <row r="85" spans="2:9" x14ac:dyDescent="0.25">
      <c r="G85" s="4"/>
      <c r="H85" s="8" t="s">
        <v>18</v>
      </c>
      <c r="I85" s="42">
        <f>+I83-I80</f>
        <v>120296.29629629629</v>
      </c>
    </row>
    <row r="86" spans="2:9" x14ac:dyDescent="0.25">
      <c r="G86" s="4"/>
      <c r="H86" s="8" t="s">
        <v>19</v>
      </c>
      <c r="I86" s="43">
        <f>+I85/I80</f>
        <v>0.6835016835016835</v>
      </c>
    </row>
    <row r="91" spans="2:9" x14ac:dyDescent="0.25">
      <c r="B91" s="19" t="s">
        <v>423</v>
      </c>
      <c r="C91" s="2"/>
      <c r="D91" s="2"/>
      <c r="E91" s="3"/>
      <c r="F91" s="3"/>
      <c r="G91" s="4"/>
      <c r="H91" s="399" t="s">
        <v>0</v>
      </c>
      <c r="I91" s="399"/>
    </row>
    <row r="92" spans="2:9" x14ac:dyDescent="0.25">
      <c r="B92" s="5" t="s">
        <v>1</v>
      </c>
      <c r="C92" s="6" t="s">
        <v>2</v>
      </c>
      <c r="D92" s="6" t="s">
        <v>3</v>
      </c>
      <c r="E92" s="7" t="s">
        <v>4</v>
      </c>
      <c r="F92" s="7" t="s">
        <v>5</v>
      </c>
      <c r="G92" s="4"/>
      <c r="H92" s="8" t="s">
        <v>6</v>
      </c>
      <c r="I92" s="9">
        <f>SUM(Tabla110345345445545647945586877869510811712713622823724627233260269297315316384392394396416418426451[Total costo])</f>
        <v>62806</v>
      </c>
    </row>
    <row r="93" spans="2:9" x14ac:dyDescent="0.25">
      <c r="B93" s="10" t="s">
        <v>786</v>
      </c>
      <c r="C93" s="11" t="s">
        <v>11</v>
      </c>
      <c r="D93" s="12">
        <v>1</v>
      </c>
      <c r="E93" s="13">
        <f>+VLOOKUP(Tabla110345345445545647945586877869510811712713622823724627233260269297315316384392394396416418426451[[#This Row],[Ingrediente]],Tabla34[#All],3,0)</f>
        <v>62806</v>
      </c>
      <c r="F93" s="14">
        <f>+Tabla110345345445545647945586877869510811712713622823724627233260269297315316384392394396416418426451[[#This Row],[Costo]]*Tabla110345345445545647945586877869510811712713622823724627233260269297315316384392394396416418426451[[#This Row],[Cant.]]</f>
        <v>62806</v>
      </c>
      <c r="G93" s="4"/>
      <c r="H93" s="8" t="s">
        <v>372</v>
      </c>
      <c r="I93" s="15"/>
    </row>
    <row r="94" spans="2:9" x14ac:dyDescent="0.25">
      <c r="B94" s="16"/>
      <c r="C94" s="17"/>
      <c r="D94" s="17"/>
      <c r="E94" s="18"/>
      <c r="F94" s="18">
        <f>SUBTOTAL(109,Tabla110345345445545647945586877869510811712713622823724627233260269297315316384392394396416418426451[Total costo])</f>
        <v>62806</v>
      </c>
      <c r="G94" s="4"/>
      <c r="H94" s="8" t="s">
        <v>13</v>
      </c>
      <c r="I94" s="15">
        <f>+I92+I93</f>
        <v>62806</v>
      </c>
    </row>
    <row r="95" spans="2:9" x14ac:dyDescent="0.25">
      <c r="G95" s="4"/>
      <c r="H95" s="20" t="s">
        <v>14</v>
      </c>
      <c r="I95" s="21">
        <v>215000</v>
      </c>
    </row>
    <row r="96" spans="2:9" x14ac:dyDescent="0.25">
      <c r="G96" s="4"/>
      <c r="H96" s="8" t="s">
        <v>15</v>
      </c>
      <c r="I96" s="15">
        <f>+I95/1.08*0.08</f>
        <v>15925.925925925927</v>
      </c>
    </row>
    <row r="97" spans="2:9" x14ac:dyDescent="0.25">
      <c r="G97" s="4"/>
      <c r="H97" s="8" t="s">
        <v>16</v>
      </c>
      <c r="I97" s="15">
        <f>+I95-I96</f>
        <v>199074.07407407407</v>
      </c>
    </row>
    <row r="98" spans="2:9" x14ac:dyDescent="0.25">
      <c r="G98" s="4"/>
      <c r="H98" s="8" t="s">
        <v>17</v>
      </c>
      <c r="I98" s="41">
        <f>+I94/I97</f>
        <v>0.3154906046511628</v>
      </c>
    </row>
    <row r="99" spans="2:9" x14ac:dyDescent="0.25">
      <c r="G99" s="4"/>
      <c r="H99" s="8" t="s">
        <v>18</v>
      </c>
      <c r="I99" s="42">
        <f>+I97-I94</f>
        <v>136268.07407407407</v>
      </c>
    </row>
    <row r="100" spans="2:9" x14ac:dyDescent="0.25">
      <c r="G100" s="4"/>
      <c r="H100" s="8" t="s">
        <v>19</v>
      </c>
      <c r="I100" s="43">
        <f>+I99/I94</f>
        <v>2.1696664980109235</v>
      </c>
    </row>
    <row r="103" spans="2:9" x14ac:dyDescent="0.25">
      <c r="B103" s="19" t="s">
        <v>424</v>
      </c>
      <c r="C103" s="2"/>
      <c r="D103" s="2"/>
      <c r="E103" s="3"/>
      <c r="F103" s="3"/>
      <c r="G103" s="4"/>
      <c r="H103" s="399" t="s">
        <v>0</v>
      </c>
      <c r="I103" s="399"/>
    </row>
    <row r="104" spans="2:9" x14ac:dyDescent="0.25">
      <c r="B104" s="5" t="s">
        <v>1</v>
      </c>
      <c r="C104" s="6" t="s">
        <v>2</v>
      </c>
      <c r="D104" s="6" t="s">
        <v>3</v>
      </c>
      <c r="E104" s="7" t="s">
        <v>4</v>
      </c>
      <c r="F104" s="7" t="s">
        <v>5</v>
      </c>
      <c r="G104" s="4"/>
      <c r="H104" s="8" t="s">
        <v>6</v>
      </c>
      <c r="I104" s="9">
        <f>SUM(Tabla110345345445545647945586877869510811712713622823724627233260269297315316384392394396416418426452[Total costo])</f>
        <v>0</v>
      </c>
    </row>
    <row r="105" spans="2:9" x14ac:dyDescent="0.25">
      <c r="B105" s="10" t="s">
        <v>853</v>
      </c>
      <c r="C105" s="11" t="s">
        <v>11</v>
      </c>
      <c r="D105" s="12">
        <v>1</v>
      </c>
      <c r="E105" s="13">
        <f>+VLOOKUP(Tabla110345345445545647945586877869510811712713622823724627233260269297315316384392394396416418426452[[#This Row],[Ingrediente]],Tabla34[#All],3,0)</f>
        <v>0</v>
      </c>
      <c r="F105" s="14">
        <f>+Tabla110345345445545647945586877869510811712713622823724627233260269297315316384392394396416418426452[[#This Row],[Costo]]*Tabla110345345445545647945586877869510811712713622823724627233260269297315316384392394396416418426452[[#This Row],[Cant.]]</f>
        <v>0</v>
      </c>
      <c r="G105" s="4"/>
      <c r="H105" s="8" t="s">
        <v>372</v>
      </c>
      <c r="I105" s="15"/>
    </row>
    <row r="106" spans="2:9" x14ac:dyDescent="0.25">
      <c r="B106" s="16"/>
      <c r="C106" s="17"/>
      <c r="D106" s="17"/>
      <c r="E106" s="18"/>
      <c r="F106" s="18">
        <f>SUBTOTAL(109,Tabla110345345445545647945586877869510811712713622823724627233260269297315316384392394396416418426452[Total costo])</f>
        <v>0</v>
      </c>
      <c r="G106" s="4"/>
      <c r="H106" s="8" t="s">
        <v>13</v>
      </c>
      <c r="I106" s="15">
        <f>+I104+I105</f>
        <v>0</v>
      </c>
    </row>
    <row r="107" spans="2:9" x14ac:dyDescent="0.25">
      <c r="G107" s="4"/>
      <c r="H107" s="20" t="s">
        <v>14</v>
      </c>
      <c r="I107" s="21">
        <v>105000</v>
      </c>
    </row>
    <row r="108" spans="2:9" x14ac:dyDescent="0.25">
      <c r="G108" s="4"/>
      <c r="H108" s="8" t="s">
        <v>15</v>
      </c>
      <c r="I108" s="15">
        <f>+I107/1.08*0.08</f>
        <v>7777.7777777777774</v>
      </c>
    </row>
    <row r="109" spans="2:9" x14ac:dyDescent="0.25">
      <c r="G109" s="4"/>
      <c r="H109" s="8" t="s">
        <v>16</v>
      </c>
      <c r="I109" s="15">
        <f>+I107-I108</f>
        <v>97222.222222222219</v>
      </c>
    </row>
    <row r="110" spans="2:9" x14ac:dyDescent="0.25">
      <c r="G110" s="4"/>
      <c r="H110" s="8" t="s">
        <v>17</v>
      </c>
      <c r="I110" s="41">
        <f>+I106/I109</f>
        <v>0</v>
      </c>
    </row>
    <row r="111" spans="2:9" x14ac:dyDescent="0.25">
      <c r="G111" s="4"/>
      <c r="H111" s="8" t="s">
        <v>18</v>
      </c>
      <c r="I111" s="42">
        <f>+I109-I106</f>
        <v>97222.222222222219</v>
      </c>
    </row>
    <row r="112" spans="2:9" x14ac:dyDescent="0.25">
      <c r="G112" s="4"/>
      <c r="H112" s="8" t="s">
        <v>19</v>
      </c>
      <c r="I112" s="43" t="e">
        <f>+I111/I106</f>
        <v>#DIV/0!</v>
      </c>
    </row>
    <row r="115" spans="2:9" x14ac:dyDescent="0.25">
      <c r="B115" s="1" t="s">
        <v>425</v>
      </c>
      <c r="C115" s="2"/>
      <c r="D115" s="2"/>
      <c r="E115" s="3"/>
      <c r="F115" s="3"/>
      <c r="G115" s="4"/>
      <c r="H115" s="399" t="s">
        <v>0</v>
      </c>
      <c r="I115" s="399"/>
    </row>
    <row r="116" spans="2:9" x14ac:dyDescent="0.25">
      <c r="B116" s="5" t="s">
        <v>1</v>
      </c>
      <c r="C116" s="6" t="s">
        <v>2</v>
      </c>
      <c r="D116" s="6" t="s">
        <v>3</v>
      </c>
      <c r="E116" s="7" t="s">
        <v>4</v>
      </c>
      <c r="F116" s="7" t="s">
        <v>5</v>
      </c>
      <c r="G116" s="4"/>
      <c r="H116" s="8" t="s">
        <v>6</v>
      </c>
      <c r="I116" s="9">
        <f>SUM(Tabla110345345445545647945586877869510811712713622823724627233260269297315316384392394396416418426453[Total costo])</f>
        <v>48140</v>
      </c>
    </row>
    <row r="117" spans="2:9" x14ac:dyDescent="0.25">
      <c r="B117" s="10" t="s">
        <v>244</v>
      </c>
      <c r="C117" s="11" t="s">
        <v>11</v>
      </c>
      <c r="D117" s="12">
        <v>1</v>
      </c>
      <c r="E117" s="13">
        <f>+VLOOKUP(Tabla110345345445545647945586877869510811712713622823724627233260269297315316384392394396416418426453[[#This Row],[Ingrediente]],Tabla34[#All],3,0)</f>
        <v>48140</v>
      </c>
      <c r="F117" s="14">
        <f>+Tabla110345345445545647945586877869510811712713622823724627233260269297315316384392394396416418426453[[#This Row],[Costo]]*Tabla110345345445545647945586877869510811712713622823724627233260269297315316384392394396416418426453[[#This Row],[Cant.]]</f>
        <v>48140</v>
      </c>
      <c r="G117" s="4"/>
      <c r="H117" s="8" t="s">
        <v>372</v>
      </c>
      <c r="I117" s="15"/>
    </row>
    <row r="118" spans="2:9" x14ac:dyDescent="0.25">
      <c r="B118" s="16"/>
      <c r="C118" s="17"/>
      <c r="D118" s="17"/>
      <c r="E118" s="18"/>
      <c r="F118" s="18">
        <f>SUBTOTAL(109,Tabla110345345445545647945586877869510811712713622823724627233260269297315316384392394396416418426453[Total costo])</f>
        <v>48140</v>
      </c>
      <c r="G118" s="4"/>
      <c r="H118" s="8" t="s">
        <v>13</v>
      </c>
      <c r="I118" s="15">
        <f>+I116+I117</f>
        <v>48140</v>
      </c>
    </row>
    <row r="119" spans="2:9" x14ac:dyDescent="0.25">
      <c r="G119" s="4"/>
      <c r="H119" s="20" t="s">
        <v>14</v>
      </c>
      <c r="I119" s="21">
        <v>105000</v>
      </c>
    </row>
    <row r="120" spans="2:9" x14ac:dyDescent="0.25">
      <c r="G120" s="4"/>
      <c r="H120" s="8" t="s">
        <v>15</v>
      </c>
      <c r="I120" s="15">
        <f>+I119/1.08*0.08</f>
        <v>7777.7777777777774</v>
      </c>
    </row>
    <row r="121" spans="2:9" x14ac:dyDescent="0.25">
      <c r="G121" s="4"/>
      <c r="H121" s="8" t="s">
        <v>16</v>
      </c>
      <c r="I121" s="15">
        <f>+I119-I120</f>
        <v>97222.222222222219</v>
      </c>
    </row>
    <row r="122" spans="2:9" x14ac:dyDescent="0.25">
      <c r="G122" s="4"/>
      <c r="H122" s="8" t="s">
        <v>17</v>
      </c>
      <c r="I122" s="41">
        <f>+I118/I121</f>
        <v>0.49515428571428571</v>
      </c>
    </row>
    <row r="123" spans="2:9" x14ac:dyDescent="0.25">
      <c r="G123" s="4"/>
      <c r="H123" s="8" t="s">
        <v>18</v>
      </c>
      <c r="I123" s="42">
        <f>+I121-I118</f>
        <v>49082.222222222219</v>
      </c>
    </row>
    <row r="124" spans="2:9" x14ac:dyDescent="0.25">
      <c r="G124" s="4"/>
      <c r="H124" s="8" t="s">
        <v>19</v>
      </c>
      <c r="I124" s="43">
        <f>+I123/I118</f>
        <v>1.0195725430457461</v>
      </c>
    </row>
    <row r="126" spans="2:9" x14ac:dyDescent="0.25">
      <c r="B126" s="19" t="s">
        <v>426</v>
      </c>
      <c r="C126" s="2"/>
      <c r="D126" s="2"/>
      <c r="E126" s="3"/>
      <c r="F126" s="3"/>
      <c r="G126" s="4"/>
      <c r="H126" s="399" t="s">
        <v>0</v>
      </c>
      <c r="I126" s="399"/>
    </row>
    <row r="127" spans="2:9" x14ac:dyDescent="0.25">
      <c r="B127" s="5" t="s">
        <v>1</v>
      </c>
      <c r="C127" s="6" t="s">
        <v>2</v>
      </c>
      <c r="D127" s="6" t="s">
        <v>3</v>
      </c>
      <c r="E127" s="7" t="s">
        <v>4</v>
      </c>
      <c r="F127" s="7" t="s">
        <v>5</v>
      </c>
      <c r="G127" s="4"/>
      <c r="H127" s="8" t="s">
        <v>6</v>
      </c>
      <c r="I127" s="9">
        <f>SUM(Tabla110345345445545647945586877869510811712713622823724627233260269297315316384392394396416418426454[Total costo])</f>
        <v>66111.5</v>
      </c>
    </row>
    <row r="128" spans="2:9" x14ac:dyDescent="0.25">
      <c r="B128" s="10" t="s">
        <v>775</v>
      </c>
      <c r="C128" s="11" t="s">
        <v>11</v>
      </c>
      <c r="D128" s="12">
        <v>1</v>
      </c>
      <c r="E128" s="13">
        <f>+VLOOKUP(Tabla110345345445545647945586877869510811712713622823724627233260269297315316384392394396416418426454[[#This Row],[Ingrediente]],Tabla34[#All],3,0)</f>
        <v>66111.5</v>
      </c>
      <c r="F128" s="14">
        <f>+Tabla110345345445545647945586877869510811712713622823724627233260269297315316384392394396416418426454[[#This Row],[Costo]]*Tabla110345345445545647945586877869510811712713622823724627233260269297315316384392394396416418426454[[#This Row],[Cant.]]</f>
        <v>66111.5</v>
      </c>
      <c r="G128" s="4"/>
      <c r="H128" s="8" t="s">
        <v>372</v>
      </c>
      <c r="I128" s="15"/>
    </row>
    <row r="129" spans="2:9" x14ac:dyDescent="0.25">
      <c r="B129" s="16"/>
      <c r="C129" s="17"/>
      <c r="D129" s="17"/>
      <c r="E129" s="18"/>
      <c r="F129" s="18">
        <f>SUBTOTAL(109,Tabla110345345445545647945586877869510811712713622823724627233260269297315316384392394396416418426454[Total costo])</f>
        <v>66111.5</v>
      </c>
      <c r="G129" s="4"/>
      <c r="H129" s="8" t="s">
        <v>13</v>
      </c>
      <c r="I129" s="15">
        <f>+I127+I128</f>
        <v>66111.5</v>
      </c>
    </row>
    <row r="130" spans="2:9" x14ac:dyDescent="0.25">
      <c r="G130" s="4"/>
      <c r="H130" s="20" t="s">
        <v>14</v>
      </c>
      <c r="I130" s="21">
        <v>139000</v>
      </c>
    </row>
    <row r="131" spans="2:9" x14ac:dyDescent="0.25">
      <c r="G131" s="4"/>
      <c r="H131" s="8" t="s">
        <v>15</v>
      </c>
      <c r="I131" s="15">
        <f>+I130/1.08*0.08</f>
        <v>10296.296296296296</v>
      </c>
    </row>
    <row r="132" spans="2:9" x14ac:dyDescent="0.25">
      <c r="G132" s="4"/>
      <c r="H132" s="8" t="s">
        <v>16</v>
      </c>
      <c r="I132" s="15">
        <f>+I130-I131</f>
        <v>128703.70370370371</v>
      </c>
    </row>
    <row r="133" spans="2:9" x14ac:dyDescent="0.25">
      <c r="G133" s="4"/>
      <c r="H133" s="8" t="s">
        <v>17</v>
      </c>
      <c r="I133" s="41">
        <f>+I129/I132</f>
        <v>0.5136720863309352</v>
      </c>
    </row>
    <row r="134" spans="2:9" x14ac:dyDescent="0.25">
      <c r="G134" s="4"/>
      <c r="H134" s="8" t="s">
        <v>18</v>
      </c>
      <c r="I134" s="42">
        <f>+I132-I129</f>
        <v>62592.203703703708</v>
      </c>
    </row>
    <row r="135" spans="2:9" x14ac:dyDescent="0.25">
      <c r="G135" s="4"/>
      <c r="H135" s="8" t="s">
        <v>19</v>
      </c>
      <c r="I135" s="43">
        <f>+I134/I129</f>
        <v>0.94676725991247679</v>
      </c>
    </row>
    <row r="138" spans="2:9" x14ac:dyDescent="0.25">
      <c r="B138" s="19" t="s">
        <v>427</v>
      </c>
      <c r="C138" s="2"/>
      <c r="D138" s="2"/>
      <c r="E138" s="3"/>
      <c r="F138" s="3"/>
      <c r="G138" s="4"/>
      <c r="H138" s="399" t="s">
        <v>0</v>
      </c>
      <c r="I138" s="399"/>
    </row>
    <row r="139" spans="2:9" x14ac:dyDescent="0.25">
      <c r="B139" s="5" t="s">
        <v>1</v>
      </c>
      <c r="C139" s="6" t="s">
        <v>2</v>
      </c>
      <c r="D139" s="6" t="s">
        <v>3</v>
      </c>
      <c r="E139" s="7" t="s">
        <v>4</v>
      </c>
      <c r="F139" s="7" t="s">
        <v>5</v>
      </c>
      <c r="G139" s="4"/>
      <c r="H139" s="8" t="s">
        <v>6</v>
      </c>
      <c r="I139" s="9" t="e">
        <f>SUM(Tabla110345345445545647945586877869510811712713622823724627233260269297315316384392394396416418426455[Total costo])</f>
        <v>#N/A</v>
      </c>
    </row>
    <row r="140" spans="2:9" x14ac:dyDescent="0.25">
      <c r="B140" s="10" t="s">
        <v>854</v>
      </c>
      <c r="C140" s="11" t="s">
        <v>11</v>
      </c>
      <c r="D140" s="12">
        <v>1</v>
      </c>
      <c r="E140" s="13" t="e">
        <f>+VLOOKUP(Tabla110345345445545647945586877869510811712713622823724627233260269297315316384392394396416418426455[[#This Row],[Ingrediente]],Tabla34[#All],3,0)</f>
        <v>#N/A</v>
      </c>
      <c r="F140" s="14" t="e">
        <f>+Tabla110345345445545647945586877869510811712713622823724627233260269297315316384392394396416418426455[[#This Row],[Costo]]*Tabla110345345445545647945586877869510811712713622823724627233260269297315316384392394396416418426455[[#This Row],[Cant.]]</f>
        <v>#N/A</v>
      </c>
      <c r="G140" s="4"/>
      <c r="H140" s="8" t="s">
        <v>372</v>
      </c>
      <c r="I140" s="15"/>
    </row>
    <row r="141" spans="2:9" x14ac:dyDescent="0.25">
      <c r="B141" s="16"/>
      <c r="C141" s="17"/>
      <c r="D141" s="17"/>
      <c r="E141" s="18"/>
      <c r="F141" s="18" t="e">
        <f>SUBTOTAL(109,Tabla110345345445545647945586877869510811712713622823724627233260269297315316384392394396416418426455[Total costo])</f>
        <v>#N/A</v>
      </c>
      <c r="G141" s="4"/>
      <c r="H141" s="8" t="s">
        <v>13</v>
      </c>
      <c r="I141" s="15" t="e">
        <f>+I139+I140</f>
        <v>#N/A</v>
      </c>
    </row>
    <row r="142" spans="2:9" x14ac:dyDescent="0.25">
      <c r="G142" s="4"/>
      <c r="H142" s="20" t="s">
        <v>14</v>
      </c>
      <c r="I142" s="21">
        <v>139000</v>
      </c>
    </row>
    <row r="143" spans="2:9" x14ac:dyDescent="0.25">
      <c r="G143" s="4"/>
      <c r="H143" s="8" t="s">
        <v>15</v>
      </c>
      <c r="I143" s="15">
        <f>+I142/1.08*0.08</f>
        <v>10296.296296296296</v>
      </c>
    </row>
    <row r="144" spans="2:9" x14ac:dyDescent="0.25">
      <c r="G144" s="4"/>
      <c r="H144" s="8" t="s">
        <v>16</v>
      </c>
      <c r="I144" s="15">
        <f>+I142-I143</f>
        <v>128703.70370370371</v>
      </c>
    </row>
    <row r="145" spans="2:9" x14ac:dyDescent="0.25">
      <c r="G145" s="4"/>
      <c r="H145" s="8" t="s">
        <v>17</v>
      </c>
      <c r="I145" s="41" t="e">
        <f>+I141/I144</f>
        <v>#N/A</v>
      </c>
    </row>
    <row r="146" spans="2:9" x14ac:dyDescent="0.25">
      <c r="G146" s="4"/>
      <c r="H146" s="8" t="s">
        <v>18</v>
      </c>
      <c r="I146" s="42" t="e">
        <f>+I144-I141</f>
        <v>#N/A</v>
      </c>
    </row>
    <row r="147" spans="2:9" x14ac:dyDescent="0.25">
      <c r="G147" s="4"/>
      <c r="H147" s="8" t="s">
        <v>19</v>
      </c>
      <c r="I147" s="43" t="e">
        <f>+I146/I141</f>
        <v>#N/A</v>
      </c>
    </row>
    <row r="150" spans="2:9" x14ac:dyDescent="0.25">
      <c r="B150" s="19" t="s">
        <v>428</v>
      </c>
      <c r="C150" s="2"/>
      <c r="D150" s="2"/>
      <c r="E150" s="3"/>
      <c r="F150" s="3"/>
      <c r="G150" s="4"/>
      <c r="H150" s="399" t="s">
        <v>0</v>
      </c>
      <c r="I150" s="399"/>
    </row>
    <row r="151" spans="2:9" x14ac:dyDescent="0.25">
      <c r="B151" s="5" t="s">
        <v>1</v>
      </c>
      <c r="C151" s="6" t="s">
        <v>2</v>
      </c>
      <c r="D151" s="6" t="s">
        <v>3</v>
      </c>
      <c r="E151" s="7" t="s">
        <v>4</v>
      </c>
      <c r="F151" s="7" t="s">
        <v>5</v>
      </c>
      <c r="G151" s="4"/>
      <c r="H151" s="8" t="s">
        <v>6</v>
      </c>
      <c r="I151" s="9">
        <f>SUM(Tabla110345345445545647945586877869510811712713622823724627233260269297315316384392394396416418426456[Total costo])</f>
        <v>113953</v>
      </c>
    </row>
    <row r="152" spans="2:9" x14ac:dyDescent="0.25">
      <c r="B152" s="10" t="s">
        <v>792</v>
      </c>
      <c r="C152" s="11" t="s">
        <v>11</v>
      </c>
      <c r="D152" s="12">
        <v>1</v>
      </c>
      <c r="E152" s="13">
        <f>+VLOOKUP(Tabla110345345445545647945586877869510811712713622823724627233260269297315316384392394396416418426456[[#This Row],[Ingrediente]],Tabla34[#All],3,0)</f>
        <v>113953</v>
      </c>
      <c r="F152" s="14">
        <f>+Tabla110345345445545647945586877869510811712713622823724627233260269297315316384392394396416418426456[[#This Row],[Costo]]*Tabla110345345445545647945586877869510811712713622823724627233260269297315316384392394396416418426456[[#This Row],[Cant.]]</f>
        <v>113953</v>
      </c>
      <c r="G152" s="4"/>
      <c r="H152" s="8" t="s">
        <v>372</v>
      </c>
      <c r="I152" s="15"/>
    </row>
    <row r="153" spans="2:9" x14ac:dyDescent="0.25">
      <c r="B153" s="16"/>
      <c r="C153" s="17"/>
      <c r="D153" s="17"/>
      <c r="E153" s="18"/>
      <c r="F153" s="18">
        <f>SUBTOTAL(109,Tabla110345345445545647945586877869510811712713622823724627233260269297315316384392394396416418426456[Total costo])</f>
        <v>113953</v>
      </c>
      <c r="G153" s="4"/>
      <c r="H153" s="8" t="s">
        <v>13</v>
      </c>
      <c r="I153" s="15">
        <f>+I151+I152</f>
        <v>113953</v>
      </c>
    </row>
    <row r="154" spans="2:9" x14ac:dyDescent="0.25">
      <c r="G154" s="4"/>
      <c r="H154" s="20" t="s">
        <v>14</v>
      </c>
      <c r="I154" s="21">
        <v>250000</v>
      </c>
    </row>
    <row r="155" spans="2:9" x14ac:dyDescent="0.25">
      <c r="G155" s="4"/>
      <c r="H155" s="8" t="s">
        <v>15</v>
      </c>
      <c r="I155" s="15">
        <f>+I154/1.08*0.08</f>
        <v>18518.518518518518</v>
      </c>
    </row>
    <row r="156" spans="2:9" x14ac:dyDescent="0.25">
      <c r="G156" s="4"/>
      <c r="H156" s="8" t="s">
        <v>16</v>
      </c>
      <c r="I156" s="15">
        <f>+I154-I155</f>
        <v>231481.48148148149</v>
      </c>
    </row>
    <row r="157" spans="2:9" x14ac:dyDescent="0.25">
      <c r="G157" s="4"/>
      <c r="H157" s="8" t="s">
        <v>17</v>
      </c>
      <c r="I157" s="41">
        <f>+I153/I156</f>
        <v>0.49227695999999999</v>
      </c>
    </row>
    <row r="158" spans="2:9" x14ac:dyDescent="0.25">
      <c r="G158" s="4"/>
      <c r="H158" s="8" t="s">
        <v>18</v>
      </c>
      <c r="I158" s="42">
        <f>+I156-I153</f>
        <v>117528.48148148149</v>
      </c>
    </row>
    <row r="159" spans="2:9" x14ac:dyDescent="0.25">
      <c r="G159" s="4"/>
      <c r="H159" s="8" t="s">
        <v>19</v>
      </c>
      <c r="I159" s="43">
        <f>+I158/I153</f>
        <v>1.031376808697283</v>
      </c>
    </row>
    <row r="161" spans="2:9" x14ac:dyDescent="0.25">
      <c r="B161" s="19" t="s">
        <v>566</v>
      </c>
      <c r="C161" s="2"/>
      <c r="D161" s="2"/>
      <c r="E161" s="3"/>
      <c r="F161" s="3"/>
      <c r="G161" s="4"/>
      <c r="H161" s="399" t="s">
        <v>0</v>
      </c>
      <c r="I161" s="399"/>
    </row>
    <row r="162" spans="2:9" x14ac:dyDescent="0.25">
      <c r="B162" s="5" t="s">
        <v>1</v>
      </c>
      <c r="C162" s="6" t="s">
        <v>2</v>
      </c>
      <c r="D162" s="6" t="s">
        <v>3</v>
      </c>
      <c r="E162" s="7" t="s">
        <v>4</v>
      </c>
      <c r="F162" s="7" t="s">
        <v>5</v>
      </c>
      <c r="G162" s="4"/>
      <c r="H162" s="8" t="s">
        <v>6</v>
      </c>
      <c r="I162" s="9">
        <f>SUM(Tabla110345345445545647945586877869510811712713622823724627233260269297315316384392394396416418426441135373[Total costo])</f>
        <v>10899</v>
      </c>
    </row>
    <row r="163" spans="2:9" x14ac:dyDescent="0.25">
      <c r="B163" s="10" t="s">
        <v>237</v>
      </c>
      <c r="C163" s="11" t="s">
        <v>565</v>
      </c>
      <c r="D163" s="12">
        <v>1</v>
      </c>
      <c r="E163" s="13">
        <f>+VLOOKUP(Tabla110345345445545647945586877869510811712713622823724627233260269297315316384392394396416418426441135373[[#This Row],[Ingrediente]],Tabla34[#All],3,0)</f>
        <v>10899</v>
      </c>
      <c r="F163" s="14">
        <f>+Tabla110345345445545647945586877869510811712713622823724627233260269297315316384392394396416418426441135373[[#This Row],[Costo]]*Tabla110345345445545647945586877869510811712713622823724627233260269297315316384392394396416418426441135373[[#This Row],[Cant.]]</f>
        <v>10899</v>
      </c>
      <c r="G163" s="4"/>
      <c r="H163" s="8" t="s">
        <v>372</v>
      </c>
      <c r="I163" s="15">
        <f>+I162*5%</f>
        <v>544.95000000000005</v>
      </c>
    </row>
    <row r="164" spans="2:9" x14ac:dyDescent="0.25">
      <c r="B164" s="16"/>
      <c r="C164" s="17"/>
      <c r="D164" s="17"/>
      <c r="E164" s="18"/>
      <c r="F164" s="18">
        <f>SUBTOTAL(109,Tabla110345345445545647945586877869510811712713622823724627233260269297315316384392394396416418426441135373[Total costo])</f>
        <v>10899</v>
      </c>
      <c r="G164" s="4"/>
      <c r="H164" s="8" t="s">
        <v>13</v>
      </c>
      <c r="I164" s="15">
        <f>+I162+I163</f>
        <v>11443.95</v>
      </c>
    </row>
    <row r="165" spans="2:9" x14ac:dyDescent="0.25">
      <c r="G165" s="4"/>
      <c r="H165" s="20" t="s">
        <v>14</v>
      </c>
      <c r="I165" s="21">
        <v>27000</v>
      </c>
    </row>
    <row r="166" spans="2:9" x14ac:dyDescent="0.25">
      <c r="G166" s="4"/>
      <c r="H166" s="8" t="s">
        <v>15</v>
      </c>
      <c r="I166" s="15">
        <f>+I165/1.08*0.08</f>
        <v>2000</v>
      </c>
    </row>
    <row r="167" spans="2:9" x14ac:dyDescent="0.25">
      <c r="G167" s="4"/>
      <c r="H167" s="8" t="s">
        <v>16</v>
      </c>
      <c r="I167" s="15">
        <f>+I165-I166</f>
        <v>25000</v>
      </c>
    </row>
    <row r="168" spans="2:9" x14ac:dyDescent="0.25">
      <c r="G168" s="4"/>
      <c r="H168" s="8" t="s">
        <v>17</v>
      </c>
      <c r="I168" s="41">
        <f>+I164/I167</f>
        <v>0.45775800000000005</v>
      </c>
    </row>
    <row r="169" spans="2:9" x14ac:dyDescent="0.25">
      <c r="G169" s="4"/>
      <c r="H169" s="8" t="s">
        <v>18</v>
      </c>
      <c r="I169" s="42">
        <f>+I167-I164</f>
        <v>13556.05</v>
      </c>
    </row>
    <row r="170" spans="2:9" x14ac:dyDescent="0.25">
      <c r="G170" s="4"/>
      <c r="H170" s="8" t="s">
        <v>19</v>
      </c>
      <c r="I170" s="43">
        <f>+I169/I164</f>
        <v>1.1845604009105246</v>
      </c>
    </row>
    <row r="175" spans="2:9" x14ac:dyDescent="0.25">
      <c r="B175" s="19" t="s">
        <v>573</v>
      </c>
      <c r="C175" s="2"/>
      <c r="D175" s="2"/>
      <c r="E175" s="3"/>
      <c r="F175" s="3"/>
      <c r="G175" s="4"/>
      <c r="H175" s="399" t="s">
        <v>0</v>
      </c>
      <c r="I175" s="399"/>
    </row>
    <row r="176" spans="2:9" x14ac:dyDescent="0.25">
      <c r="B176" s="5" t="s">
        <v>1</v>
      </c>
      <c r="C176" s="6" t="s">
        <v>2</v>
      </c>
      <c r="D176" s="6" t="s">
        <v>3</v>
      </c>
      <c r="E176" s="7" t="s">
        <v>4</v>
      </c>
      <c r="F176" s="7" t="s">
        <v>5</v>
      </c>
      <c r="G176" s="4"/>
      <c r="H176" s="8" t="s">
        <v>6</v>
      </c>
      <c r="I176" s="9">
        <f>SUM(Tabla110345345445545647945586877869510811712713622823724627233260269297315316384392394396416418426441135373432[Total costo])</f>
        <v>0</v>
      </c>
    </row>
    <row r="177" spans="2:9" x14ac:dyDescent="0.25">
      <c r="B177" s="10" t="s">
        <v>242</v>
      </c>
      <c r="C177" s="11" t="s">
        <v>11</v>
      </c>
      <c r="D177" s="12">
        <v>1</v>
      </c>
      <c r="E177" s="13">
        <f>+VLOOKUP(Tabla110345345445545647945586877869510811712713622823724627233260269297315316384392394396416418426441135373432[[#This Row],[Ingrediente]],Tabla34[#All],3,0)</f>
        <v>0</v>
      </c>
      <c r="F177" s="14">
        <f>+Tabla110345345445545647945586877869510811712713622823724627233260269297315316384392394396416418426441135373432[[#This Row],[Costo]]*Tabla110345345445545647945586877869510811712713622823724627233260269297315316384392394396416418426441135373432[[#This Row],[Cant.]]</f>
        <v>0</v>
      </c>
      <c r="G177" s="4"/>
      <c r="H177" s="8" t="s">
        <v>372</v>
      </c>
      <c r="I177" s="15"/>
    </row>
    <row r="178" spans="2:9" x14ac:dyDescent="0.25">
      <c r="B178" s="16"/>
      <c r="C178" s="17"/>
      <c r="D178" s="17"/>
      <c r="E178" s="18"/>
      <c r="F178" s="18">
        <f>SUBTOTAL(109,Tabla110345345445545647945586877869510811712713622823724627233260269297315316384392394396416418426441135373432[Total costo])</f>
        <v>0</v>
      </c>
      <c r="G178" s="4"/>
      <c r="H178" s="8" t="s">
        <v>13</v>
      </c>
      <c r="I178" s="15">
        <f>+I176+I177</f>
        <v>0</v>
      </c>
    </row>
    <row r="179" spans="2:9" x14ac:dyDescent="0.25">
      <c r="G179" s="4"/>
      <c r="H179" s="20" t="s">
        <v>14</v>
      </c>
      <c r="I179" s="21"/>
    </row>
    <row r="180" spans="2:9" x14ac:dyDescent="0.25">
      <c r="G180" s="4"/>
      <c r="H180" s="8" t="s">
        <v>15</v>
      </c>
      <c r="I180" s="15">
        <f>+I179/1.08*0.08</f>
        <v>0</v>
      </c>
    </row>
    <row r="181" spans="2:9" x14ac:dyDescent="0.25">
      <c r="G181" s="4"/>
      <c r="H181" s="8" t="s">
        <v>16</v>
      </c>
      <c r="I181" s="15">
        <f>+I179-I180</f>
        <v>0</v>
      </c>
    </row>
    <row r="182" spans="2:9" x14ac:dyDescent="0.25">
      <c r="G182" s="4"/>
      <c r="H182" s="8" t="s">
        <v>17</v>
      </c>
      <c r="I182" s="41" t="e">
        <f>+I178/I181</f>
        <v>#DIV/0!</v>
      </c>
    </row>
    <row r="183" spans="2:9" x14ac:dyDescent="0.25">
      <c r="G183" s="4"/>
      <c r="H183" s="8" t="s">
        <v>18</v>
      </c>
      <c r="I183" s="42">
        <f>+I181-I178</f>
        <v>0</v>
      </c>
    </row>
    <row r="184" spans="2:9" x14ac:dyDescent="0.25">
      <c r="G184" s="4"/>
      <c r="H184" s="8" t="s">
        <v>19</v>
      </c>
      <c r="I184" s="43" t="e">
        <f>+I183/I178</f>
        <v>#DIV/0!</v>
      </c>
    </row>
  </sheetData>
  <mergeCells count="15">
    <mergeCell ref="H19:I19"/>
    <mergeCell ref="H41:I41"/>
    <mergeCell ref="H52:I52"/>
    <mergeCell ref="H7:I7"/>
    <mergeCell ref="H175:I175"/>
    <mergeCell ref="H30:I30"/>
    <mergeCell ref="H77:I77"/>
    <mergeCell ref="H161:I161"/>
    <mergeCell ref="H115:I115"/>
    <mergeCell ref="H126:I126"/>
    <mergeCell ref="H138:I138"/>
    <mergeCell ref="H150:I150"/>
    <mergeCell ref="H65:I65"/>
    <mergeCell ref="H103:I103"/>
    <mergeCell ref="H91:I91"/>
  </mergeCells>
  <conditionalFormatting sqref="I14">
    <cfRule type="cellIs" dxfId="1989" priority="47" operator="lessThan">
      <formula>0.3</formula>
    </cfRule>
    <cfRule type="cellIs" dxfId="1988" priority="48" operator="greaterThan">
      <formula>0.3</formula>
    </cfRule>
  </conditionalFormatting>
  <conditionalFormatting sqref="I26">
    <cfRule type="cellIs" dxfId="1987" priority="39" operator="lessThan">
      <formula>0.3</formula>
    </cfRule>
    <cfRule type="cellIs" dxfId="1986" priority="40" operator="greaterThan">
      <formula>0.3</formula>
    </cfRule>
  </conditionalFormatting>
  <conditionalFormatting sqref="I37">
    <cfRule type="cellIs" dxfId="1985" priority="5" operator="lessThan">
      <formula>0.3</formula>
    </cfRule>
    <cfRule type="cellIs" dxfId="1984" priority="6" operator="greaterThan">
      <formula>0.3</formula>
    </cfRule>
  </conditionalFormatting>
  <conditionalFormatting sqref="I48">
    <cfRule type="cellIs" dxfId="1983" priority="37" operator="lessThan">
      <formula>0.3</formula>
    </cfRule>
    <cfRule type="cellIs" dxfId="1982" priority="38" operator="greaterThan">
      <formula>0.3</formula>
    </cfRule>
  </conditionalFormatting>
  <conditionalFormatting sqref="I59">
    <cfRule type="cellIs" dxfId="1981" priority="35" operator="lessThan">
      <formula>0.3</formula>
    </cfRule>
    <cfRule type="cellIs" dxfId="1980" priority="36" operator="greaterThan">
      <formula>0.3</formula>
    </cfRule>
  </conditionalFormatting>
  <conditionalFormatting sqref="I72">
    <cfRule type="cellIs" dxfId="1979" priority="31" operator="lessThan">
      <formula>0.3</formula>
    </cfRule>
    <cfRule type="cellIs" dxfId="1978" priority="32" operator="greaterThan">
      <formula>0.3</formula>
    </cfRule>
  </conditionalFormatting>
  <conditionalFormatting sqref="I84">
    <cfRule type="cellIs" dxfId="1977" priority="27" operator="lessThan">
      <formula>0.3</formula>
    </cfRule>
    <cfRule type="cellIs" dxfId="1976" priority="28" operator="greaterThan">
      <formula>0.3</formula>
    </cfRule>
  </conditionalFormatting>
  <conditionalFormatting sqref="I98">
    <cfRule type="cellIs" dxfId="1975" priority="19" operator="lessThan">
      <formula>0.3</formula>
    </cfRule>
    <cfRule type="cellIs" dxfId="1974" priority="20" operator="greaterThan">
      <formula>0.3</formula>
    </cfRule>
  </conditionalFormatting>
  <conditionalFormatting sqref="I110">
    <cfRule type="cellIs" dxfId="1973" priority="17" operator="lessThan">
      <formula>0.3</formula>
    </cfRule>
    <cfRule type="cellIs" dxfId="1972" priority="18" operator="greaterThan">
      <formula>0.3</formula>
    </cfRule>
  </conditionalFormatting>
  <conditionalFormatting sqref="I122">
    <cfRule type="cellIs" dxfId="1971" priority="15" operator="lessThan">
      <formula>0.3</formula>
    </cfRule>
    <cfRule type="cellIs" dxfId="1970" priority="16" operator="greaterThan">
      <formula>0.3</formula>
    </cfRule>
  </conditionalFormatting>
  <conditionalFormatting sqref="I133">
    <cfRule type="cellIs" dxfId="1969" priority="13" operator="lessThan">
      <formula>0.3</formula>
    </cfRule>
    <cfRule type="cellIs" dxfId="1968" priority="14" operator="greaterThan">
      <formula>0.3</formula>
    </cfRule>
  </conditionalFormatting>
  <conditionalFormatting sqref="I145">
    <cfRule type="cellIs" dxfId="1967" priority="11" operator="lessThan">
      <formula>0.3</formula>
    </cfRule>
    <cfRule type="cellIs" dxfId="1966" priority="12" operator="greaterThan">
      <formula>0.3</formula>
    </cfRule>
  </conditionalFormatting>
  <conditionalFormatting sqref="I157">
    <cfRule type="cellIs" dxfId="1965" priority="9" operator="lessThan">
      <formula>0.3</formula>
    </cfRule>
    <cfRule type="cellIs" dxfId="1964" priority="10" operator="greaterThan">
      <formula>0.3</formula>
    </cfRule>
  </conditionalFormatting>
  <conditionalFormatting sqref="I168">
    <cfRule type="cellIs" dxfId="1963" priority="3" operator="lessThan">
      <formula>0.3</formula>
    </cfRule>
    <cfRule type="cellIs" dxfId="1962" priority="4" operator="greaterThan">
      <formula>0.3</formula>
    </cfRule>
  </conditionalFormatting>
  <conditionalFormatting sqref="I182">
    <cfRule type="cellIs" dxfId="1961" priority="1" operator="lessThan">
      <formula>0.3</formula>
    </cfRule>
    <cfRule type="cellIs" dxfId="1960" priority="2" operator="greaterThan">
      <formula>0.3</formula>
    </cfRule>
  </conditionalFormatting>
  <pageMargins left="0.7" right="0.7" top="0.75" bottom="0.75" header="0.3" footer="0.3"/>
  <drawing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523C-57B7-4FF8-A5F5-43A2E6FF7AE7}">
  <dimension ref="B6:I49"/>
  <sheetViews>
    <sheetView showGridLines="0" zoomScale="93" zoomScaleNormal="93" workbookViewId="0">
      <selection activeCell="K18" sqref="K18"/>
    </sheetView>
  </sheetViews>
  <sheetFormatPr baseColWidth="10" defaultColWidth="10.88671875" defaultRowHeight="13.2" x14ac:dyDescent="0.25"/>
  <cols>
    <col min="1" max="1" width="4" style="40" customWidth="1"/>
    <col min="2" max="2" width="46.5546875" style="40" bestFit="1" customWidth="1"/>
    <col min="3" max="3" width="10.33203125" style="40" bestFit="1" customWidth="1"/>
    <col min="4" max="4" width="8.5546875" style="40" customWidth="1"/>
    <col min="5" max="5" width="9.44140625" style="40" customWidth="1"/>
    <col min="6" max="6" width="17.44140625" style="40" bestFit="1" customWidth="1"/>
    <col min="7" max="7" width="3.33203125" style="40" customWidth="1"/>
    <col min="8" max="8" width="27.44140625" style="40" bestFit="1" customWidth="1"/>
    <col min="9" max="16384" width="10.88671875" style="40"/>
  </cols>
  <sheetData>
    <row r="6" spans="2:9" x14ac:dyDescent="0.25">
      <c r="B6" s="1" t="s">
        <v>529</v>
      </c>
      <c r="C6" s="2"/>
      <c r="D6" s="2"/>
      <c r="E6" s="3"/>
      <c r="F6" s="3"/>
      <c r="G6" s="4"/>
      <c r="H6" s="399" t="s">
        <v>0</v>
      </c>
      <c r="I6" s="399"/>
    </row>
    <row r="7" spans="2:9" x14ac:dyDescent="0.25">
      <c r="B7" s="5" t="s">
        <v>1</v>
      </c>
      <c r="C7" s="6" t="s">
        <v>2</v>
      </c>
      <c r="D7" s="6" t="s">
        <v>3</v>
      </c>
      <c r="E7" s="7" t="s">
        <v>4</v>
      </c>
      <c r="F7" s="7" t="s">
        <v>5</v>
      </c>
      <c r="G7" s="4"/>
      <c r="H7" s="8" t="s">
        <v>6</v>
      </c>
      <c r="I7" s="9">
        <f>+Tabla110345345445545647945586877869510811712713622823724627233260269297315316384392394396416418[[#Totals],[Total costo]]</f>
        <v>603.9</v>
      </c>
    </row>
    <row r="8" spans="2:9" x14ac:dyDescent="0.25">
      <c r="B8" s="10" t="s">
        <v>38</v>
      </c>
      <c r="C8" s="11" t="s">
        <v>67</v>
      </c>
      <c r="D8" s="12">
        <v>40</v>
      </c>
      <c r="E8" s="13"/>
      <c r="F8" s="14">
        <f>+Tabla110345345445545647945586877869510811712713622823724627233260269297315316384392394396416418[[#This Row],[Costo]]*Tabla110345345445545647945586877869510811712713622823724627233260269297315316384392394396416418[[#This Row],[Cant.]]</f>
        <v>0</v>
      </c>
      <c r="G8" s="4"/>
      <c r="H8" s="8" t="s">
        <v>533</v>
      </c>
      <c r="I8" s="15">
        <f>+I7*10%</f>
        <v>60.39</v>
      </c>
    </row>
    <row r="9" spans="2:9" x14ac:dyDescent="0.25">
      <c r="B9" s="10" t="s">
        <v>834</v>
      </c>
      <c r="C9" s="11" t="s">
        <v>67</v>
      </c>
      <c r="D9" s="12">
        <v>18</v>
      </c>
      <c r="E9" s="13">
        <f>+VLOOKUP(Tabla110345345445545647945586877869510811712713622823724627233260269297315316384392394396416418[[#This Row],[Ingrediente]],Tabla34[#All],3,0)</f>
        <v>33.549999999999997</v>
      </c>
      <c r="F9" s="14">
        <f>+Tabla110345345445545647945586877869510811712713622823724627233260269297315316384392394396416418[[#This Row],[Costo]]*Tabla110345345445545647945586877869510811712713622823724627233260269297315316384392394396416418[[#This Row],[Cant.]]</f>
        <v>603.9</v>
      </c>
      <c r="G9" s="4"/>
      <c r="H9" s="8" t="s">
        <v>13</v>
      </c>
      <c r="I9" s="15">
        <f>+I7+I8</f>
        <v>664.29</v>
      </c>
    </row>
    <row r="10" spans="2:9" x14ac:dyDescent="0.25">
      <c r="B10" s="16"/>
      <c r="C10" s="17"/>
      <c r="D10" s="17"/>
      <c r="E10" s="18"/>
      <c r="F10" s="18">
        <f>SUBTOTAL(109,Tabla110345345445545647945586877869510811712713622823724627233260269297315316384392394396416418[Total costo])</f>
        <v>603.9</v>
      </c>
      <c r="G10" s="4"/>
      <c r="H10" s="20" t="s">
        <v>14</v>
      </c>
      <c r="I10" s="21">
        <v>7500</v>
      </c>
    </row>
    <row r="11" spans="2:9" x14ac:dyDescent="0.25">
      <c r="G11" s="4"/>
      <c r="H11" s="8" t="s">
        <v>15</v>
      </c>
      <c r="I11" s="15">
        <f>+I10/1.08*0.08</f>
        <v>555.55555555555554</v>
      </c>
    </row>
    <row r="12" spans="2:9" x14ac:dyDescent="0.25">
      <c r="G12" s="4"/>
      <c r="H12" s="8" t="s">
        <v>16</v>
      </c>
      <c r="I12" s="15">
        <f>+I10-I11</f>
        <v>6944.4444444444443</v>
      </c>
    </row>
    <row r="13" spans="2:9" ht="13.8" x14ac:dyDescent="0.25">
      <c r="G13" s="4"/>
      <c r="H13" s="8" t="s">
        <v>17</v>
      </c>
      <c r="I13" s="22">
        <f>+I9/I12</f>
        <v>9.5657759999999994E-2</v>
      </c>
    </row>
    <row r="14" spans="2:9" ht="13.8" x14ac:dyDescent="0.25">
      <c r="G14" s="4"/>
      <c r="H14" s="8" t="s">
        <v>18</v>
      </c>
      <c r="I14" s="23">
        <f>+I12-I9</f>
        <v>6280.1544444444444</v>
      </c>
    </row>
    <row r="15" spans="2:9" ht="13.8" x14ac:dyDescent="0.25">
      <c r="G15" s="4"/>
      <c r="H15" s="8" t="s">
        <v>19</v>
      </c>
      <c r="I15" s="25">
        <f>+I14/I9</f>
        <v>9.453934944744681</v>
      </c>
    </row>
    <row r="18" spans="2:9" x14ac:dyDescent="0.25">
      <c r="B18" s="1" t="s">
        <v>531</v>
      </c>
      <c r="C18" s="2"/>
      <c r="D18" s="2"/>
      <c r="E18" s="3"/>
      <c r="F18" s="3"/>
      <c r="G18" s="4"/>
      <c r="H18" s="399" t="s">
        <v>0</v>
      </c>
      <c r="I18" s="399"/>
    </row>
    <row r="19" spans="2:9" x14ac:dyDescent="0.25">
      <c r="B19" s="5" t="s">
        <v>1</v>
      </c>
      <c r="C19" s="6" t="s">
        <v>2</v>
      </c>
      <c r="D19" s="6" t="s">
        <v>3</v>
      </c>
      <c r="E19" s="7" t="s">
        <v>4</v>
      </c>
      <c r="F19" s="7" t="s">
        <v>5</v>
      </c>
      <c r="H19" s="8" t="s">
        <v>6</v>
      </c>
      <c r="I19" s="9">
        <f>+Tabla110345345445545647945586877869510811712713622823724627233260269297315316384392394396416418430[[#Totals],[Total costo]]</f>
        <v>3133.48030578</v>
      </c>
    </row>
    <row r="20" spans="2:9" x14ac:dyDescent="0.25">
      <c r="B20" s="10" t="s">
        <v>834</v>
      </c>
      <c r="C20" s="11" t="s">
        <v>67</v>
      </c>
      <c r="D20" s="12">
        <v>10</v>
      </c>
      <c r="E20" s="13">
        <f>+VLOOKUP(Tabla110345345445545647945586877869510811712713622823724627233260269297315316384392394396416418430[[#This Row],[Ingrediente]],Tabla34[#All],3,0)</f>
        <v>33.549999999999997</v>
      </c>
      <c r="F20" s="14">
        <f>+Tabla110345345445545647945586877869510811712713622823724627233260269297315316384392394396416418430[[#This Row],[Costo]]*Tabla110345345445545647945586877869510811712713622823724627233260269297315316384392394396416418430[[#This Row],[Cant.]]</f>
        <v>335.5</v>
      </c>
      <c r="H20" s="8" t="s">
        <v>533</v>
      </c>
      <c r="I20" s="15">
        <f>+I19*10%</f>
        <v>313.34803057800002</v>
      </c>
    </row>
    <row r="21" spans="2:9" x14ac:dyDescent="0.25">
      <c r="B21" s="10" t="s">
        <v>783</v>
      </c>
      <c r="C21" s="11" t="s">
        <v>67</v>
      </c>
      <c r="D21" s="12">
        <v>2</v>
      </c>
      <c r="E21" s="13">
        <f>+VLOOKUP(Tabla110345345445545647945586877869510811712713622823724627233260269297315316384392394396416418430[[#This Row],[Ingrediente]],Tabla34[#All],3,0)</f>
        <v>57.990152889999997</v>
      </c>
      <c r="F21" s="14">
        <f>+Tabla110345345445545647945586877869510811712713622823724627233260269297315316384392394396416418430[[#This Row],[Costo]]*Tabla110345345445545647945586877869510811712713622823724627233260269297315316384392394396416418430[[#This Row],[Cant.]]</f>
        <v>115.98030577999999</v>
      </c>
      <c r="H21" s="8" t="s">
        <v>13</v>
      </c>
      <c r="I21" s="15">
        <f>+I19+I20</f>
        <v>3446.8283363579999</v>
      </c>
    </row>
    <row r="22" spans="2:9" x14ac:dyDescent="0.25">
      <c r="B22" s="10" t="s">
        <v>724</v>
      </c>
      <c r="C22" s="11" t="s">
        <v>67</v>
      </c>
      <c r="D22" s="12">
        <v>150</v>
      </c>
      <c r="E22" s="13">
        <f>+VLOOKUP(Tabla110345345445545647945586877869510811712713622823724627233260269297315316384392394396416418430[[#This Row],[Ingrediente]],Tabla34[#All],3,0)</f>
        <v>17.88</v>
      </c>
      <c r="F22" s="14">
        <f>+Tabla110345345445545647945586877869510811712713622823724627233260269297315316384392394396416418430[[#This Row],[Costo]]*Tabla110345345445545647945586877869510811712713622823724627233260269297315316384392394396416418430[[#This Row],[Cant.]]</f>
        <v>2682</v>
      </c>
      <c r="H22" s="20" t="s">
        <v>14</v>
      </c>
      <c r="I22" s="21">
        <v>12000</v>
      </c>
    </row>
    <row r="23" spans="2:9" x14ac:dyDescent="0.25">
      <c r="B23" s="16"/>
      <c r="C23" s="17"/>
      <c r="D23" s="17"/>
      <c r="E23" s="18"/>
      <c r="F23" s="18">
        <f>SUBTOTAL(109,Tabla110345345445545647945586877869510811712713622823724627233260269297315316384392394396416418430[Total costo])</f>
        <v>3133.48030578</v>
      </c>
      <c r="H23" s="8" t="s">
        <v>15</v>
      </c>
      <c r="I23" s="15">
        <f>+I22/1.08*0.08</f>
        <v>888.8888888888888</v>
      </c>
    </row>
    <row r="24" spans="2:9" x14ac:dyDescent="0.25">
      <c r="H24" s="8" t="s">
        <v>16</v>
      </c>
      <c r="I24" s="15">
        <f>+I22-I23</f>
        <v>11111.111111111111</v>
      </c>
    </row>
    <row r="25" spans="2:9" ht="13.8" x14ac:dyDescent="0.25">
      <c r="H25" s="8" t="s">
        <v>17</v>
      </c>
      <c r="I25" s="22">
        <f>+I21/I24</f>
        <v>0.31021455027222</v>
      </c>
    </row>
    <row r="26" spans="2:9" ht="13.8" x14ac:dyDescent="0.25">
      <c r="H26" s="8" t="s">
        <v>18</v>
      </c>
      <c r="I26" s="23">
        <f>+I24-I21</f>
        <v>7664.2827747531119</v>
      </c>
    </row>
    <row r="27" spans="2:9" ht="13.8" x14ac:dyDescent="0.25">
      <c r="H27" s="8" t="s">
        <v>19</v>
      </c>
      <c r="I27" s="25">
        <f>+I26/I21</f>
        <v>2.223575422630816</v>
      </c>
    </row>
    <row r="29" spans="2:9" x14ac:dyDescent="0.25">
      <c r="B29" s="1" t="s">
        <v>532</v>
      </c>
      <c r="C29" s="2"/>
      <c r="D29" s="2"/>
      <c r="E29" s="3"/>
      <c r="F29" s="3"/>
      <c r="H29" s="399" t="s">
        <v>0</v>
      </c>
      <c r="I29" s="399"/>
    </row>
    <row r="30" spans="2:9" x14ac:dyDescent="0.25">
      <c r="B30" s="5" t="s">
        <v>1</v>
      </c>
      <c r="C30" s="6" t="s">
        <v>2</v>
      </c>
      <c r="D30" s="6" t="s">
        <v>3</v>
      </c>
      <c r="E30" s="7" t="s">
        <v>4</v>
      </c>
      <c r="F30" s="7" t="s">
        <v>5</v>
      </c>
      <c r="H30" s="8" t="s">
        <v>6</v>
      </c>
      <c r="I30" s="9">
        <f>+Tabla110345345445545647945586877869510811712713622823724627233260269297315316384392394396416418431[[#Totals],[Total costo]]</f>
        <v>603.9</v>
      </c>
    </row>
    <row r="31" spans="2:9" ht="14.4" x14ac:dyDescent="0.3">
      <c r="B31" t="s">
        <v>834</v>
      </c>
      <c r="C31" s="11" t="s">
        <v>43</v>
      </c>
      <c r="D31" s="12">
        <v>18</v>
      </c>
      <c r="E31" s="13">
        <f>+VLOOKUP(Tabla110345345445545647945586877869510811712713622823724627233260269297315316384392394396416418431[[#This Row],[Ingrediente]],Tabla34[#All],3,0)</f>
        <v>33.549999999999997</v>
      </c>
      <c r="F31" s="14">
        <f>+Tabla110345345445545647945586877869510811712713622823724627233260269297315316384392394396416418431[[#This Row],[Costo]]*Tabla110345345445545647945586877869510811712713622823724627233260269297315316384392394396416418431[[#This Row],[Cant.]]</f>
        <v>603.9</v>
      </c>
      <c r="H31" s="8" t="s">
        <v>533</v>
      </c>
      <c r="I31" s="15">
        <f>+I30*10%</f>
        <v>60.39</v>
      </c>
    </row>
    <row r="32" spans="2:9" x14ac:dyDescent="0.25">
      <c r="B32" s="10" t="s">
        <v>38</v>
      </c>
      <c r="C32" s="11" t="s">
        <v>43</v>
      </c>
      <c r="D32" s="12">
        <v>80</v>
      </c>
      <c r="E32" s="13"/>
      <c r="F32" s="14"/>
      <c r="H32" s="8" t="s">
        <v>13</v>
      </c>
      <c r="I32" s="15">
        <f>+I30+I31</f>
        <v>664.29</v>
      </c>
    </row>
    <row r="33" spans="2:9" x14ac:dyDescent="0.25">
      <c r="B33" s="16"/>
      <c r="C33" s="17"/>
      <c r="D33" s="17"/>
      <c r="E33" s="18"/>
      <c r="F33" s="18">
        <f>SUBTOTAL(109,Tabla110345345445545647945586877869510811712713622823724627233260269297315316384392394396416418431[Total costo])</f>
        <v>603.9</v>
      </c>
      <c r="H33" s="20" t="s">
        <v>14</v>
      </c>
      <c r="I33" s="21">
        <v>6500</v>
      </c>
    </row>
    <row r="34" spans="2:9" x14ac:dyDescent="0.25">
      <c r="H34" s="8" t="s">
        <v>15</v>
      </c>
      <c r="I34" s="15">
        <f>+I33/1.08*0.08</f>
        <v>481.48148148148147</v>
      </c>
    </row>
    <row r="35" spans="2:9" x14ac:dyDescent="0.25">
      <c r="H35" s="8" t="s">
        <v>16</v>
      </c>
      <c r="I35" s="15">
        <f>+I33-I34</f>
        <v>6018.5185185185182</v>
      </c>
    </row>
    <row r="36" spans="2:9" ht="13.8" x14ac:dyDescent="0.25">
      <c r="H36" s="8" t="s">
        <v>17</v>
      </c>
      <c r="I36" s="22">
        <f>+I32/I35</f>
        <v>0.11037433846153846</v>
      </c>
    </row>
    <row r="37" spans="2:9" ht="13.8" x14ac:dyDescent="0.25">
      <c r="H37" s="8" t="s">
        <v>18</v>
      </c>
      <c r="I37" s="23">
        <f>+I35-I32</f>
        <v>5354.2285185185183</v>
      </c>
    </row>
    <row r="38" spans="2:9" ht="13.8" x14ac:dyDescent="0.25">
      <c r="H38" s="8" t="s">
        <v>19</v>
      </c>
      <c r="I38" s="25">
        <f>+I37/I32</f>
        <v>8.0600769521120572</v>
      </c>
    </row>
    <row r="40" spans="2:9" x14ac:dyDescent="0.25">
      <c r="B40" s="1" t="s">
        <v>556</v>
      </c>
      <c r="C40" s="2"/>
      <c r="D40" s="2"/>
      <c r="E40" s="3"/>
      <c r="F40" s="3"/>
      <c r="G40" s="4"/>
      <c r="H40" s="399" t="s">
        <v>0</v>
      </c>
      <c r="I40" s="399"/>
    </row>
    <row r="41" spans="2:9" x14ac:dyDescent="0.25">
      <c r="B41" s="5" t="s">
        <v>1</v>
      </c>
      <c r="C41" s="6" t="s">
        <v>2</v>
      </c>
      <c r="D41" s="6" t="s">
        <v>3</v>
      </c>
      <c r="E41" s="7" t="s">
        <v>4</v>
      </c>
      <c r="F41" s="7" t="s">
        <v>5</v>
      </c>
      <c r="G41" s="4"/>
      <c r="H41" s="8" t="s">
        <v>6</v>
      </c>
      <c r="I41" s="9">
        <f>SUM(Tabla11034534544554564793638293294303304386391[Total costo])</f>
        <v>6199.76155578</v>
      </c>
    </row>
    <row r="42" spans="2:9" ht="14.4" x14ac:dyDescent="0.3">
      <c r="B42" s="10" t="s">
        <v>181</v>
      </c>
      <c r="C42" s="11" t="s">
        <v>605</v>
      </c>
      <c r="D42" s="12">
        <v>1</v>
      </c>
      <c r="E42" s="13">
        <f>+VLOOKUP(Tabla11034534544554564793638293294303304386391[[#This Row],[Ingrediente]],Tabla34[#All],3,0)</f>
        <v>3066.28125</v>
      </c>
      <c r="F42" s="14">
        <f>+Tabla11034534544554564793638293294303304386391[[#This Row],[Costo]]*Tabla11034534544554564793638293294303304386391[[#This Row],[Cant.]]</f>
        <v>3066.28125</v>
      </c>
      <c r="G42" s="27"/>
      <c r="H42" s="8" t="s">
        <v>12</v>
      </c>
      <c r="I42" s="15">
        <f>+I41*10%</f>
        <v>619.97615557800009</v>
      </c>
    </row>
    <row r="43" spans="2:9" ht="14.4" x14ac:dyDescent="0.3">
      <c r="B43" s="10" t="s">
        <v>834</v>
      </c>
      <c r="C43" s="11" t="s">
        <v>67</v>
      </c>
      <c r="D43" s="12">
        <v>10</v>
      </c>
      <c r="E43" s="13">
        <f>+VLOOKUP(Tabla11034534544554564793638293294303304386391[[#This Row],[Ingrediente]],Tabla34[#All],3,0)</f>
        <v>33.549999999999997</v>
      </c>
      <c r="F43" s="14">
        <f>+Tabla11034534544554564793638293294303304386391[[#This Row],[Costo]]*Tabla11034534544554564793638293294303304386391[[#This Row],[Cant.]]</f>
        <v>335.5</v>
      </c>
      <c r="G43"/>
      <c r="H43" s="8" t="s">
        <v>13</v>
      </c>
      <c r="I43" s="15">
        <f>+I41+I42</f>
        <v>6819.7377113580005</v>
      </c>
    </row>
    <row r="44" spans="2:9" x14ac:dyDescent="0.25">
      <c r="B44" s="10" t="s">
        <v>783</v>
      </c>
      <c r="C44" s="11" t="s">
        <v>67</v>
      </c>
      <c r="D44" s="12">
        <v>2</v>
      </c>
      <c r="E44" s="13">
        <f>+VLOOKUP(Tabla11034534544554564793638293294303304386391[[#This Row],[Ingrediente]],Tabla34[#All],3,0)</f>
        <v>57.990152889999997</v>
      </c>
      <c r="F44" s="14">
        <f>+Tabla11034534544554564793638293294303304386391[[#This Row],[Costo]]*Tabla11034534544554564793638293294303304386391[[#This Row],[Cant.]]</f>
        <v>115.98030577999999</v>
      </c>
      <c r="G44" s="4"/>
      <c r="H44" s="20" t="s">
        <v>14</v>
      </c>
      <c r="I44" s="21">
        <v>21000</v>
      </c>
    </row>
    <row r="45" spans="2:9" x14ac:dyDescent="0.25">
      <c r="B45" s="10" t="s">
        <v>724</v>
      </c>
      <c r="C45" s="11" t="s">
        <v>67</v>
      </c>
      <c r="D45" s="12">
        <v>150</v>
      </c>
      <c r="E45" s="13">
        <f>+VLOOKUP(Tabla11034534544554564793638293294303304386391[[#This Row],[Ingrediente]],Tabla34[#All],3,0)</f>
        <v>17.88</v>
      </c>
      <c r="F45" s="14">
        <f>+Tabla11034534544554564793638293294303304386391[[#This Row],[Costo]]*Tabla11034534544554564793638293294303304386391[[#This Row],[Cant.]]</f>
        <v>2682</v>
      </c>
      <c r="G45" s="4"/>
      <c r="H45" s="8" t="s">
        <v>15</v>
      </c>
      <c r="I45" s="15">
        <f>+I44/1.08*0.08</f>
        <v>1555.5555555555554</v>
      </c>
    </row>
    <row r="46" spans="2:9" x14ac:dyDescent="0.25">
      <c r="B46" s="16"/>
      <c r="C46" s="17"/>
      <c r="D46" s="17"/>
      <c r="E46" s="18"/>
      <c r="F46" s="18">
        <f>SUBTOTAL(109,Tabla11034534544554564793638293294303304386391[Total costo])</f>
        <v>6199.76155578</v>
      </c>
      <c r="G46" s="4"/>
      <c r="H46" s="8" t="s">
        <v>16</v>
      </c>
      <c r="I46" s="15">
        <f>+I44-I45</f>
        <v>19444.444444444445</v>
      </c>
    </row>
    <row r="47" spans="2:9" ht="14.4" x14ac:dyDescent="0.3">
      <c r="B47"/>
      <c r="C47"/>
      <c r="D47"/>
      <c r="E47"/>
      <c r="F47"/>
      <c r="G47" s="4"/>
      <c r="H47" s="8" t="s">
        <v>17</v>
      </c>
      <c r="I47" s="22">
        <f>+I43/I46</f>
        <v>0.35072936801269716</v>
      </c>
    </row>
    <row r="48" spans="2:9" ht="14.4" x14ac:dyDescent="0.3">
      <c r="B48"/>
      <c r="C48"/>
      <c r="D48"/>
      <c r="E48"/>
      <c r="F48"/>
      <c r="G48" s="4"/>
      <c r="H48" s="8" t="s">
        <v>18</v>
      </c>
      <c r="I48" s="23">
        <f>+I46-I43</f>
        <v>12624.706733086445</v>
      </c>
    </row>
    <row r="49" spans="2:9" ht="14.4" x14ac:dyDescent="0.3">
      <c r="B49"/>
      <c r="C49"/>
      <c r="D49"/>
      <c r="E49"/>
      <c r="F49"/>
      <c r="G49" s="4"/>
      <c r="H49" s="8" t="s">
        <v>19</v>
      </c>
      <c r="I49" s="25">
        <f>+I48/I43</f>
        <v>1.8512012143898877</v>
      </c>
    </row>
  </sheetData>
  <mergeCells count="4">
    <mergeCell ref="H6:I6"/>
    <mergeCell ref="H18:I18"/>
    <mergeCell ref="H29:I29"/>
    <mergeCell ref="H40:I40"/>
  </mergeCells>
  <conditionalFormatting sqref="I13">
    <cfRule type="cellIs" dxfId="1959" priority="7" operator="lessThan">
      <formula>0.3</formula>
    </cfRule>
    <cfRule type="cellIs" dxfId="1958" priority="8" operator="greaterThan">
      <formula>0.3</formula>
    </cfRule>
  </conditionalFormatting>
  <conditionalFormatting sqref="I25">
    <cfRule type="cellIs" dxfId="1957" priority="5" operator="lessThan">
      <formula>0.3</formula>
    </cfRule>
    <cfRule type="cellIs" dxfId="1956" priority="6" operator="greaterThan">
      <formula>0.3</formula>
    </cfRule>
  </conditionalFormatting>
  <conditionalFormatting sqref="I36">
    <cfRule type="cellIs" dxfId="1955" priority="3" operator="lessThan">
      <formula>0.3</formula>
    </cfRule>
    <cfRule type="cellIs" dxfId="1954" priority="4" operator="greaterThan">
      <formula>0.3</formula>
    </cfRule>
  </conditionalFormatting>
  <conditionalFormatting sqref="I47">
    <cfRule type="cellIs" dxfId="1953" priority="1" operator="lessThan">
      <formula>0.3</formula>
    </cfRule>
    <cfRule type="cellIs" dxfId="1952" priority="2" operator="greaterThan">
      <formula>0.3</formula>
    </cfRule>
  </conditionalFormatting>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40</vt:i4>
      </vt:variant>
    </vt:vector>
  </HeadingPairs>
  <TitlesOfParts>
    <vt:vector size="40" baseType="lpstr">
      <vt:lpstr>MATRIZ CARTA</vt:lpstr>
      <vt:lpstr>SUB RECETAS COCINA</vt:lpstr>
      <vt:lpstr>JUGOS NATURALES</vt:lpstr>
      <vt:lpstr>LANGOSTINOS</vt:lpstr>
      <vt:lpstr>ENTRADAS</vt:lpstr>
      <vt:lpstr>CEVICHES</vt:lpstr>
      <vt:lpstr>LOS ARREBATOS DEL CHEF</vt:lpstr>
      <vt:lpstr>FUERTES TIERRA</vt:lpstr>
      <vt:lpstr>ENSALADAS</vt:lpstr>
      <vt:lpstr>ARROCES</vt:lpstr>
      <vt:lpstr>FUERTES MAR</vt:lpstr>
      <vt:lpstr>FUERTES MAR Y TIERRA</vt:lpstr>
      <vt:lpstr>POSTRES</vt:lpstr>
      <vt:lpstr>INSUMOS</vt:lpstr>
      <vt:lpstr>BRUNCH</vt:lpstr>
      <vt:lpstr>COCTELES MALANGA</vt:lpstr>
      <vt:lpstr>SODAS</vt:lpstr>
      <vt:lpstr>REFAJO</vt:lpstr>
      <vt:lpstr>SUB RECETAS BAR</vt:lpstr>
      <vt:lpstr>MOCKTAILS</vt:lpstr>
      <vt:lpstr>SANGRIAS</vt:lpstr>
      <vt:lpstr>COCTELES TRADICIONALES</vt:lpstr>
      <vt:lpstr>TEQUILA</vt:lpstr>
      <vt:lpstr>MEZCAL</vt:lpstr>
      <vt:lpstr>AGUARDIENTE</vt:lpstr>
      <vt:lpstr>GINEBRA</vt:lpstr>
      <vt:lpstr>VODKA</vt:lpstr>
      <vt:lpstr>RON</vt:lpstr>
      <vt:lpstr>AROMATICAS</vt:lpstr>
      <vt:lpstr>WISKHY</vt:lpstr>
      <vt:lpstr>BEBIDAS</vt:lpstr>
      <vt:lpstr>MEZCLADORES</vt:lpstr>
      <vt:lpstr>CHAMPAÑAS Y ESPUMOSOS</vt:lpstr>
      <vt:lpstr>VINO ROSADO</vt:lpstr>
      <vt:lpstr>CERVEZAS</vt:lpstr>
      <vt:lpstr>MALTAS</vt:lpstr>
      <vt:lpstr>MENU INFANTIL</vt:lpstr>
      <vt:lpstr>VINO BLANCO</vt:lpstr>
      <vt:lpstr>VINO TINTO</vt:lpstr>
      <vt:lpstr>CAFES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Mariluz Lopez</dc:creator>
  <cp:lastModifiedBy>Rocoto R</cp:lastModifiedBy>
  <cp:lastPrinted>2024-08-02T19:44:27Z</cp:lastPrinted>
  <dcterms:created xsi:type="dcterms:W3CDTF">2015-06-05T18:19:34Z</dcterms:created>
  <dcterms:modified xsi:type="dcterms:W3CDTF">2026-04-13T18:41:20Z</dcterms:modified>
</cp:coreProperties>
</file>